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DIXON\Desktop\"/>
    </mc:Choice>
  </mc:AlternateContent>
  <workbookProtection workbookPassword="C969" lockStructure="1"/>
  <bookViews>
    <workbookView xWindow="48" yWindow="852" windowWidth="15480" windowHeight="10596" tabRatio="759"/>
  </bookViews>
  <sheets>
    <sheet name="Registration FAQs" sheetId="32" r:id="rId1"/>
    <sheet name="Instructions" sheetId="1" r:id="rId2"/>
    <sheet name="Inputs" sheetId="13" r:id="rId3"/>
    <sheet name="Controls and Restrictions" sheetId="33" r:id="rId4"/>
    <sheet name="Total Emissions" sheetId="29" r:id="rId5"/>
    <sheet name="Output-Summary Printout" sheetId="34" r:id="rId6"/>
    <sheet name="Change Log" sheetId="14" state="hidden" r:id="rId7"/>
    <sheet name="Emission Factors" sheetId="9" state="hidden" r:id="rId8"/>
    <sheet name="Fuel Energy Content" sheetId="30" state="hidden" r:id="rId9"/>
    <sheet name="Additional References" sheetId="20" state="hidden" r:id="rId10"/>
    <sheet name="EPA Regional Contact Info" sheetId="31" state="hidden" r:id="rId11"/>
  </sheets>
  <externalReferences>
    <externalReference r:id="rId12"/>
  </externalReferences>
  <definedNames>
    <definedName name="_xlnm._FilterDatabase" localSheetId="10" hidden="1">'EPA Regional Contact Info'!$A$4:$N$55</definedName>
    <definedName name="Allowable_Emission_Restriction">'Controls and Restrictions'!$L$17</definedName>
    <definedName name="CO_PM10_Attainment_List">Inputs!$E$3:$E$5</definedName>
    <definedName name="Dryer_Fuel">Inputs!$C$46</definedName>
    <definedName name="Dryer_Fuel_List">Inputs!$E$33:$E$36</definedName>
    <definedName name="Facility_Type">Inputs!$C$40</definedName>
    <definedName name="Facility_Type_List">Inputs!$E$21:$E$22</definedName>
    <definedName name="Heater_Capacity">Inputs!$C$50</definedName>
    <definedName name="Heater_Fuel">Inputs!$C$51</definedName>
    <definedName name="Heater_Fuel_Combusted">Inputs!$C$52</definedName>
    <definedName name="Heater_Fuel_List">Inputs!$E$25:$E$29</definedName>
    <definedName name="Heater_Fuel_Sulfur_Content">Inputs!$C$53</definedName>
    <definedName name="Hourly_Production_Average">Inputs!$C$41</definedName>
    <definedName name="Hourly_Production_Max">Inputs!$C$42</definedName>
    <definedName name="Natural_Gas_Registration_Sulfur_Content">'Additional References'!$B$9</definedName>
    <definedName name="Natural_Gas_Unc_Sulfur_Content">'Additional References'!$B$8</definedName>
    <definedName name="NOx_Control_Multiplier">'Controls and Restrictions'!$L$11</definedName>
    <definedName name="Oil_Distillate_Registration_Sulfur_Content">'Additional References'!$B$11</definedName>
    <definedName name="Oil_Distillate_Uncontrolled_Sulfur_Content">'Additional References'!$B$10</definedName>
    <definedName name="Oil_Residual_Registration_Sulfur_Content">'Additional References'!$B$13</definedName>
    <definedName name="Oil_Residual_Uncontrolled_Sulfur_Content">'Additional References'!$B$12</definedName>
    <definedName name="Ozone_Attainment_List">Inputs!$E$8:$E$13</definedName>
    <definedName name="PM_Control_List">'[1]Controls and Restrictions'!$L$4:$L$6</definedName>
    <definedName name="PM_Control_Yes_No_List">'Controls and Restrictions'!$L$4:$L$5</definedName>
    <definedName name="_xlnm.Print_Area" localSheetId="2">Inputs!$A$1:$C$54</definedName>
    <definedName name="_xlnm.Print_Area" localSheetId="5">'Output-Summary Printout'!$A$1:$F$42</definedName>
    <definedName name="_xlnm.Print_Area" localSheetId="0">'Registration FAQs'!$B$1:$C$37</definedName>
    <definedName name="_xlnm.Print_Area" localSheetId="4">'Total Emissions'!$A$1:$H$15</definedName>
    <definedName name="Production_Hours">Inputs!$C$43</definedName>
    <definedName name="SO2_Control_Multiplier">'Controls and Restrictions'!$L$8</definedName>
    <definedName name="SO2_PM25_Attainment_List">Inputs!$E$16:$E$17</definedName>
    <definedName name="State_List">Inputs!$E$39:$E$83</definedName>
    <definedName name="Waste_Oil_Registration_Ash_Content">'Additional References'!$B$5</definedName>
    <definedName name="Waste_Oil_Registration_Sulfur_Content">'Additional References'!$B$7</definedName>
    <definedName name="Waste_Oil_Unc_Ash_Content">'Additional References'!$B$4</definedName>
    <definedName name="Waste_Oil_Unc_Sulfur_Content">'Additional References'!$B$6</definedName>
  </definedNames>
  <calcPr calcId="152511"/>
  <customWorkbookViews>
    <customWorkbookView name="rhamel - Personal View" guid="{8C263A95-99F9-4260-B64A-0E771D03F536}" mergeInterval="0" personalView="1" maximized="1" windowWidth="1256" windowHeight="803" tabRatio="910" activeSheetId="8"/>
  </customWorkbookViews>
</workbook>
</file>

<file path=xl/calcChain.xml><?xml version="1.0" encoding="utf-8"?>
<calcChain xmlns="http://schemas.openxmlformats.org/spreadsheetml/2006/main">
  <c r="L11" i="33" l="1"/>
  <c r="L8" i="33"/>
  <c r="L17" i="33" l="1"/>
  <c r="L14" i="33"/>
  <c r="C54" i="13" l="1"/>
  <c r="B54" i="13"/>
  <c r="B52" i="13"/>
  <c r="E39" i="13" l="1"/>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38" i="13"/>
  <c r="A33" i="34"/>
  <c r="L22" i="34"/>
  <c r="F22" i="34"/>
  <c r="L20" i="34"/>
  <c r="F20" i="34"/>
  <c r="L18" i="34"/>
  <c r="F18" i="34"/>
  <c r="L16" i="34"/>
  <c r="F16" i="34"/>
  <c r="L14" i="34"/>
  <c r="F14" i="34"/>
  <c r="L12" i="34"/>
  <c r="F12" i="34"/>
  <c r="E5" i="34"/>
  <c r="B5" i="34"/>
  <c r="E4" i="34"/>
  <c r="B4" i="34"/>
  <c r="E3" i="34"/>
  <c r="B3" i="34"/>
  <c r="D80" i="9" l="1"/>
  <c r="B53" i="13"/>
  <c r="E80" i="9" l="1"/>
  <c r="B15" i="13"/>
  <c r="C25" i="13"/>
  <c r="D38" i="34" s="1"/>
  <c r="C24" i="13"/>
  <c r="D37" i="34" s="1"/>
  <c r="C23" i="13"/>
  <c r="D36" i="34" s="1"/>
  <c r="C22" i="13"/>
  <c r="D35" i="34" s="1"/>
  <c r="C21" i="13"/>
  <c r="C20" i="13"/>
  <c r="C18" i="13"/>
  <c r="D41" i="34" s="1"/>
  <c r="C17" i="13"/>
  <c r="D40" i="34" s="1"/>
  <c r="C16" i="13"/>
  <c r="D34" i="34" s="1"/>
  <c r="C19" i="13"/>
  <c r="C54" i="9" l="1"/>
  <c r="C53" i="9"/>
  <c r="C52" i="9"/>
  <c r="C51" i="9"/>
  <c r="E50" i="9"/>
  <c r="F50" i="9" s="1"/>
  <c r="C50" i="9"/>
  <c r="E49" i="9"/>
  <c r="F49" i="9" s="1"/>
  <c r="C49" i="9"/>
  <c r="C48" i="9"/>
  <c r="E21" i="9" l="1"/>
  <c r="F21" i="9" s="1"/>
  <c r="E20" i="9"/>
  <c r="F20" i="9" s="1"/>
  <c r="E19" i="9"/>
  <c r="F19" i="9" s="1"/>
  <c r="C19" i="9"/>
  <c r="C20" i="9"/>
  <c r="C21" i="9"/>
  <c r="C22" i="9"/>
  <c r="C23" i="9"/>
  <c r="C24" i="9"/>
  <c r="C25" i="9"/>
  <c r="D76" i="9" l="1"/>
  <c r="E76" i="9" s="1"/>
  <c r="D75" i="9"/>
  <c r="E75" i="9" s="1"/>
  <c r="D74" i="9"/>
  <c r="E74" i="9" s="1"/>
  <c r="D73" i="9"/>
  <c r="E73" i="9" s="1"/>
  <c r="D66" i="9"/>
  <c r="E66" i="9" s="1"/>
  <c r="C5" i="9" l="1"/>
  <c r="E5" i="9"/>
  <c r="F5" i="9" s="1"/>
  <c r="C6" i="9"/>
  <c r="E6" i="9"/>
  <c r="F6" i="9" s="1"/>
  <c r="C7" i="9"/>
  <c r="E7" i="9"/>
  <c r="F7" i="9" s="1"/>
  <c r="C8" i="9"/>
  <c r="C9" i="9"/>
  <c r="C10" i="9"/>
  <c r="C11" i="9"/>
  <c r="C12" i="9"/>
  <c r="E12" i="9"/>
  <c r="F12" i="9" s="1"/>
  <c r="C13" i="9"/>
  <c r="E13" i="9"/>
  <c r="F13" i="9" s="1"/>
  <c r="C14" i="9"/>
  <c r="E14" i="9"/>
  <c r="F14" i="9" s="1"/>
  <c r="C15" i="9"/>
  <c r="C16" i="9"/>
  <c r="C17" i="9"/>
  <c r="C18" i="9"/>
  <c r="C26" i="9"/>
  <c r="E26" i="9"/>
  <c r="F26" i="9" s="1"/>
  <c r="C27" i="9"/>
  <c r="E27" i="9"/>
  <c r="F27" i="9" s="1"/>
  <c r="C28" i="9"/>
  <c r="E28" i="9"/>
  <c r="F28" i="9" s="1"/>
  <c r="C29" i="9"/>
  <c r="C30" i="9"/>
  <c r="C31" i="9"/>
  <c r="C32" i="9"/>
  <c r="C34" i="9"/>
  <c r="C35" i="9"/>
  <c r="C36" i="9"/>
  <c r="C37" i="9"/>
  <c r="C38" i="9"/>
  <c r="C39" i="9"/>
  <c r="C40" i="9"/>
  <c r="C41" i="9"/>
  <c r="C42" i="9"/>
  <c r="C43" i="9"/>
  <c r="C44" i="9"/>
  <c r="C45" i="9"/>
  <c r="C46" i="9"/>
  <c r="C47" i="9"/>
  <c r="C55" i="9"/>
  <c r="C56" i="9"/>
  <c r="C57" i="9"/>
  <c r="C58" i="9"/>
  <c r="C59" i="9"/>
  <c r="C60" i="9"/>
  <c r="C61" i="9"/>
  <c r="C63" i="9"/>
  <c r="E63" i="9"/>
  <c r="C64" i="9"/>
  <c r="E64" i="9"/>
  <c r="C65" i="9"/>
  <c r="E65" i="9"/>
  <c r="C66" i="9"/>
  <c r="C67" i="9"/>
  <c r="E67" i="9"/>
  <c r="C68" i="9"/>
  <c r="E68" i="9"/>
  <c r="C69" i="9"/>
  <c r="E69" i="9"/>
  <c r="C70" i="9"/>
  <c r="E70" i="9"/>
  <c r="C71" i="9"/>
  <c r="E71" i="9"/>
  <c r="C72" i="9"/>
  <c r="E72" i="9"/>
  <c r="C73" i="9"/>
  <c r="C74" i="9"/>
  <c r="C75" i="9"/>
  <c r="C76" i="9"/>
  <c r="C77" i="9"/>
  <c r="E77" i="9"/>
  <c r="C78" i="9"/>
  <c r="E78" i="9"/>
  <c r="C79" i="9"/>
  <c r="E79" i="9"/>
  <c r="C80" i="9"/>
  <c r="C81" i="9"/>
  <c r="E81" i="9"/>
  <c r="C82" i="9"/>
  <c r="E82" i="9"/>
  <c r="C83" i="9"/>
  <c r="E83" i="9"/>
  <c r="C84" i="9"/>
  <c r="C85" i="9"/>
  <c r="E85" i="9"/>
  <c r="C86" i="9"/>
  <c r="E86" i="9"/>
  <c r="C87" i="9"/>
  <c r="D87" i="9"/>
  <c r="E87" i="9" s="1"/>
  <c r="C88" i="9"/>
  <c r="D88" i="9"/>
  <c r="E88" i="9" s="1"/>
  <c r="C89" i="9"/>
  <c r="D89" i="9"/>
  <c r="E89" i="9" s="1"/>
  <c r="C90" i="9"/>
  <c r="C91" i="9"/>
  <c r="C92" i="9"/>
  <c r="C93" i="9"/>
  <c r="C94" i="9"/>
  <c r="C95" i="9"/>
  <c r="C96" i="9"/>
  <c r="C97" i="9"/>
  <c r="D5" i="29" l="1"/>
  <c r="F5" i="29"/>
  <c r="E5" i="29"/>
  <c r="H13" i="29"/>
  <c r="H6" i="29" s="1"/>
  <c r="G13" i="29"/>
  <c r="G6" i="29" s="1"/>
  <c r="G5" i="29"/>
  <c r="H5" i="29"/>
  <c r="C5" i="29"/>
  <c r="C6" i="29"/>
  <c r="D90" i="9"/>
  <c r="E90" i="9"/>
  <c r="C13" i="29"/>
  <c r="D13" i="29"/>
  <c r="F13" i="29"/>
  <c r="E6" i="29"/>
  <c r="E13" i="29"/>
  <c r="D6" i="29"/>
  <c r="F6" i="29"/>
  <c r="B14" i="30" l="1"/>
  <c r="B13" i="30"/>
  <c r="B12" i="30"/>
  <c r="D12" i="29" l="1"/>
  <c r="H12" i="29"/>
  <c r="F7" i="29"/>
  <c r="C18" i="34" s="1"/>
  <c r="G12" i="29"/>
  <c r="E12" i="29"/>
  <c r="C12" i="29"/>
  <c r="F12" i="29"/>
  <c r="C7" i="29"/>
  <c r="C12" i="34" s="1"/>
  <c r="D7" i="29"/>
  <c r="C14" i="34" s="1"/>
  <c r="E7" i="29" l="1"/>
  <c r="C16" i="34" s="1"/>
  <c r="D14" i="29"/>
  <c r="E14" i="34" s="1"/>
  <c r="E14" i="29"/>
  <c r="E16" i="34" s="1"/>
  <c r="F14" i="29"/>
  <c r="E18" i="34" s="1"/>
  <c r="C14" i="29"/>
  <c r="E12" i="34" s="1"/>
  <c r="K12" i="34" l="1"/>
  <c r="M12" i="34"/>
  <c r="K18" i="34"/>
  <c r="M18" i="34"/>
  <c r="M16" i="34"/>
  <c r="K16" i="34"/>
  <c r="K14" i="34"/>
  <c r="M14" i="34"/>
  <c r="G14" i="29" l="1"/>
  <c r="E20" i="34" s="1"/>
  <c r="H14" i="29"/>
  <c r="E22" i="34" s="1"/>
  <c r="K22" i="34" l="1"/>
  <c r="M22" i="34"/>
  <c r="M20" i="34"/>
  <c r="K20" i="34"/>
  <c r="H7" i="29"/>
  <c r="C22" i="34" s="1"/>
  <c r="G7" i="29"/>
  <c r="C20" i="34" s="1"/>
  <c r="A30" i="34" l="1"/>
  <c r="A32" i="34" s="1"/>
  <c r="B2" i="1"/>
  <c r="B1" i="1" l="1"/>
</calcChain>
</file>

<file path=xl/sharedStrings.xml><?xml version="1.0" encoding="utf-8"?>
<sst xmlns="http://schemas.openxmlformats.org/spreadsheetml/2006/main" count="1381" uniqueCount="481">
  <si>
    <t>Pollutant</t>
  </si>
  <si>
    <t>(tons/yr)</t>
  </si>
  <si>
    <t>volatile organic compound</t>
  </si>
  <si>
    <t>VOC</t>
  </si>
  <si>
    <t>Purpose</t>
  </si>
  <si>
    <t>Facility Information</t>
  </si>
  <si>
    <t>Name</t>
  </si>
  <si>
    <t>Address</t>
  </si>
  <si>
    <t>Telephone</t>
  </si>
  <si>
    <t>Email</t>
  </si>
  <si>
    <t>Facility Contact</t>
  </si>
  <si>
    <t>Attainment</t>
  </si>
  <si>
    <t>Source Category Description</t>
  </si>
  <si>
    <t>Major Source</t>
  </si>
  <si>
    <t>Minor Source</t>
  </si>
  <si>
    <t>Nonattainment - extreme</t>
  </si>
  <si>
    <t>Nonattainment - severe</t>
  </si>
  <si>
    <t>Nonattainment - serious</t>
  </si>
  <si>
    <t>John Doe</t>
  </si>
  <si>
    <t>555-555-5555</t>
  </si>
  <si>
    <t>john.doe@acme.com</t>
  </si>
  <si>
    <t>101 Acme Way</t>
  </si>
  <si>
    <t>Date</t>
  </si>
  <si>
    <t>Change made by:</t>
  </si>
  <si>
    <t>Description</t>
  </si>
  <si>
    <t>Contact Information</t>
  </si>
  <si>
    <t>Workbook Version</t>
  </si>
  <si>
    <t>Instructions - Please read prior to filling out workbook</t>
  </si>
  <si>
    <t>Exceeds minor source threshold.</t>
  </si>
  <si>
    <t>Below minor source threshold.</t>
  </si>
  <si>
    <t>Icon Key</t>
  </si>
  <si>
    <t>Facility Name:</t>
  </si>
  <si>
    <t>Facility Address:</t>
  </si>
  <si>
    <t>Email:</t>
  </si>
  <si>
    <t>Emission Factors</t>
  </si>
  <si>
    <t>Data Key 1</t>
  </si>
  <si>
    <t>EF Denominator</t>
  </si>
  <si>
    <t>EF Numerator</t>
  </si>
  <si>
    <t>Source</t>
  </si>
  <si>
    <t>lb</t>
  </si>
  <si>
    <t>Initial workbook version.</t>
  </si>
  <si>
    <t>Affiliation:</t>
  </si>
  <si>
    <t>Abt Associates</t>
  </si>
  <si>
    <t>QA performed by:</t>
  </si>
  <si>
    <t>Air Basin Attainment Status</t>
  </si>
  <si>
    <t>1:  Facility Information</t>
  </si>
  <si>
    <t>2:  Facility Contact</t>
  </si>
  <si>
    <t>3:  Air Basin Attainment Status</t>
  </si>
  <si>
    <t>Steps to Complete this Workbook</t>
  </si>
  <si>
    <r>
      <t xml:space="preserve">On the </t>
    </r>
    <r>
      <rPr>
        <b/>
        <i/>
        <sz val="10"/>
        <rFont val="Arial"/>
        <family val="2"/>
      </rPr>
      <t>Inputs</t>
    </r>
    <r>
      <rPr>
        <sz val="10"/>
        <rFont val="Arial"/>
        <family val="2"/>
      </rPr>
      <t xml:space="preserve"> worksheet, replace the default contact information with information specific to your facility's primary contact.</t>
    </r>
  </si>
  <si>
    <t>Exceeds major source threshold.</t>
  </si>
  <si>
    <t>Additional References</t>
  </si>
  <si>
    <t>Data Element</t>
  </si>
  <si>
    <t>new source review</t>
  </si>
  <si>
    <t>Yes</t>
  </si>
  <si>
    <t>No</t>
  </si>
  <si>
    <t>Fuel and Process</t>
  </si>
  <si>
    <t xml:space="preserve">Value </t>
  </si>
  <si>
    <t>N/A</t>
  </si>
  <si>
    <t>CO Attainment Status (select one):</t>
  </si>
  <si>
    <r>
      <t>SO</t>
    </r>
    <r>
      <rPr>
        <vertAlign val="subscript"/>
        <sz val="10"/>
        <rFont val="Arial"/>
        <family val="2"/>
      </rPr>
      <t>2</t>
    </r>
    <r>
      <rPr>
        <sz val="10"/>
        <rFont val="Arial"/>
        <family val="2"/>
      </rPr>
      <t xml:space="preserve"> Attainment Status (select one):</t>
    </r>
  </si>
  <si>
    <r>
      <t>PM</t>
    </r>
    <r>
      <rPr>
        <vertAlign val="subscript"/>
        <sz val="10"/>
        <rFont val="Arial"/>
        <family val="2"/>
      </rPr>
      <t>10</t>
    </r>
    <r>
      <rPr>
        <sz val="10"/>
        <rFont val="Arial"/>
        <family val="2"/>
      </rPr>
      <t xml:space="preserve"> Attainment Status (select one):</t>
    </r>
  </si>
  <si>
    <t>CO</t>
  </si>
  <si>
    <r>
      <t>NO</t>
    </r>
    <r>
      <rPr>
        <b/>
        <vertAlign val="subscript"/>
        <sz val="10"/>
        <rFont val="Arial"/>
        <family val="2"/>
      </rPr>
      <t>x</t>
    </r>
  </si>
  <si>
    <r>
      <t>SO</t>
    </r>
    <r>
      <rPr>
        <b/>
        <vertAlign val="subscript"/>
        <sz val="10"/>
        <rFont val="Arial"/>
        <family val="2"/>
      </rPr>
      <t>2</t>
    </r>
  </si>
  <si>
    <r>
      <t>PM</t>
    </r>
    <r>
      <rPr>
        <b/>
        <vertAlign val="subscript"/>
        <sz val="10"/>
        <rFont val="Arial"/>
        <family val="2"/>
      </rPr>
      <t>10</t>
    </r>
  </si>
  <si>
    <r>
      <t>PM</t>
    </r>
    <r>
      <rPr>
        <b/>
        <vertAlign val="subscript"/>
        <sz val="10"/>
        <rFont val="Arial"/>
        <family val="2"/>
      </rPr>
      <t>2.5</t>
    </r>
  </si>
  <si>
    <t>Natural Gas</t>
  </si>
  <si>
    <t>Oil - Distillate</t>
  </si>
  <si>
    <t>Total PM</t>
  </si>
  <si>
    <t>1000 gal</t>
  </si>
  <si>
    <t>U.S. Environmental Protection Agency in collaboration with the Eastern Regional Technical Advisory Committee, 2009, http://ertac.us/compare/state_comparison_ERTAC_SS_version7.2_23nov2009.xls. Based on emissions factors in AP-42, Fifth Edition, Volume I, Chapter 1: External Combustion Sources, http://www.epa.gov/ttn/chief/ap42/ch01/index.html.</t>
  </si>
  <si>
    <r>
      <t>NO</t>
    </r>
    <r>
      <rPr>
        <vertAlign val="subscript"/>
        <sz val="10"/>
        <rFont val="Arial"/>
        <family val="2"/>
      </rPr>
      <t>x</t>
    </r>
  </si>
  <si>
    <r>
      <t>SO</t>
    </r>
    <r>
      <rPr>
        <vertAlign val="subscript"/>
        <sz val="10"/>
        <rFont val="Arial"/>
        <family val="2"/>
      </rPr>
      <t>2</t>
    </r>
  </si>
  <si>
    <r>
      <t>PM</t>
    </r>
    <r>
      <rPr>
        <vertAlign val="subscript"/>
        <sz val="10"/>
        <rFont val="Arial"/>
        <family val="2"/>
      </rPr>
      <t>10</t>
    </r>
  </si>
  <si>
    <r>
      <t>PM</t>
    </r>
    <r>
      <rPr>
        <vertAlign val="subscript"/>
        <sz val="10"/>
        <rFont val="Arial"/>
        <family val="2"/>
      </rPr>
      <t>2.5</t>
    </r>
  </si>
  <si>
    <t>carbon monoxide</t>
  </si>
  <si>
    <t>nitrogen oxides</t>
  </si>
  <si>
    <t>sulfur dioxide</t>
  </si>
  <si>
    <t>Electricity</t>
  </si>
  <si>
    <t>million British thermal units</t>
  </si>
  <si>
    <t>Units</t>
  </si>
  <si>
    <t>Hot Mix Asphalt Plant Registration Calculator</t>
  </si>
  <si>
    <t>Facility Type</t>
  </si>
  <si>
    <t>Drum Mix</t>
  </si>
  <si>
    <t>Batch Mix</t>
  </si>
  <si>
    <t>Heater Questions</t>
  </si>
  <si>
    <t>Waste Oil</t>
  </si>
  <si>
    <t>Oil - Residual</t>
  </si>
  <si>
    <t>SO2</t>
  </si>
  <si>
    <t>NOx</t>
  </si>
  <si>
    <t>tons of HMA</t>
  </si>
  <si>
    <t>U.S. Environmental Protection Agency. 2004. AP 42, Fifth Edition, Volume I, Chapter 11.1 Hot Mix Asphalt. Table 11.1-7. Available electronically at: http://www.epa.gov/ttnchie1/ap42/ch11/final/c11s01.pdf</t>
  </si>
  <si>
    <t>Heater Fuel Types</t>
  </si>
  <si>
    <t>Dryer Fuel Types</t>
  </si>
  <si>
    <t>Heater:</t>
  </si>
  <si>
    <t>Heater</t>
  </si>
  <si>
    <t>Fuel Energy Content</t>
  </si>
  <si>
    <t>Units Same as Source</t>
  </si>
  <si>
    <t>Fuel</t>
  </si>
  <si>
    <t>Energy Content</t>
  </si>
  <si>
    <t>Energy Content Numerator</t>
  </si>
  <si>
    <t>Energy Content Denominator</t>
  </si>
  <si>
    <t>MMBtu</t>
  </si>
  <si>
    <t>bbl</t>
  </si>
  <si>
    <r>
      <t xml:space="preserve">U.S. Energy Information Administration, </t>
    </r>
    <r>
      <rPr>
        <b/>
        <sz val="10"/>
        <rFont val="Arial"/>
        <family val="2"/>
      </rPr>
      <t>Annual Energy Review 2011</t>
    </r>
    <r>
      <rPr>
        <sz val="10"/>
        <rFont val="Arial"/>
        <family val="2"/>
      </rPr>
      <t xml:space="preserve">, </t>
    </r>
    <r>
      <rPr>
        <i/>
        <sz val="10"/>
        <rFont val="Arial"/>
        <family val="2"/>
      </rPr>
      <t>Table A1. Approximate Heat Content of Petroleum Products (Million Btu per Barrel)</t>
    </r>
    <r>
      <rPr>
        <sz val="10"/>
        <rFont val="Arial"/>
        <family val="2"/>
      </rPr>
      <t>, September 2012, http://www.eia.gov/totalenergy/data/annual/pdf/aer.pdf.</t>
    </r>
  </si>
  <si>
    <t>U.S. Environmental Protection Agency, Direct Emissions from Stationary Combustion Sources, EPA430-K-08-003, May 2008, http://www.epa.gov/climateleadership/documents/resources/stationarycombustionguidance.pdf.</t>
  </si>
  <si>
    <t>Btu</t>
  </si>
  <si>
    <r>
      <t>ft</t>
    </r>
    <r>
      <rPr>
        <vertAlign val="superscript"/>
        <sz val="10"/>
        <rFont val="Arial"/>
        <family val="2"/>
      </rPr>
      <t>3</t>
    </r>
  </si>
  <si>
    <r>
      <t xml:space="preserve">U.S. Energy Information Administration, </t>
    </r>
    <r>
      <rPr>
        <b/>
        <sz val="10"/>
        <rFont val="Arial"/>
        <family val="2"/>
      </rPr>
      <t>Annual Energy Review 2011</t>
    </r>
    <r>
      <rPr>
        <sz val="10"/>
        <rFont val="Arial"/>
        <family val="2"/>
      </rPr>
      <t xml:space="preserve">, </t>
    </r>
    <r>
      <rPr>
        <i/>
        <sz val="10"/>
        <rFont val="Arial"/>
        <family val="2"/>
      </rPr>
      <t>Table A4. Approximate Heat Content of Natural Gas</t>
    </r>
    <r>
      <rPr>
        <sz val="10"/>
        <rFont val="Arial"/>
        <family val="2"/>
      </rPr>
      <t>, September 2012,  http://www.eia.gov/totalenergy/data/annual/pdf/aer.pdf.</t>
    </r>
  </si>
  <si>
    <t>Units Converted to Match Emission Factors</t>
  </si>
  <si>
    <t>%</t>
  </si>
  <si>
    <t>U.S. Environmental Protection Agency 1993. Emissions Factor Documentation for AP-42 Section 1.11 Waste Oil Combustion. Table 2-1. Available electronically at: http://www.epa.gov/ttnchie1/ap42/ch01/bgdocs/b01s11.pdf</t>
  </si>
  <si>
    <t>U.S. Environmental Protection Agency. 2004. AP 42, Fifth Edition, Volume I, Chapter 1.11 Waste Oil Combustion. Table 1.11-1. Available electronically at: http://www.epa.gov/ttn/chief/ap42/ch01/final/c01s11.pdf</t>
  </si>
  <si>
    <t>U.S. Environmental Protection Agency. 2004. AP 42, Fifth Edition, Volume I, Chapter 1.11 Waste Oil Combustion. Table 1.11-2. Available electronically at: http://www.epa.gov/ttn/chief/ap42/ch01/final/c01s11.pdf</t>
  </si>
  <si>
    <t>U.S. Environmental Protection Agency. 2004. AP 42, Fifth Edition, Volume I, Chapter 1.11 Waste Oil Combustion. Table 1.11-3. Available electronically at: http://www.epa.gov/ttn/chief/ap42/ch01/final/c01s11.pdf</t>
  </si>
  <si>
    <t>Engineering Assumption</t>
  </si>
  <si>
    <t>NA</t>
  </si>
  <si>
    <t>Dryer (Drum Mix):</t>
  </si>
  <si>
    <t>Dryer (Batch Mix):</t>
  </si>
  <si>
    <t>U.S. Environmental Protection Agency. 2004. AP 42, Fifth Edition, Volume I, Chapter 11.1 Hot Mix Asphalt. Table 11.1-3. Available electronically at: http://www.epa.gov/ttnchie1/ap42/ch11/final/c11s01.pdf</t>
  </si>
  <si>
    <t>U.S. Environmental Protection Agency. 2004. AP 42, Fifth Edition, Volume I, Chapter 11.1 Hot Mix Asphalt. Table 11.1-8. Available electronically at: http://www.epa.gov/ttnchie1/ap42/ch11/final/c11s01.pdf</t>
  </si>
  <si>
    <t>U.S. Environmental Protection Agency. 2004. AP 42, Fifth Edition, Volume I, Chapter 11.1 Hot Mix Asphalt. Table 11.1-6. Available electronically at: http://www.epa.gov/ttnchie1/ap42/ch11/final/c11s01.pdf</t>
  </si>
  <si>
    <t>U.S. Environmental Protection Agency. 2004. AP 42, Fifth Edition, Volume I, Chapter 11.1 Hot Mix Asphalt. Table 11.1-1. Available electronically at: http://www.epa.gov/ttnchie1/ap42/ch11/final/c11s01.pdf</t>
  </si>
  <si>
    <t>United States Environmental Protection Agency (EPA). 1996. Emission Inventory Improvement Program, Volume 2: Preferred and Alternative Methods for Estimating Air Emissions from Hot-Mix Asphalt Plants. Accessible electronically at: http://www.epa.gov/ttn/chief/eiip/techreport/volume02/ii03.pdf</t>
  </si>
  <si>
    <t>4: Facility Use Questions</t>
  </si>
  <si>
    <t>U.S. Environmental Protection Agency, AP-42, Fifth Edition, Volume I, Chapter 1: External Combustion, Section 1.11: Waste Oil Combustion, 1996, available at http://www.epa.gov/ttn/chief/ap42/ch01/final/c01s11.pdf</t>
  </si>
  <si>
    <t>Dryer Questions</t>
  </si>
  <si>
    <t>General Questions</t>
  </si>
  <si>
    <t>Assumed equal to emissions factors for Oil - Distillate and Waste oil from U.S. Environmental Protection Agency. 2004. AP 42, Fifth Edition, Volume I, Chapter 11.1 Hot Mix Asphalt. Table 11.1-8. Available electronically at: http://www.epa.gov/ttnchie1/ap42/ch11/final/c11s01.pdf</t>
  </si>
  <si>
    <t>Dryer, Mix</t>
  </si>
  <si>
    <t xml:space="preserve">Dryer, Mix </t>
  </si>
  <si>
    <t>Registration Calculator Inputs</t>
  </si>
  <si>
    <t>Registration Summary</t>
  </si>
  <si>
    <t>Cells shaded gray do not need to be completed.</t>
  </si>
  <si>
    <t>Jonathan Dorn
Matt Hynson</t>
  </si>
  <si>
    <t>Tracey Westfield</t>
  </si>
  <si>
    <t xml:space="preserve">jonathan_dorn@abtassoc.com </t>
  </si>
  <si>
    <t xml:space="preserve">Hot-mix asphalt plants mix and heat a combination of aggregate, recycled materials, and liquid cement to produce an asphalt suitable for paving applications. The process of creating hot-mix asphalt involves heating and drying aggregate and then applying cement to bond the material together.  HMA plants can be categorized as either batch mix plants or drum mix plants. In batch mix plants, specified quantities of asphalt components are dried, mixed, and heated in separate “batches”, while in drum mix plants this occurs in a continuous process. The majority of emissions from an HMA plant come from the drying process. Combustion in the dryer can release nitrogen oxides, sulfur oxides, and products of incomplete combustion, such as carbon monoxide, and VOCs. HMA plants also release particulate matter through the drying process, as well as in the handling and storage of raw materials. 
</t>
  </si>
  <si>
    <r>
      <t xml:space="preserve">You will need to enter information on the operations at your facility.  This workbook automatically calculates air pollutant emissions based on this information.  Some sample data have already been entered (in blue font) to assist with filling this out.  You will need to replace these sample data with your own.  The last tab along the bottom of this workbook, called the </t>
    </r>
    <r>
      <rPr>
        <b/>
        <i/>
        <sz val="10"/>
        <rFont val="Arial"/>
        <family val="2"/>
      </rPr>
      <t>Output-Summary Printout</t>
    </r>
    <r>
      <rPr>
        <sz val="10"/>
        <rFont val="Arial"/>
        <family val="2"/>
      </rPr>
      <t>, is a one-page summary of your facility's emissions and, based on the information entered, indicates whether your facility is required to register under the Tribal New Source Review Rule.  Please read all instructions below before using this workbook.  All worksheets in this workbook are printer-friendly. If necessary, print this page for reference while completing the worksheets.</t>
    </r>
  </si>
  <si>
    <t>EF</t>
  </si>
  <si>
    <t>emission factor</t>
  </si>
  <si>
    <t>Acronyms/Definitions</t>
  </si>
  <si>
    <t>NSR</t>
  </si>
  <si>
    <r>
      <t>PM</t>
    </r>
    <r>
      <rPr>
        <vertAlign val="subscript"/>
        <sz val="10"/>
        <rFont val="Arial"/>
        <family val="2"/>
      </rPr>
      <t>10</t>
    </r>
    <r>
      <rPr>
        <sz val="10"/>
        <rFont val="Arial"/>
        <family val="2"/>
      </rPr>
      <t xml:space="preserve"> </t>
    </r>
  </si>
  <si>
    <r>
      <t>PM</t>
    </r>
    <r>
      <rPr>
        <vertAlign val="subscript"/>
        <sz val="10"/>
        <rFont val="Arial"/>
        <family val="2"/>
      </rPr>
      <t>2.5</t>
    </r>
    <r>
      <rPr>
        <sz val="10"/>
        <rFont val="Arial"/>
        <family val="2"/>
      </rPr>
      <t xml:space="preserve"> </t>
    </r>
  </si>
  <si>
    <t xml:space="preserve">VOC </t>
  </si>
  <si>
    <t>EPA</t>
  </si>
  <si>
    <t>U.S. Environmental Protection Agency</t>
  </si>
  <si>
    <t xml:space="preserve">http://www.epa.gov/oar/oaqps/greenbk/ancl.html </t>
  </si>
  <si>
    <t>Total Emissions</t>
  </si>
  <si>
    <t>Threshold</t>
  </si>
  <si>
    <t>State</t>
  </si>
  <si>
    <t>Zip Code</t>
  </si>
  <si>
    <t>City</t>
  </si>
  <si>
    <t>Albuquerque</t>
  </si>
  <si>
    <t>EPA Regional Contact Information</t>
  </si>
  <si>
    <t>Regional Contact Information</t>
  </si>
  <si>
    <t>State Abbreviation</t>
  </si>
  <si>
    <t>EPA Region</t>
  </si>
  <si>
    <t>Alternate Name</t>
  </si>
  <si>
    <t>Alt Telephone</t>
  </si>
  <si>
    <t>Alt Email</t>
  </si>
  <si>
    <t>Address 1</t>
  </si>
  <si>
    <t>Address 2</t>
  </si>
  <si>
    <t>ZIP</t>
  </si>
  <si>
    <t>Alabama</t>
  </si>
  <si>
    <t>AL</t>
  </si>
  <si>
    <t>Ana Oquendo</t>
  </si>
  <si>
    <t>404-562-9781</t>
  </si>
  <si>
    <t>oquendo.ana@epa.gov</t>
  </si>
  <si>
    <t>Lorinda Shepherd</t>
  </si>
  <si>
    <t>404-562-8435</t>
  </si>
  <si>
    <t>shepherd.lorinda@epa.gov</t>
  </si>
  <si>
    <t>61 Forsyth Street, S.W.</t>
  </si>
  <si>
    <t>12th Floor</t>
  </si>
  <si>
    <t>Atlanta</t>
  </si>
  <si>
    <t>GA</t>
  </si>
  <si>
    <t>30303-8960</t>
  </si>
  <si>
    <t>Alaska</t>
  </si>
  <si>
    <t>AK</t>
  </si>
  <si>
    <t>Bill Todd</t>
  </si>
  <si>
    <t>206-553-6914</t>
  </si>
  <si>
    <t>todd.bill@epa.gov</t>
  </si>
  <si>
    <t>None</t>
  </si>
  <si>
    <t>1200 Sixth Avenue</t>
  </si>
  <si>
    <t>MC: AWT-107</t>
  </si>
  <si>
    <t>Seattle</t>
  </si>
  <si>
    <t>WA</t>
  </si>
  <si>
    <t>Arizona</t>
  </si>
  <si>
    <t>AZ</t>
  </si>
  <si>
    <t>Geoffrey Glass</t>
  </si>
  <si>
    <t>415-972-3498</t>
  </si>
  <si>
    <t>glass.geoffrey@epa.gov</t>
  </si>
  <si>
    <t>Roberto Gutierrez</t>
  </si>
  <si>
    <t>415-947-4276</t>
  </si>
  <si>
    <t>Gutierrez.roberto@epa.gov</t>
  </si>
  <si>
    <t xml:space="preserve">75 Hawthorne St. </t>
  </si>
  <si>
    <t>MC: AIR-3</t>
  </si>
  <si>
    <t>San Francisco</t>
  </si>
  <si>
    <t>CA</t>
  </si>
  <si>
    <t>Arkansas</t>
  </si>
  <si>
    <t>AR</t>
  </si>
  <si>
    <t>Kaushal Gupta</t>
  </si>
  <si>
    <t>312-886-6803</t>
  </si>
  <si>
    <t>gupta.kaushal@epa.gov</t>
  </si>
  <si>
    <t>77 West Jackson Boulevard</t>
  </si>
  <si>
    <t>Rm#: 18130</t>
  </si>
  <si>
    <t>Chicago</t>
  </si>
  <si>
    <t>IL</t>
  </si>
  <si>
    <t>60604-3507</t>
  </si>
  <si>
    <t>California</t>
  </si>
  <si>
    <t>Colorado</t>
  </si>
  <si>
    <t>Claudia Smith</t>
  </si>
  <si>
    <t>303-312-6520</t>
  </si>
  <si>
    <t>smith.claudia@epa.gov</t>
  </si>
  <si>
    <t>Kathleen Paser</t>
  </si>
  <si>
    <t>303-312-6526</t>
  </si>
  <si>
    <t>paser.kathleen@epa.gov</t>
  </si>
  <si>
    <t>1595 Wynkoop St.</t>
  </si>
  <si>
    <t>MC: 8P-AR</t>
  </si>
  <si>
    <t>Denver</t>
  </si>
  <si>
    <t>80202-1129</t>
  </si>
  <si>
    <t>Connecticut</t>
  </si>
  <si>
    <t>CT</t>
  </si>
  <si>
    <t xml:space="preserve">Brendan McCahill </t>
  </si>
  <si>
    <t>617-918-1652</t>
  </si>
  <si>
    <t>McCahill.brendan@epa.gov</t>
  </si>
  <si>
    <t>5 Post Office Square</t>
  </si>
  <si>
    <t>MC: OEP</t>
  </si>
  <si>
    <t>Boston</t>
  </si>
  <si>
    <t>MA</t>
  </si>
  <si>
    <t>02109-3912</t>
  </si>
  <si>
    <t>Florida</t>
  </si>
  <si>
    <t>FL</t>
  </si>
  <si>
    <t>Hawaii</t>
  </si>
  <si>
    <t>HI</t>
  </si>
  <si>
    <t>Idaho</t>
  </si>
  <si>
    <t>ID</t>
  </si>
  <si>
    <t>Illinois</t>
  </si>
  <si>
    <t>Indiana</t>
  </si>
  <si>
    <t>IN</t>
  </si>
  <si>
    <t>Iowa</t>
  </si>
  <si>
    <t>IA</t>
  </si>
  <si>
    <t>Bob Webber</t>
  </si>
  <si>
    <t>913-551-7251</t>
  </si>
  <si>
    <t>webber.robert@epa.gov</t>
  </si>
  <si>
    <t xml:space="preserve">KS  </t>
  </si>
  <si>
    <t>Kansas</t>
  </si>
  <si>
    <t>KS</t>
  </si>
  <si>
    <t>Kentucky</t>
  </si>
  <si>
    <t>KY</t>
  </si>
  <si>
    <t>LA</t>
  </si>
  <si>
    <t>Maine</t>
  </si>
  <si>
    <t>ME</t>
  </si>
  <si>
    <t>Massachusetts</t>
  </si>
  <si>
    <t>Michigan</t>
  </si>
  <si>
    <t>MI</t>
  </si>
  <si>
    <t>Minnesota</t>
  </si>
  <si>
    <t>MN</t>
  </si>
  <si>
    <t>Mississippi</t>
  </si>
  <si>
    <t>MS</t>
  </si>
  <si>
    <t>Missouri</t>
  </si>
  <si>
    <t>MO</t>
  </si>
  <si>
    <t>Montana</t>
  </si>
  <si>
    <t>MT</t>
  </si>
  <si>
    <t>Nebraska</t>
  </si>
  <si>
    <t>NE</t>
  </si>
  <si>
    <t>Nevada</t>
  </si>
  <si>
    <t>NV</t>
  </si>
  <si>
    <t>New Hampshire</t>
  </si>
  <si>
    <t>NH</t>
  </si>
  <si>
    <t>New Jersey</t>
  </si>
  <si>
    <t>NJ</t>
  </si>
  <si>
    <t>Gavin Lau</t>
  </si>
  <si>
    <t>212-637-3708</t>
  </si>
  <si>
    <t>lau.gavin@epa.gov</t>
  </si>
  <si>
    <t>Umesh Dholakia</t>
  </si>
  <si>
    <t>212-637-4023</t>
  </si>
  <si>
    <t>Dholakia.umesh@epa.gov</t>
  </si>
  <si>
    <t>290 Broadway</t>
  </si>
  <si>
    <t>25th Floor</t>
  </si>
  <si>
    <t>New York</t>
  </si>
  <si>
    <t>NY</t>
  </si>
  <si>
    <t>10007-1866</t>
  </si>
  <si>
    <t>New Mexico</t>
  </si>
  <si>
    <t>NM</t>
  </si>
  <si>
    <t>North Carolina</t>
  </si>
  <si>
    <t>NC</t>
  </si>
  <si>
    <t>North Dakota</t>
  </si>
  <si>
    <t>ND</t>
  </si>
  <si>
    <t>Ohio</t>
  </si>
  <si>
    <t>OH</t>
  </si>
  <si>
    <t>Oklahoma</t>
  </si>
  <si>
    <t>OK</t>
  </si>
  <si>
    <t>Oregon</t>
  </si>
  <si>
    <t>OR</t>
  </si>
  <si>
    <t>Rhode Island</t>
  </si>
  <si>
    <t>RI</t>
  </si>
  <si>
    <t>South Carolina</t>
  </si>
  <si>
    <t>SC</t>
  </si>
  <si>
    <t>South Dakota</t>
  </si>
  <si>
    <t>SD</t>
  </si>
  <si>
    <t>Tennessee</t>
  </si>
  <si>
    <t>TN</t>
  </si>
  <si>
    <t>Texas</t>
  </si>
  <si>
    <t>TX</t>
  </si>
  <si>
    <t>Utah</t>
  </si>
  <si>
    <t>UT</t>
  </si>
  <si>
    <t>Vermont</t>
  </si>
  <si>
    <t>VT</t>
  </si>
  <si>
    <t>Washington</t>
  </si>
  <si>
    <t>Wisconsin</t>
  </si>
  <si>
    <t>WI</t>
  </si>
  <si>
    <t>Wyoming</t>
  </si>
  <si>
    <t>WY</t>
  </si>
  <si>
    <t>Delaware</t>
  </si>
  <si>
    <t>DE</t>
  </si>
  <si>
    <t>District of Columbia</t>
  </si>
  <si>
    <t>DC</t>
  </si>
  <si>
    <t>Maryland</t>
  </si>
  <si>
    <t>MD</t>
  </si>
  <si>
    <t>Pennsylvania</t>
  </si>
  <si>
    <t>PA</t>
  </si>
  <si>
    <t>Virginia</t>
  </si>
  <si>
    <t>VA</t>
  </si>
  <si>
    <t>West Virginia</t>
  </si>
  <si>
    <t>WV</t>
  </si>
  <si>
    <t>Primary Contact Name</t>
  </si>
  <si>
    <t>Primary Contact Telephone</t>
  </si>
  <si>
    <t>Primary Contact Email</t>
  </si>
  <si>
    <t>Alternate Contact Name</t>
  </si>
  <si>
    <t>Alternate Contact Telephone</t>
  </si>
  <si>
    <t>Alternate Contact Email</t>
  </si>
  <si>
    <r>
      <t>CO and PM</t>
    </r>
    <r>
      <rPr>
        <b/>
        <vertAlign val="subscript"/>
        <sz val="10"/>
        <rFont val="Arial"/>
        <family val="2"/>
      </rPr>
      <t>10</t>
    </r>
    <r>
      <rPr>
        <b/>
        <sz val="10"/>
        <rFont val="Arial"/>
        <family val="2"/>
      </rPr>
      <t xml:space="preserve"> Attainment Status List</t>
    </r>
  </si>
  <si>
    <t>Nonattainment - moderate</t>
  </si>
  <si>
    <t>Ozone Attainment Status List</t>
  </si>
  <si>
    <t>Nonattainment - marginal</t>
  </si>
  <si>
    <r>
      <t>SO</t>
    </r>
    <r>
      <rPr>
        <b/>
        <vertAlign val="subscript"/>
        <sz val="10"/>
        <rFont val="Arial"/>
        <family val="2"/>
      </rPr>
      <t>2</t>
    </r>
    <r>
      <rPr>
        <b/>
        <sz val="10"/>
        <rFont val="Arial"/>
        <family val="2"/>
      </rPr>
      <t xml:space="preserve"> and PM</t>
    </r>
    <r>
      <rPr>
        <b/>
        <vertAlign val="subscript"/>
        <sz val="10"/>
        <rFont val="Arial"/>
        <family val="2"/>
      </rPr>
      <t>2.5</t>
    </r>
    <r>
      <rPr>
        <b/>
        <sz val="10"/>
        <rFont val="Arial"/>
        <family val="2"/>
      </rPr>
      <t xml:space="preserve"> Attainment Status List</t>
    </r>
  </si>
  <si>
    <t>Nonattainment</t>
  </si>
  <si>
    <t>Name:</t>
  </si>
  <si>
    <t>Address:</t>
  </si>
  <si>
    <t>Telephone:</t>
  </si>
  <si>
    <t>1997 8-Hr Ozone Attainment Status (select one):</t>
  </si>
  <si>
    <t>12/24/2012</t>
  </si>
  <si>
    <t>Emissions Source:</t>
  </si>
  <si>
    <t>particulate matter less than or equal to 10 micrometers (µm) in size</t>
  </si>
  <si>
    <t>particulate matter less than or equal to 2.5 micrometers (µm) in size</t>
  </si>
  <si>
    <t>Bonnie Braganza</t>
  </si>
  <si>
    <t>214-665-7340</t>
  </si>
  <si>
    <t>braganza.bonnie@epa.gov</t>
  </si>
  <si>
    <t>1445 Ross Avenue, Suite 1200</t>
  </si>
  <si>
    <t>MC: 6PD</t>
  </si>
  <si>
    <t>Dallas</t>
  </si>
  <si>
    <t>75202-2733</t>
  </si>
  <si>
    <t>Acme Hot Mix Asphalt</t>
  </si>
  <si>
    <t xml:space="preserve">Average value from U.S. Environmental Protection Agency, AP-42, Fifth Edition, Volume I, Chapter 1: External Combustion, Section 1.4: Natural Gas Combustion, 1998, available at http://www.epa.gov/ttn/chief/ap42/ch01/final/c01s04.pdf. </t>
  </si>
  <si>
    <t>grains/100 scf</t>
  </si>
  <si>
    <t>TOTAL</t>
  </si>
  <si>
    <t>scf</t>
  </si>
  <si>
    <t>standard cubic feet</t>
  </si>
  <si>
    <t>TRIBAL NEW SOURCE REVIEW PROGRAM</t>
  </si>
  <si>
    <t>Registration for Existing True Minor Sources of Air Pollution in Indian Country</t>
  </si>
  <si>
    <t>What is the Tribal New Source Review Rule?</t>
  </si>
  <si>
    <t xml:space="preserve">The Tribal New Source Review (NSR) Rule protects public health and the environment in Indian country as new facilities are built, and existing facilities expand, without unduly burdening economic development.  The Tribal NSR Rule establishes a registration program that will allow the United States Environmental Protection Agency (EPA) to develop and maintain a record of minor source emissions in Indian country.  The EPA developed the Excel Workbook Registration Calculators for you (the source owner/operator) to use to determine if you must register and to facilitate the registration process, if required.  
</t>
  </si>
  <si>
    <r>
      <rPr>
        <sz val="10"/>
        <rFont val="Arial"/>
        <family val="2"/>
      </rPr>
      <t xml:space="preserve">Please visit EPA's Tribal Air website at </t>
    </r>
    <r>
      <rPr>
        <u/>
        <sz val="10"/>
        <color theme="10"/>
        <rFont val="Arial"/>
        <family val="2"/>
      </rPr>
      <t xml:space="preserve">http://www.epa.gov/air/tribal/tribalnsr.html </t>
    </r>
    <r>
      <rPr>
        <sz val="10"/>
        <rFont val="Arial"/>
        <family val="2"/>
      </rPr>
      <t>for more information about the Tribal NSR Rule.</t>
    </r>
  </si>
  <si>
    <t>Do I need to register my minor source?</t>
  </si>
  <si>
    <t>You are exempt from the registration requirement if your source is subject to the registration requirements under 40 CFR 49.138—Rule for the registration of air pollution sources and the reporting of emissions (also known as the Federal Air Rules for Reservations (FARR)).  The FARR is a set of federal air rules that only apply to 39 Indian Reservations in Idaho, Oregon, and Washington.
If your air pollution source is not located on one of the 39 Indian Reservations in Idaho, Oregon, or Washington, you must register your source with your EPA Regional Office (the reviewing authority) by March 1, 2013 if you own or operate an existing true minor air pollution source (as defined in 40 CFR 49.152(d)) and your source’s emissions are equal to or greater than the cutoff levels listed in Table 1 at 40 CFR 49.153.</t>
  </si>
  <si>
    <r>
      <t xml:space="preserve">How do I determine if my source is a </t>
    </r>
    <r>
      <rPr>
        <b/>
        <i/>
        <sz val="10"/>
        <rFont val="Arial"/>
        <family val="2"/>
      </rPr>
      <t>true minor</t>
    </r>
    <r>
      <rPr>
        <b/>
        <sz val="10"/>
        <rFont val="Arial"/>
        <family val="2"/>
      </rPr>
      <t xml:space="preserve"> source?</t>
    </r>
  </si>
  <si>
    <t>True minor source means a source, not including exempt emissions units and activities listed in 40 CFR 49.153(c), that emits or has the potential to emit regulated NSR pollutants in amounts that are less than the major source thresholds in 40 CFR 52.21, (generally 100 to 250 tons per year), but equal to or greater than the minor NSR thresholds in Table 1 at 40 CFR 49.153, without the need to take an enforceable restriction to reduce its potential to emit to such levels.  That is, a true minor source is a minor source that is not a synthetic minor source.  The potential to emit includes fugitive emissions, to the extent that they are quantifiable, only if the source belongs to one of the source categories listed in 40 CFR 51, Appendix S, paragraph II.A.4(iii).</t>
  </si>
  <si>
    <t>How do I register my true minor source?</t>
  </si>
  <si>
    <t>The EPA has provided this registration calculator to assist you in determining your registration requirements. Completing this calculator will:</t>
  </si>
  <si>
    <t>1.</t>
  </si>
  <si>
    <r>
      <t>help you determine if you need to register your air pollution emission source, based on your emission level and area’s attainment status</t>
    </r>
    <r>
      <rPr>
        <b/>
        <sz val="10"/>
        <rFont val="Arial"/>
        <family val="2"/>
      </rPr>
      <t>;</t>
    </r>
    <r>
      <rPr>
        <sz val="10"/>
        <rFont val="Arial"/>
        <family val="2"/>
      </rPr>
      <t xml:space="preserve"> and</t>
    </r>
  </si>
  <si>
    <t>2.</t>
  </si>
  <si>
    <t>How often must I register?</t>
  </si>
  <si>
    <t>This is a one-time registration for your true minor source.  However, after registration, you must notify your EPA Regional Office in writing if:</t>
  </si>
  <si>
    <t>your source relocates (send report no later than 30 days prior to relocation);</t>
  </si>
  <si>
    <t>your source has a new owner/operator (send report within 90 days after change in ownership); or</t>
  </si>
  <si>
    <t>3.</t>
  </si>
  <si>
    <t>your source closes (send report within 90 days after cessation of all operations).</t>
  </si>
  <si>
    <t>May I register using my own emission information, rather than using the Registration Calculators?</t>
  </si>
  <si>
    <t>The Registration Calculators are provided for the convenience of most minor sources, which are unlikely to have tracked emissions data since minor sources in Indian country have been unregulated until now.  However, if you have actual emission data from your source you may choose not to use the calculator(s), but your registration information must comply with all of the requirements in 40 CFR 49.160 and be submitted using the form provided on EPA's Tribal Air website. Please click on the URL below to access the form.</t>
  </si>
  <si>
    <t xml:space="preserve">http://www.epa.gov/air/tribal/pdfs/existing_source_registration_rev.pdf </t>
  </si>
  <si>
    <t>How does registration relate to obtaining a permit?</t>
  </si>
  <si>
    <r>
      <t xml:space="preserve">Registering your source does not relieve you of the requirement to obtain any required permit.  Please note that </t>
    </r>
    <r>
      <rPr>
        <i/>
        <sz val="10"/>
        <rFont val="Arial"/>
        <family val="2"/>
      </rPr>
      <t>registering</t>
    </r>
    <r>
      <rPr>
        <sz val="10"/>
        <rFont val="Arial"/>
        <family val="2"/>
      </rPr>
      <t xml:space="preserve"> your source and </t>
    </r>
    <r>
      <rPr>
        <i/>
        <sz val="10"/>
        <rFont val="Arial"/>
        <family val="2"/>
      </rPr>
      <t>obtaining a permit</t>
    </r>
    <r>
      <rPr>
        <sz val="10"/>
        <rFont val="Arial"/>
        <family val="2"/>
      </rPr>
      <t xml:space="preserve">, if needed, are two different and separate requirements.  The emissions information generated by the Registration Calculators is different than the emissions information needed for a permit application, thus you may </t>
    </r>
    <r>
      <rPr>
        <b/>
        <i/>
        <sz val="10"/>
        <rFont val="Arial"/>
        <family val="2"/>
      </rPr>
      <t>not</t>
    </r>
    <r>
      <rPr>
        <sz val="10"/>
        <rFont val="Arial"/>
        <family val="2"/>
      </rPr>
      <t xml:space="preserve"> use the Registration Calculator emissions information when applying for a permit.</t>
    </r>
  </si>
  <si>
    <t>Registration steps for existing true minor sources:</t>
  </si>
  <si>
    <t>Complete this calculator and all other calculators that are applicable to your true minor source as accurately as possible.</t>
  </si>
  <si>
    <t>Once completed, the calculator’s Output-Summary Printout worksheet will provide information on your registration requirements.</t>
  </si>
  <si>
    <t>4.</t>
  </si>
  <si>
    <t>5.</t>
  </si>
  <si>
    <t>If you have any questions about registration or completing the calculators, please contact your EPA Regional Office.</t>
  </si>
  <si>
    <t>Emission Controls and Operational Restrictions</t>
  </si>
  <si>
    <r>
      <t>PM</t>
    </r>
    <r>
      <rPr>
        <vertAlign val="subscript"/>
        <sz val="10"/>
        <rFont val="Arial"/>
        <family val="2"/>
      </rPr>
      <t>2.5</t>
    </r>
    <r>
      <rPr>
        <sz val="10"/>
        <rFont val="Arial"/>
        <family val="2"/>
      </rPr>
      <t xml:space="preserve"> Attainment Status (select one):</t>
    </r>
  </si>
  <si>
    <t>Georgia</t>
  </si>
  <si>
    <t>Louisiana</t>
  </si>
  <si>
    <t>Estimated Actual Emissions
for 2012</t>
  </si>
  <si>
    <t>Registration Determination</t>
  </si>
  <si>
    <t>Exceeds Major Source Threshold Determination</t>
  </si>
  <si>
    <t>Allowable Emissions</t>
  </si>
  <si>
    <t>Estimated Actual Emissions for 2012 (tons/yr):</t>
  </si>
  <si>
    <t>Allowable Emissions (tons/yr):</t>
  </si>
  <si>
    <r>
      <t xml:space="preserve">This workbook is an aid to assist facility owners/operators in determining their need to register their facility under the Tribal New Source Review Rule. Owners/operators should provide the best estimate of inputs required in this workbook based on their facility's existing available records, actual test data, manufacturers' data and/or fuel (instrumentation) meters. If a source owner/operator has a more accurate methodology for estimating emissions, he/she is not obligated to use this registration calculator; however, the source owner/operator must comply with all of the applicable requirements in 40 CFR 49.160 and submit all registration information using the forms provided on EPA's Tribal Air website. For example, if you believe that the actual emissions in calendar year 2012 estimated using this calculator are not representative of the emissions that your source actually emitted, you may submit your own estimate of actual emissions and the rationale for the actual emissions.
</t>
    </r>
    <r>
      <rPr>
        <b/>
        <i/>
        <sz val="10"/>
        <color rgb="FFFF0000"/>
        <rFont val="Arial"/>
        <family val="2"/>
      </rPr>
      <t xml:space="preserve">Please note that the emissions information generated by this registration calculator is different than the emissions information needed for a permit application, thus you may not use the registration calculator emission estimates when applying for a permit (if required). </t>
    </r>
  </si>
  <si>
    <r>
      <t xml:space="preserve">Owners/operators of hot mix asphalt (HMA) plants must evaluate the emissions of air pollutants from their facility to determine the need to register their facility under the Tribal New Source Review Rule. This workbook should </t>
    </r>
    <r>
      <rPr>
        <b/>
        <i/>
        <sz val="10"/>
        <rFont val="Arial"/>
        <family val="2"/>
      </rPr>
      <t>not</t>
    </r>
    <r>
      <rPr>
        <sz val="10"/>
        <rFont val="Arial"/>
        <family val="2"/>
      </rPr>
      <t xml:space="preserve"> be used for permitting purposes.</t>
    </r>
  </si>
  <si>
    <t>Explanation of Text Colors and Cell Shading</t>
  </si>
  <si>
    <r>
      <t xml:space="preserve">Text in </t>
    </r>
    <r>
      <rPr>
        <b/>
        <sz val="10"/>
        <color rgb="FFFF0000"/>
        <rFont val="Arial"/>
        <family val="2"/>
      </rPr>
      <t>red</t>
    </r>
    <r>
      <rPr>
        <sz val="10"/>
        <rFont val="Arial"/>
        <family val="2"/>
      </rPr>
      <t xml:space="preserve"> or </t>
    </r>
    <r>
      <rPr>
        <b/>
        <sz val="10"/>
        <color rgb="FFCC6600"/>
        <rFont val="Arial"/>
        <family val="2"/>
      </rPr>
      <t>brown</t>
    </r>
    <r>
      <rPr>
        <sz val="10"/>
        <rFont val="Arial"/>
        <family val="2"/>
      </rPr>
      <t xml:space="preserve"> is a disclaimer or calculated value and cannot be changed.</t>
    </r>
  </si>
  <si>
    <r>
      <t xml:space="preserve">Text in </t>
    </r>
    <r>
      <rPr>
        <b/>
        <sz val="10"/>
        <color indexed="12"/>
        <rFont val="Arial"/>
        <family val="2"/>
      </rPr>
      <t>blue</t>
    </r>
    <r>
      <rPr>
        <sz val="10"/>
        <rFont val="Arial"/>
        <family val="2"/>
      </rPr>
      <t xml:space="preserve"> is to be overwritten, as necessary, with your facility's inputs.</t>
    </r>
  </si>
  <si>
    <r>
      <t xml:space="preserve">Text in </t>
    </r>
    <r>
      <rPr>
        <b/>
        <sz val="10"/>
        <rFont val="Arial"/>
        <family val="2"/>
      </rPr>
      <t>black</t>
    </r>
    <r>
      <rPr>
        <sz val="10"/>
        <rFont val="Arial"/>
        <family val="2"/>
      </rPr>
      <t xml:space="preserve"> is a title, heading or calculated value and cannot be changed.</t>
    </r>
  </si>
  <si>
    <t>Allowable
Emissions</t>
  </si>
  <si>
    <t>Potential annual emissions from a source calculated using the maximum rated capacity of the source (unless the source is subject to practically and legally enforceable limits which restrict the operating rate, or hours of operation, or both) and any applicable standards as set forth in 40 CFR parts 60 and 61.</t>
  </si>
  <si>
    <t>CE</t>
  </si>
  <si>
    <t>control efficiency</t>
  </si>
  <si>
    <t>Estimated Actual Emissions</t>
  </si>
  <si>
    <t>Estimates of actual emissions take into account equipment, operating conditions, and air pollution control measures and are calculated using the actual operating hours, production rates, in-place control equipment, and types of materials processed, stored, or combusted during the preceding calendar year (e.g., 2012).</t>
  </si>
  <si>
    <r>
      <t xml:space="preserve">On the </t>
    </r>
    <r>
      <rPr>
        <b/>
        <i/>
        <sz val="10"/>
        <rFont val="Arial"/>
        <family val="2"/>
      </rPr>
      <t>Inputs</t>
    </r>
    <r>
      <rPr>
        <sz val="10"/>
        <rFont val="Arial"/>
        <family val="2"/>
      </rPr>
      <t xml:space="preserve"> worksheet, replace the default facility information with information specific to your facility.</t>
    </r>
  </si>
  <si>
    <r>
      <t>On the</t>
    </r>
    <r>
      <rPr>
        <b/>
        <i/>
        <sz val="10"/>
        <rFont val="Arial"/>
        <family val="2"/>
      </rPr>
      <t xml:space="preserve"> Inputs</t>
    </r>
    <r>
      <rPr>
        <sz val="10"/>
        <rFont val="Arial"/>
        <family val="2"/>
      </rPr>
      <t xml:space="preserve"> worksheet, select the air basin attainment status for each pollutant from the drop-down lists for the air basin in which your facility resides. This information is necessary since the pollutant thresholds that trigger registration requirements vary by attainment status. If you are unsure of the appropriate attainment statuses for the air basin in which your facility is located, refer to EPA’s Green Book (available by clicking on the link below) or ask your EPA Regional contact for help. Your EPA Regional contact will be listed on the </t>
    </r>
    <r>
      <rPr>
        <b/>
        <i/>
        <sz val="10"/>
        <rFont val="Arial"/>
        <family val="2"/>
      </rPr>
      <t>Inputs</t>
    </r>
    <r>
      <rPr>
        <sz val="10"/>
        <rFont val="Arial"/>
        <family val="2"/>
      </rPr>
      <t xml:space="preserve"> worksheet once you have selected the correct state in which your facility resides.</t>
    </r>
  </si>
  <si>
    <r>
      <t>The</t>
    </r>
    <r>
      <rPr>
        <b/>
        <i/>
        <sz val="10"/>
        <rFont val="Arial"/>
        <family val="2"/>
      </rPr>
      <t xml:space="preserve"> Total Emissions</t>
    </r>
    <r>
      <rPr>
        <sz val="10"/>
        <rFont val="Arial"/>
        <family val="2"/>
      </rPr>
      <t xml:space="preserve"> worksheet provides a summary of your estimated actual emissions and allowable emissions by source. The </t>
    </r>
    <r>
      <rPr>
        <b/>
        <i/>
        <sz val="10"/>
        <rFont val="Arial"/>
        <family val="2"/>
      </rPr>
      <t>Output-Summary Printout</t>
    </r>
    <r>
      <rPr>
        <sz val="10"/>
        <rFont val="Arial"/>
        <family val="2"/>
      </rPr>
      <t xml:space="preserve"> worksheet provides a facility-level summary of your estimated actual emissions and allowable emissions and indicates whether or not your facility is required to register under the Tribal New Source Review Rule.   </t>
    </r>
  </si>
  <si>
    <t>On average, how many hours a week did your facility produce hot mix asphalt in 2012?</t>
  </si>
  <si>
    <t>What fuel did your plant's heater use in 2012?</t>
  </si>
  <si>
    <t>Did your facility use a batch mix or a drum mix in calendar year 2012?</t>
  </si>
  <si>
    <t>What fuel did your plant's dryer use in calendar year 2012?</t>
  </si>
  <si>
    <t>What was the capacity of your heater in calendar year 2012? (in MMBtu/hr)</t>
  </si>
  <si>
    <t>40 CFR 49.130(d)(2)</t>
  </si>
  <si>
    <t>Waste Oil Allowable Ash Content</t>
  </si>
  <si>
    <t>Waste Oil Allowable Sulfur Content</t>
  </si>
  <si>
    <t>Natural Gas Allowable Sulfur Content</t>
  </si>
  <si>
    <t>Oil Distillate Allowable Sulfur Content</t>
  </si>
  <si>
    <t>Oil Residual Allowable Sulfur Content</t>
  </si>
  <si>
    <t>Allowable Emission Factor</t>
  </si>
  <si>
    <t>Actual Emission Factor</t>
  </si>
  <si>
    <t xml:space="preserve">11201 Renner Blvd. </t>
  </si>
  <si>
    <t xml:space="preserve">MC: AWMD/APCO </t>
  </si>
  <si>
    <t>Lenexa</t>
  </si>
  <si>
    <t>Waste Oil Actual Ash Content</t>
  </si>
  <si>
    <t>Waste Oil Actual Sulfur Content</t>
  </si>
  <si>
    <t>Natural Gas Actual Sulfur Content</t>
  </si>
  <si>
    <t>Oil Distillate Actual Sulfur Content</t>
  </si>
  <si>
    <t>Oil Residual Actual Sulfur Content</t>
  </si>
  <si>
    <r>
      <t xml:space="preserve">Note: Your facility's information and estimates will be entered on the </t>
    </r>
    <r>
      <rPr>
        <b/>
        <i/>
        <sz val="10"/>
        <rFont val="Arial"/>
        <family val="2"/>
      </rPr>
      <t>Inputs</t>
    </r>
    <r>
      <rPr>
        <b/>
        <i/>
        <sz val="10"/>
        <rFont val="Arial"/>
        <family val="2"/>
      </rPr>
      <t xml:space="preserve"> </t>
    </r>
    <r>
      <rPr>
        <sz val="10"/>
        <rFont val="Arial"/>
        <family val="2"/>
      </rPr>
      <t>and</t>
    </r>
    <r>
      <rPr>
        <b/>
        <i/>
        <sz val="10"/>
        <rFont val="Arial"/>
        <family val="2"/>
      </rPr>
      <t xml:space="preserve"> Controls and Restrictions</t>
    </r>
    <r>
      <rPr>
        <sz val="10"/>
        <rFont val="Arial"/>
        <family val="2"/>
      </rPr>
      <t xml:space="preserve"> worksheets.</t>
    </r>
  </si>
  <si>
    <t>5: Emission Controls and
    Operational Restrictions</t>
  </si>
  <si>
    <t>6:  Emissions Summaries</t>
  </si>
  <si>
    <t xml:space="preserve">Corrected address on Output-Summary Printout worksheet. Corrected EPA Regional contact table. Adopted "estimated actual emissions" and "allowable emissions" terminology throughout, added Registration FAQs and Controls and Restrictions worksheets, removed fugitive emissions. </t>
  </si>
  <si>
    <t>Assumed equal to emissions factors for Oil - Distillate and Waste oil from U.S. Environmental Protection Agency. 2004. AP 42, Fifth Edition, Volume I, Chapter 11.1 Hot Mix Asphalt. Table 11.1-5. Available electronically at: http://www.epa.gov/ttnchie1/ap42/ch11/final/c11s01.pdf</t>
  </si>
  <si>
    <t>U.S. Environmental Protection Agency. 2004. AP 42, Fifth Edition, Volume I, Chapter 11.1 Hot Mix Asphalt. Table 11.1-5. Available electronically at: http://www.epa.gov/ttnchie1/ap42/ch11/final/c11s01.pdf</t>
  </si>
  <si>
    <t>U.S. Environmental Protection Agency. 2004. AP 42, Fifth Edition, Volume I, Chapter 11.1 Hot Mix Asphalt. Table 11.1-4. Available electronically at: http://www.epa.gov/ttnchie1/ap42/ch11/final/c11s01.pdf</t>
  </si>
  <si>
    <t>Assumed equal to emissions factors for Oil - Distillate and Waste oil from U.S. Environmental Protection Agency. 2004. AP 42, Fifth Edition, Volume I, Chapter 11.1 Hot Mix Asphalt. Table 11.1-7. Available electronically at: http://www.epa.gov/ttnchie1/ap42/ch11/final/c11s01.pdf</t>
  </si>
  <si>
    <t>Assumed same as PM-10.</t>
  </si>
  <si>
    <r>
      <t>Assumed same as PM</t>
    </r>
    <r>
      <rPr>
        <vertAlign val="subscript"/>
        <sz val="10"/>
        <rFont val="Arial"/>
        <family val="2"/>
      </rPr>
      <t>10</t>
    </r>
    <r>
      <rPr>
        <sz val="10"/>
        <rFont val="Arial"/>
        <family val="2"/>
      </rPr>
      <t>.</t>
    </r>
  </si>
  <si>
    <t>MMscf</t>
  </si>
  <si>
    <t>million standard cubic feet</t>
  </si>
  <si>
    <t>Allowable value from 40 CFR Section 49.130(d)(8); 1.1 grams S per standard cubic meter = 48 grains per 100 scf</t>
  </si>
  <si>
    <t>40 CFR 49.130(d)(3)</t>
  </si>
  <si>
    <t>40 CFR 49.130(d)(4)</t>
  </si>
  <si>
    <t>What was the average hourly asphalt production rate of your plant in 2012? (in tons of hot mix asphalt/hr)</t>
  </si>
  <si>
    <t>What was the maximum hourly asphalt production capacity of your plant in 2012? (in tons of hot mix asphalt/hr)</t>
  </si>
  <si>
    <t>Emission Control Questions</t>
  </si>
  <si>
    <t>Operational Restrictions and Applicable Standards in 40 CFR parts 60 and 61</t>
  </si>
  <si>
    <t>PM Controls</t>
  </si>
  <si>
    <t xml:space="preserve">Did your facility use particulate matter (PM) control devices on exhaust vents at your facility in 2012? </t>
  </si>
  <si>
    <t>Enter the exhaust gas flow rate per hour from drum or hot mix operations at your facility in calendar year 2012 (in dry standard cubic meters):</t>
  </si>
  <si>
    <t>Actual Emissions from Mix Operations in 2012 (tons/year)</t>
  </si>
  <si>
    <t>Allowable Emissions from Mix Operations in 2012 (tons/yr)</t>
  </si>
  <si>
    <r>
      <t>SO</t>
    </r>
    <r>
      <rPr>
        <b/>
        <vertAlign val="subscript"/>
        <sz val="10"/>
        <rFont val="Arial"/>
        <family val="2"/>
      </rPr>
      <t>2</t>
    </r>
    <r>
      <rPr>
        <b/>
        <sz val="10"/>
        <rFont val="Arial"/>
        <family val="2"/>
      </rPr>
      <t xml:space="preserve"> Control Multiplier</t>
    </r>
  </si>
  <si>
    <r>
      <t>NO</t>
    </r>
    <r>
      <rPr>
        <vertAlign val="subscript"/>
        <sz val="10"/>
        <rFont val="Arial"/>
        <family val="2"/>
      </rPr>
      <t>x</t>
    </r>
    <r>
      <rPr>
        <sz val="10"/>
        <rFont val="Arial"/>
        <family val="2"/>
      </rPr>
      <t xml:space="preserve"> Control Multiplier</t>
    </r>
  </si>
  <si>
    <t>Controlled Actual Emission Factor</t>
  </si>
  <si>
    <r>
      <t>If you used a SO</t>
    </r>
    <r>
      <rPr>
        <vertAlign val="subscript"/>
        <sz val="10"/>
        <rFont val="Arial"/>
        <family val="2"/>
      </rPr>
      <t>2</t>
    </r>
    <r>
      <rPr>
        <sz val="10"/>
        <rFont val="Arial"/>
        <family val="2"/>
      </rPr>
      <t xml:space="preserve"> control device on your heater in calendar year 2012, enter the control efficiency (% reduction) of the control device. If you did not use a SO</t>
    </r>
    <r>
      <rPr>
        <vertAlign val="subscript"/>
        <sz val="10"/>
        <rFont val="Arial"/>
        <family val="2"/>
      </rPr>
      <t>2</t>
    </r>
    <r>
      <rPr>
        <sz val="10"/>
        <rFont val="Arial"/>
        <family val="2"/>
      </rPr>
      <t xml:space="preserve"> control device, then enter 0.</t>
    </r>
  </si>
  <si>
    <r>
      <t>If you used a NO</t>
    </r>
    <r>
      <rPr>
        <vertAlign val="subscript"/>
        <sz val="10"/>
        <rFont val="Arial"/>
        <family val="2"/>
      </rPr>
      <t>x</t>
    </r>
    <r>
      <rPr>
        <sz val="10"/>
        <rFont val="Arial"/>
        <family val="2"/>
      </rPr>
      <t xml:space="preserve"> control device on your heater in calendar year 2012, enter the control efficiency (% reduction) of the control device. If you did not use a NO</t>
    </r>
    <r>
      <rPr>
        <vertAlign val="subscript"/>
        <sz val="10"/>
        <rFont val="Arial"/>
        <family val="2"/>
      </rPr>
      <t>x</t>
    </r>
    <r>
      <rPr>
        <sz val="10"/>
        <rFont val="Arial"/>
        <family val="2"/>
      </rPr>
      <t xml:space="preserve"> control device, then enter 0.</t>
    </r>
  </si>
  <si>
    <r>
      <t xml:space="preserve">On the </t>
    </r>
    <r>
      <rPr>
        <b/>
        <i/>
        <sz val="10"/>
        <rFont val="Arial"/>
        <family val="2"/>
      </rPr>
      <t>Inputs</t>
    </r>
    <r>
      <rPr>
        <sz val="10"/>
        <rFont val="Arial"/>
        <family val="2"/>
      </rPr>
      <t xml:space="preserve"> worksheet, enter information on processes used at your facility. Indicate whether your facility uses a batch or drum mix, as well as your facility's average hourly asphalt production rate and maximum hourly production capacity in calendar year 2012. Also, enter the average number of hours per week that your facility produced hot mix asphalt in 2012. Enter the fuels used by your facility's heater and dryer, the volume of fuel combusted in your heater in 2012, and the sulfur content of the fuel, if you have this information. If you do not know the sulfur content, enter 0 and a default value will be used to estimate actual emissions.</t>
    </r>
  </si>
  <si>
    <t>2/10/2013</t>
  </si>
  <si>
    <t>Jonathan Dorn</t>
  </si>
  <si>
    <r>
      <t xml:space="preserve">On the </t>
    </r>
    <r>
      <rPr>
        <b/>
        <i/>
        <sz val="10"/>
        <rFont val="Arial"/>
        <family val="2"/>
      </rPr>
      <t>Controls and Restrictions</t>
    </r>
    <r>
      <rPr>
        <sz val="10"/>
        <rFont val="Arial"/>
        <family val="2"/>
      </rPr>
      <t xml:space="preserve"> worksheet, select whether your facility used particulate matter (PM) control devices on exhaust vents in 2012. Also, if NO</t>
    </r>
    <r>
      <rPr>
        <vertAlign val="subscript"/>
        <sz val="10"/>
        <rFont val="Arial"/>
        <family val="2"/>
      </rPr>
      <t>x</t>
    </r>
    <r>
      <rPr>
        <sz val="10"/>
        <rFont val="Arial"/>
        <family val="2"/>
      </rPr>
      <t xml:space="preserve"> and/or SO</t>
    </r>
    <r>
      <rPr>
        <vertAlign val="subscript"/>
        <sz val="10"/>
        <rFont val="Arial"/>
        <family val="2"/>
      </rPr>
      <t>2</t>
    </r>
    <r>
      <rPr>
        <sz val="10"/>
        <rFont val="Arial"/>
        <family val="2"/>
      </rPr>
      <t xml:space="preserve"> control devices were used on your facility's heater exhaust in 2012, enter the control efficiency (% reduction) of the control device(s).  40 CFR part 60, subpart I, requires all hot mix asphalt facilities that commenced construction or modification after June 11, 1973, to prevent the discharge of any gases into the atmosphere containing particulate matter in excess of 90 milligrams per dry standard cubic meter. If your facility is subject to this requirement, enter the flow rate of gas per hour in dry standard cubic meters from your drum or batch mix operations. Enter 0 if unknown or not applicable. </t>
    </r>
  </si>
  <si>
    <t xml:space="preserve">Note: 40 CFR part 60, subpart I, requires all hot mix asphalt facilities that commenced construction or modification after June 11, 1973, to prevent the discharge of any gases into the atmosphere containing particulate matter in excess of 90 milligrams per dry standard cubic meter. If your facility is subject to this requirement, enter the flow rate of gas per hour in dry standard cubic meters from your drum or batch mix operations below. Enter 0 if unknown or not applicable. </t>
  </si>
  <si>
    <t>Note: If your facility operated for only a portion of 2012, estimate your answer as if you had been operating for the whole year. For example, if your facility operated for only three months in 2012, you should multiply the volume of fuel combusted in those three months by four to project the volume of fuel combusted for the entire 12 months.</t>
  </si>
  <si>
    <t>2/21/2013</t>
  </si>
  <si>
    <t>Updated region 6 telephone number.</t>
  </si>
  <si>
    <t>2'/26/2013</t>
  </si>
  <si>
    <t>Updated data validations to be compatible with Excel 2007.</t>
  </si>
  <si>
    <t>v1.3 (last updated 2013.02.26)</t>
  </si>
  <si>
    <r>
      <t xml:space="preserve">If the Output-Summary Printout worksheet indicates that you </t>
    </r>
    <r>
      <rPr>
        <b/>
        <i/>
        <sz val="10"/>
        <rFont val="Arial"/>
        <family val="2"/>
      </rPr>
      <t>do</t>
    </r>
    <r>
      <rPr>
        <i/>
        <sz val="10"/>
        <rFont val="Arial"/>
        <family val="2"/>
      </rPr>
      <t xml:space="preserve"> need to register</t>
    </r>
    <r>
      <rPr>
        <sz val="10"/>
        <rFont val="Arial"/>
        <family val="2"/>
      </rPr>
      <t>, contact your EPA Regional Office to determine what is required for registration. The contact information for your Regional Office is located on the Output-Summary Printout.</t>
    </r>
  </si>
  <si>
    <t>generate the Output-Summary Printout that will indicate if you need to register. If registration is required, contact your EPA Regional Office for further guidance. The contact information for your Regional Office is located on the Output-Summary Printout.</t>
  </si>
  <si>
    <r>
      <t xml:space="preserve">If the Output-Summary Printout worksheet indicates that you </t>
    </r>
    <r>
      <rPr>
        <b/>
        <i/>
        <sz val="10"/>
        <rFont val="Arial"/>
        <family val="2"/>
      </rPr>
      <t>do not</t>
    </r>
    <r>
      <rPr>
        <i/>
        <sz val="10"/>
        <rFont val="Arial"/>
        <family val="2"/>
      </rPr>
      <t xml:space="preserve"> need to register</t>
    </r>
    <r>
      <rPr>
        <sz val="10"/>
        <rFont val="Arial"/>
        <family val="2"/>
      </rPr>
      <t>, no further action is required. It is recommended that you save a copy of the calculation worksheets and the Output-Summary Printout for your files.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</si>
</sst>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
    <numFmt numFmtId="166" formatCode="#,##0.0"/>
    <numFmt numFmtId="167" formatCode="#,##0.000"/>
    <numFmt numFmtId="168" formatCode="0.0000"/>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b/>
      <sz val="10"/>
      <name val="Arial"/>
      <family val="2"/>
    </font>
    <font>
      <sz val="10"/>
      <color indexed="10"/>
      <name val="Arial"/>
      <family val="2"/>
    </font>
    <font>
      <sz val="10"/>
      <name val="Arial"/>
      <family val="2"/>
    </font>
    <font>
      <b/>
      <sz val="10"/>
      <color indexed="9"/>
      <name val="Arial"/>
      <family val="2"/>
    </font>
    <font>
      <vertAlign val="subscript"/>
      <sz val="10"/>
      <name val="Arial"/>
      <family val="2"/>
    </font>
    <font>
      <b/>
      <u/>
      <sz val="10"/>
      <name val="Arial"/>
      <family val="2"/>
    </font>
    <font>
      <b/>
      <sz val="10"/>
      <color indexed="12"/>
      <name val="Arial"/>
      <family val="2"/>
    </font>
    <font>
      <i/>
      <sz val="10"/>
      <name val="Arial"/>
      <family val="2"/>
    </font>
    <font>
      <b/>
      <sz val="14"/>
      <name val="Arial"/>
      <family val="2"/>
    </font>
    <font>
      <sz val="8"/>
      <name val="Arial"/>
      <family val="2"/>
    </font>
    <font>
      <sz val="10"/>
      <color rgb="FF0000FF"/>
      <name val="Arial"/>
      <family val="2"/>
    </font>
    <font>
      <u/>
      <sz val="10"/>
      <color theme="10"/>
      <name val="Arial"/>
      <family val="2"/>
    </font>
    <font>
      <b/>
      <i/>
      <sz val="10"/>
      <name val="Arial"/>
      <family val="2"/>
    </font>
    <font>
      <b/>
      <vertAlign val="subscript"/>
      <sz val="10"/>
      <name val="Arial"/>
      <family val="2"/>
    </font>
    <font>
      <vertAlign val="superscript"/>
      <sz val="10"/>
      <name val="Arial"/>
      <family val="2"/>
    </font>
    <font>
      <i/>
      <sz val="10"/>
      <color rgb="FFFF0000"/>
      <name val="Arial"/>
      <family val="2"/>
    </font>
    <font>
      <b/>
      <i/>
      <sz val="10"/>
      <color rgb="FFFF0000"/>
      <name val="Arial"/>
      <family val="2"/>
    </font>
    <font>
      <b/>
      <sz val="11"/>
      <color theme="1"/>
      <name val="Calibri"/>
      <family val="2"/>
      <scheme val="minor"/>
    </font>
    <font>
      <b/>
      <sz val="10"/>
      <color rgb="FFCC6600"/>
      <name val="Arial"/>
      <family val="2"/>
    </font>
    <font>
      <sz val="10"/>
      <color rgb="FFCC6600"/>
      <name val="Arial"/>
      <family val="2"/>
    </font>
    <font>
      <u/>
      <sz val="11"/>
      <color theme="10"/>
      <name val="Calibri"/>
      <family val="2"/>
      <scheme val="minor"/>
    </font>
    <font>
      <sz val="10"/>
      <color indexed="8"/>
      <name val="Arial"/>
      <family val="2"/>
    </font>
    <font>
      <sz val="10"/>
      <color theme="1"/>
      <name val="Arial"/>
      <family val="2"/>
    </font>
    <font>
      <b/>
      <sz val="11"/>
      <color rgb="FFFF0000"/>
      <name val="Arial"/>
      <family val="2"/>
    </font>
    <font>
      <b/>
      <sz val="11"/>
      <name val="Arial"/>
      <family val="2"/>
    </font>
    <font>
      <b/>
      <sz val="12"/>
      <name val="Arial"/>
      <family val="2"/>
    </font>
    <font>
      <b/>
      <sz val="10"/>
      <color rgb="FFFF0000"/>
      <name val="Arial"/>
      <family val="2"/>
    </font>
    <font>
      <sz val="11"/>
      <name val="Arial"/>
      <family val="2"/>
    </font>
  </fonts>
  <fills count="9">
    <fill>
      <patternFill patternType="none"/>
    </fill>
    <fill>
      <patternFill patternType="gray125"/>
    </fill>
    <fill>
      <patternFill patternType="solid">
        <fgColor indexed="8"/>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FF99"/>
        <bgColor indexed="64"/>
      </patternFill>
    </fill>
  </fills>
  <borders count="81">
    <border>
      <left/>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double">
        <color indexed="64"/>
      </right>
      <top/>
      <bottom/>
      <diagonal/>
    </border>
    <border>
      <left/>
      <right style="double">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double">
        <color auto="1"/>
      </left>
      <right/>
      <top/>
      <bottom/>
      <diagonal/>
    </border>
    <border>
      <left style="thin">
        <color theme="1" tint="0.499984740745262"/>
      </left>
      <right style="medium">
        <color indexed="64"/>
      </right>
      <top/>
      <bottom style="thin">
        <color indexed="64"/>
      </bottom>
      <diagonal/>
    </border>
    <border>
      <left style="thin">
        <color theme="1" tint="0.499984740745262"/>
      </left>
      <right style="medium">
        <color indexed="64"/>
      </right>
      <top/>
      <bottom/>
      <diagonal/>
    </border>
    <border>
      <left style="thin">
        <color theme="1" tint="0.499984740745262"/>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double">
        <color indexed="64"/>
      </left>
      <right/>
      <top/>
      <bottom style="thin">
        <color indexed="64"/>
      </bottom>
      <diagonal/>
    </border>
    <border>
      <left style="thin">
        <color theme="1" tint="0.499984740745262"/>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dashed">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top style="thin">
        <color indexed="64"/>
      </top>
      <bottom/>
      <diagonal/>
    </border>
    <border>
      <left style="dashed">
        <color indexed="64"/>
      </left>
      <right/>
      <top style="thin">
        <color indexed="64"/>
      </top>
      <bottom style="medium">
        <color indexed="64"/>
      </bottom>
      <diagonal/>
    </border>
    <border>
      <left/>
      <right style="thin">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dashed">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style="dashed">
        <color indexed="64"/>
      </left>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10">
    <xf numFmtId="2" fontId="0" fillId="0" borderId="0"/>
    <xf numFmtId="2" fontId="19" fillId="0" borderId="0" applyNumberFormat="0" applyFill="0" applyBorder="0" applyAlignment="0" applyProtection="0"/>
    <xf numFmtId="2" fontId="7" fillId="0" borderId="0"/>
    <xf numFmtId="9" fontId="7" fillId="0" borderId="0" applyFont="0" applyFill="0" applyBorder="0" applyAlignment="0" applyProtection="0"/>
    <xf numFmtId="0" fontId="5" fillId="0" borderId="0"/>
    <xf numFmtId="0" fontId="19" fillId="0" borderId="0" applyNumberFormat="0" applyFill="0" applyBorder="0" applyAlignment="0" applyProtection="0">
      <alignment vertical="top"/>
      <protection locked="0"/>
    </xf>
    <xf numFmtId="0" fontId="29" fillId="0" borderId="0"/>
    <xf numFmtId="0" fontId="7" fillId="0" borderId="0"/>
    <xf numFmtId="0" fontId="30" fillId="0" borderId="0"/>
    <xf numFmtId="0" fontId="2" fillId="0" borderId="0"/>
  </cellStyleXfs>
  <cellXfs count="454">
    <xf numFmtId="2" fontId="0" fillId="0" borderId="0" xfId="0"/>
    <xf numFmtId="2" fontId="16" fillId="0" borderId="0" xfId="0" applyFont="1"/>
    <xf numFmtId="2" fontId="7" fillId="0" borderId="0" xfId="0" applyFont="1"/>
    <xf numFmtId="2" fontId="8" fillId="4" borderId="6" xfId="0" applyFont="1" applyFill="1" applyBorder="1" applyAlignment="1">
      <alignment horizontal="center"/>
    </xf>
    <xf numFmtId="1" fontId="0" fillId="0" borderId="0" xfId="0" applyNumberFormat="1" applyAlignment="1">
      <alignment horizontal="center" vertical="center"/>
    </xf>
    <xf numFmtId="2" fontId="7" fillId="0" borderId="6" xfId="0" applyFont="1" applyBorder="1" applyAlignment="1">
      <alignment horizontal="center" vertical="center"/>
    </xf>
    <xf numFmtId="2" fontId="0" fillId="0" borderId="0" xfId="0" applyAlignment="1">
      <alignment horizontal="center"/>
    </xf>
    <xf numFmtId="165" fontId="0" fillId="0" borderId="0" xfId="0" applyNumberFormat="1"/>
    <xf numFmtId="2" fontId="6" fillId="4" borderId="6" xfId="0" applyFont="1" applyFill="1" applyBorder="1" applyAlignment="1">
      <alignment horizontal="center"/>
    </xf>
    <xf numFmtId="2" fontId="7" fillId="0" borderId="6" xfId="0" applyFont="1" applyBorder="1" applyAlignment="1">
      <alignment horizontal="center"/>
    </xf>
    <xf numFmtId="164" fontId="8" fillId="4" borderId="6" xfId="0" applyNumberFormat="1" applyFont="1" applyFill="1" applyBorder="1" applyAlignment="1">
      <alignment horizontal="center"/>
    </xf>
    <xf numFmtId="164" fontId="0" fillId="0" borderId="0" xfId="0" applyNumberFormat="1" applyAlignment="1">
      <alignment horizontal="center"/>
    </xf>
    <xf numFmtId="2" fontId="16" fillId="0" borderId="0" xfId="0" applyFont="1" applyProtection="1"/>
    <xf numFmtId="2" fontId="7" fillId="0" borderId="0" xfId="0" applyFont="1" applyBorder="1" applyProtection="1"/>
    <xf numFmtId="2" fontId="0" fillId="0" borderId="0" xfId="0" applyProtection="1"/>
    <xf numFmtId="2" fontId="0" fillId="0" borderId="0" xfId="0" applyBorder="1" applyProtection="1"/>
    <xf numFmtId="2" fontId="0" fillId="0" borderId="28" xfId="0" applyBorder="1" applyProtection="1"/>
    <xf numFmtId="2" fontId="0" fillId="0" borderId="15" xfId="0" applyBorder="1" applyProtection="1"/>
    <xf numFmtId="2" fontId="0" fillId="0" borderId="26" xfId="0" applyBorder="1" applyProtection="1"/>
    <xf numFmtId="2" fontId="6" fillId="0" borderId="3" xfId="0" applyFont="1" applyBorder="1" applyAlignment="1" applyProtection="1">
      <alignment horizontal="right"/>
    </xf>
    <xf numFmtId="2" fontId="0" fillId="0" borderId="18" xfId="0" applyBorder="1" applyProtection="1"/>
    <xf numFmtId="2" fontId="0" fillId="0" borderId="3" xfId="0" applyBorder="1" applyProtection="1"/>
    <xf numFmtId="2" fontId="7" fillId="0" borderId="33" xfId="0" applyFont="1" applyFill="1" applyBorder="1" applyAlignment="1" applyProtection="1">
      <alignment horizontal="center"/>
    </xf>
    <xf numFmtId="2" fontId="0" fillId="0" borderId="3" xfId="0" applyBorder="1" applyAlignment="1" applyProtection="1">
      <alignment horizontal="left" indent="1"/>
    </xf>
    <xf numFmtId="2" fontId="0" fillId="0" borderId="31" xfId="0" applyBorder="1" applyProtection="1"/>
    <xf numFmtId="2" fontId="6" fillId="0" borderId="0" xfId="0" applyFont="1" applyBorder="1" applyAlignment="1" applyProtection="1">
      <alignment horizontal="center"/>
    </xf>
    <xf numFmtId="2" fontId="0" fillId="0" borderId="0" xfId="0" applyFill="1" applyBorder="1" applyAlignment="1" applyProtection="1">
      <alignment horizontal="right" vertical="center"/>
    </xf>
    <xf numFmtId="2" fontId="0" fillId="0" borderId="2" xfId="0" applyBorder="1" applyProtection="1"/>
    <xf numFmtId="2" fontId="0" fillId="0" borderId="1" xfId="0" applyBorder="1" applyProtection="1"/>
    <xf numFmtId="2" fontId="0" fillId="0" borderId="27" xfId="0" applyBorder="1" applyProtection="1"/>
    <xf numFmtId="2" fontId="6" fillId="0" borderId="32" xfId="0" applyFont="1" applyBorder="1" applyAlignment="1" applyProtection="1">
      <alignment horizontal="center"/>
    </xf>
    <xf numFmtId="2" fontId="18" fillId="0" borderId="8" xfId="0" applyFont="1" applyBorder="1" applyProtection="1">
      <protection locked="0"/>
    </xf>
    <xf numFmtId="2" fontId="18" fillId="0" borderId="9" xfId="0" applyFont="1" applyBorder="1" applyProtection="1">
      <protection locked="0"/>
    </xf>
    <xf numFmtId="2" fontId="7" fillId="4" borderId="6" xfId="0" applyFont="1" applyFill="1" applyBorder="1" applyProtection="1"/>
    <xf numFmtId="2" fontId="18" fillId="0" borderId="19" xfId="0" applyFont="1" applyBorder="1" applyProtection="1">
      <protection locked="0"/>
    </xf>
    <xf numFmtId="164" fontId="0" fillId="0" borderId="6" xfId="0" applyNumberFormat="1" applyBorder="1" applyAlignment="1">
      <alignment horizontal="center" vertical="center"/>
    </xf>
    <xf numFmtId="2" fontId="7" fillId="0" borderId="6" xfId="0" quotePrefix="1" applyFont="1" applyBorder="1" applyAlignment="1">
      <alignment horizontal="center" vertical="center"/>
    </xf>
    <xf numFmtId="2" fontId="7" fillId="0" borderId="6" xfId="0" applyFont="1" applyBorder="1" applyAlignment="1">
      <alignment vertical="center" wrapText="1"/>
    </xf>
    <xf numFmtId="2" fontId="19" fillId="0" borderId="6" xfId="1" applyBorder="1" applyAlignment="1">
      <alignment vertical="center"/>
    </xf>
    <xf numFmtId="164" fontId="7" fillId="0" borderId="6" xfId="0" applyNumberFormat="1" applyFont="1" applyBorder="1" applyAlignment="1" applyProtection="1">
      <alignment horizontal="center" vertical="center"/>
      <protection locked="0"/>
    </xf>
    <xf numFmtId="2" fontId="7" fillId="0" borderId="6" xfId="0" applyFont="1" applyBorder="1" applyAlignment="1" applyProtection="1">
      <alignment vertical="center" wrapText="1"/>
      <protection locked="0"/>
    </xf>
    <xf numFmtId="2" fontId="0" fillId="0" borderId="6" xfId="0" applyBorder="1" applyAlignment="1" applyProtection="1">
      <alignment horizontal="center" vertical="center"/>
      <protection locked="0"/>
    </xf>
    <xf numFmtId="2" fontId="0" fillId="0" borderId="6" xfId="0" applyBorder="1" applyAlignment="1" applyProtection="1">
      <alignment vertical="center"/>
      <protection locked="0"/>
    </xf>
    <xf numFmtId="164" fontId="0" fillId="0" borderId="6" xfId="0" applyNumberFormat="1" applyBorder="1" applyAlignment="1" applyProtection="1">
      <alignment horizontal="center" vertical="center"/>
      <protection locked="0"/>
    </xf>
    <xf numFmtId="2" fontId="0" fillId="0" borderId="6" xfId="0" applyBorder="1" applyAlignment="1" applyProtection="1">
      <alignment vertical="center" wrapText="1"/>
      <protection locked="0"/>
    </xf>
    <xf numFmtId="2" fontId="7" fillId="0" borderId="0" xfId="0" applyFont="1" applyProtection="1"/>
    <xf numFmtId="2" fontId="0" fillId="0" borderId="0" xfId="0" applyAlignment="1" applyProtection="1">
      <alignment horizontal="center" vertical="center"/>
    </xf>
    <xf numFmtId="2" fontId="6" fillId="0" borderId="30" xfId="0" applyNumberFormat="1" applyFont="1" applyBorder="1" applyAlignment="1" applyProtection="1">
      <alignment horizontal="left" indent="1"/>
    </xf>
    <xf numFmtId="2" fontId="0" fillId="0" borderId="30" xfId="0" applyNumberFormat="1" applyBorder="1" applyAlignment="1" applyProtection="1">
      <alignment horizontal="left" indent="1"/>
    </xf>
    <xf numFmtId="2" fontId="0" fillId="0" borderId="38" xfId="0" applyBorder="1" applyAlignment="1" applyProtection="1">
      <alignment horizontal="left" indent="1"/>
    </xf>
    <xf numFmtId="2" fontId="6" fillId="0" borderId="0" xfId="0" applyFont="1" applyBorder="1" applyAlignment="1" applyProtection="1">
      <alignment horizontal="center" wrapText="1"/>
    </xf>
    <xf numFmtId="2" fontId="7" fillId="0" borderId="0" xfId="0" applyFont="1" applyAlignment="1">
      <alignment horizontal="center"/>
    </xf>
    <xf numFmtId="166" fontId="9" fillId="0" borderId="4" xfId="0" applyNumberFormat="1" applyFont="1" applyBorder="1" applyAlignment="1" applyProtection="1">
      <alignment horizontal="right" indent="3"/>
    </xf>
    <xf numFmtId="2" fontId="16" fillId="0" borderId="0" xfId="0" applyFont="1" applyAlignment="1">
      <alignment horizontal="center"/>
    </xf>
    <xf numFmtId="2" fontId="6" fillId="4" borderId="28" xfId="0" applyFont="1" applyFill="1" applyBorder="1"/>
    <xf numFmtId="2" fontId="6" fillId="4" borderId="15" xfId="0" applyFont="1" applyFill="1" applyBorder="1" applyAlignment="1">
      <alignment horizontal="center"/>
    </xf>
    <xf numFmtId="2" fontId="6" fillId="4" borderId="26" xfId="0" applyFont="1" applyFill="1" applyBorder="1"/>
    <xf numFmtId="2" fontId="7" fillId="0" borderId="6" xfId="0" applyFont="1" applyBorder="1"/>
    <xf numFmtId="2" fontId="0" fillId="0" borderId="6" xfId="0" applyBorder="1" applyAlignment="1">
      <alignment horizontal="center" vertical="center"/>
    </xf>
    <xf numFmtId="2" fontId="7" fillId="0" borderId="6" xfId="0" applyFont="1" applyBorder="1" applyAlignment="1" applyProtection="1">
      <alignment horizontal="center" vertical="center"/>
      <protection locked="0"/>
    </xf>
    <xf numFmtId="2" fontId="0" fillId="0" borderId="14" xfId="0" applyBorder="1" applyAlignment="1" applyProtection="1">
      <alignment horizontal="left" indent="2"/>
    </xf>
    <xf numFmtId="2" fontId="0" fillId="0" borderId="12" xfId="0" applyBorder="1" applyAlignment="1" applyProtection="1">
      <alignment horizontal="left" indent="2"/>
    </xf>
    <xf numFmtId="2" fontId="7" fillId="0" borderId="12" xfId="0" applyFont="1" applyBorder="1" applyAlignment="1" applyProtection="1">
      <alignment horizontal="left" indent="2"/>
    </xf>
    <xf numFmtId="2" fontId="7" fillId="0" borderId="22" xfId="0" applyFont="1" applyBorder="1" applyAlignment="1" applyProtection="1">
      <alignment horizontal="left" indent="2"/>
    </xf>
    <xf numFmtId="2" fontId="0" fillId="0" borderId="22" xfId="0" applyBorder="1" applyAlignment="1" applyProtection="1">
      <alignment horizontal="left" indent="2"/>
    </xf>
    <xf numFmtId="2" fontId="0" fillId="0" borderId="28" xfId="0" applyNumberFormat="1" applyBorder="1" applyAlignment="1" applyProtection="1">
      <alignment horizontal="left" indent="1"/>
    </xf>
    <xf numFmtId="2" fontId="0" fillId="0" borderId="36" xfId="0" applyNumberFormat="1" applyBorder="1" applyAlignment="1" applyProtection="1">
      <alignment horizontal="left" indent="1"/>
    </xf>
    <xf numFmtId="2" fontId="0" fillId="0" borderId="15" xfId="0" applyNumberFormat="1" applyBorder="1" applyProtection="1"/>
    <xf numFmtId="2" fontId="0" fillId="0" borderId="39" xfId="0" applyBorder="1" applyProtection="1"/>
    <xf numFmtId="2" fontId="0" fillId="0" borderId="30" xfId="0" applyBorder="1" applyAlignment="1" applyProtection="1">
      <alignment horizontal="left" indent="1"/>
    </xf>
    <xf numFmtId="2" fontId="7" fillId="0" borderId="30" xfId="0" applyNumberFormat="1" applyFont="1" applyBorder="1" applyAlignment="1" applyProtection="1">
      <alignment horizontal="left" indent="1"/>
    </xf>
    <xf numFmtId="2" fontId="6" fillId="0" borderId="30" xfId="0" applyFont="1" applyBorder="1" applyAlignment="1" applyProtection="1">
      <alignment horizontal="left" indent="1"/>
    </xf>
    <xf numFmtId="2" fontId="6" fillId="0" borderId="18" xfId="0" applyFont="1" applyBorder="1" applyAlignment="1" applyProtection="1">
      <alignment horizontal="center"/>
    </xf>
    <xf numFmtId="2" fontId="6" fillId="0" borderId="0" xfId="0" applyFont="1" applyFill="1" applyBorder="1" applyAlignment="1" applyProtection="1">
      <alignment horizontal="right" vertical="center"/>
    </xf>
    <xf numFmtId="2" fontId="0" fillId="0" borderId="6" xfId="0" applyBorder="1"/>
    <xf numFmtId="2" fontId="7" fillId="0" borderId="6" xfId="0" applyFont="1" applyFill="1" applyBorder="1"/>
    <xf numFmtId="2" fontId="13" fillId="0" borderId="0" xfId="0" applyFont="1" applyProtection="1"/>
    <xf numFmtId="2" fontId="10" fillId="0" borderId="0" xfId="0" applyFont="1" applyProtection="1"/>
    <xf numFmtId="2" fontId="0" fillId="0" borderId="15" xfId="0" applyBorder="1" applyAlignment="1" applyProtection="1"/>
    <xf numFmtId="2" fontId="0" fillId="0" borderId="0" xfId="0" applyBorder="1" applyAlignment="1" applyProtection="1"/>
    <xf numFmtId="2" fontId="7" fillId="0" borderId="3" xfId="0" applyFont="1" applyBorder="1" applyAlignment="1" applyProtection="1"/>
    <xf numFmtId="2" fontId="0" fillId="0" borderId="24" xfId="0" applyBorder="1" applyAlignment="1" applyProtection="1">
      <alignment horizontal="left"/>
    </xf>
    <xf numFmtId="2" fontId="7" fillId="0" borderId="42" xfId="0" applyFont="1" applyBorder="1" applyAlignment="1" applyProtection="1">
      <alignment vertical="top"/>
    </xf>
    <xf numFmtId="2" fontId="0" fillId="0" borderId="21" xfId="0" applyBorder="1" applyAlignment="1" applyProtection="1">
      <alignment horizontal="left" vertical="top" wrapText="1"/>
    </xf>
    <xf numFmtId="2" fontId="6" fillId="4" borderId="28" xfId="0" applyFont="1" applyFill="1" applyBorder="1" applyAlignment="1" applyProtection="1"/>
    <xf numFmtId="2" fontId="8" fillId="4" borderId="15" xfId="0" applyFont="1" applyFill="1" applyBorder="1" applyAlignment="1" applyProtection="1"/>
    <xf numFmtId="2" fontId="8" fillId="4" borderId="26" xfId="0" applyFont="1" applyFill="1" applyBorder="1" applyAlignment="1" applyProtection="1"/>
    <xf numFmtId="2" fontId="7" fillId="4" borderId="11" xfId="0" applyFont="1" applyFill="1" applyBorder="1" applyAlignment="1" applyProtection="1">
      <alignment horizontal="left"/>
    </xf>
    <xf numFmtId="2" fontId="7" fillId="4" borderId="20" xfId="0" applyFont="1" applyFill="1" applyBorder="1" applyAlignment="1" applyProtection="1">
      <alignment horizontal="left"/>
    </xf>
    <xf numFmtId="2" fontId="7" fillId="4" borderId="10" xfId="0" applyFont="1" applyFill="1" applyBorder="1" applyAlignment="1" applyProtection="1">
      <alignment horizontal="left"/>
    </xf>
    <xf numFmtId="2" fontId="7" fillId="0" borderId="0" xfId="0" applyFont="1" applyBorder="1"/>
    <xf numFmtId="2" fontId="7" fillId="0" borderId="0" xfId="0" applyFont="1" applyBorder="1" applyAlignment="1">
      <alignment horizontal="center"/>
    </xf>
    <xf numFmtId="2" fontId="0" fillId="4" borderId="6" xfId="0" applyFont="1" applyFill="1" applyBorder="1" applyProtection="1"/>
    <xf numFmtId="2" fontId="6" fillId="3" borderId="6" xfId="0" applyFont="1" applyFill="1" applyBorder="1" applyProtection="1"/>
    <xf numFmtId="2" fontId="7" fillId="0" borderId="0" xfId="0" applyFont="1" applyFill="1" applyBorder="1" applyProtection="1"/>
    <xf numFmtId="2" fontId="18" fillId="0" borderId="0" xfId="0" applyFont="1" applyAlignment="1" applyProtection="1">
      <alignment horizontal="left"/>
    </xf>
    <xf numFmtId="2" fontId="0" fillId="0" borderId="0" xfId="0" applyFont="1" applyFill="1" applyBorder="1" applyProtection="1"/>
    <xf numFmtId="1" fontId="7" fillId="0" borderId="6" xfId="0" applyNumberFormat="1" applyFont="1" applyBorder="1" applyAlignment="1">
      <alignment horizontal="left" vertical="center"/>
    </xf>
    <xf numFmtId="1" fontId="6" fillId="4" borderId="50" xfId="0" applyNumberFormat="1" applyFont="1" applyFill="1" applyBorder="1" applyAlignment="1">
      <alignment horizontal="center" vertical="center"/>
    </xf>
    <xf numFmtId="1" fontId="6" fillId="4" borderId="51" xfId="0" applyNumberFormat="1" applyFont="1" applyFill="1" applyBorder="1" applyAlignment="1">
      <alignment horizontal="center" vertical="center"/>
    </xf>
    <xf numFmtId="165" fontId="6" fillId="4" borderId="51" xfId="0" applyNumberFormat="1" applyFont="1" applyFill="1" applyBorder="1" applyAlignment="1">
      <alignment horizontal="center" vertical="center"/>
    </xf>
    <xf numFmtId="2" fontId="0" fillId="0" borderId="0" xfId="0" applyBorder="1"/>
    <xf numFmtId="1" fontId="6" fillId="4" borderId="52" xfId="0" applyNumberFormat="1" applyFont="1" applyFill="1" applyBorder="1" applyAlignment="1">
      <alignment horizontal="center" vertical="center"/>
    </xf>
    <xf numFmtId="1" fontId="6" fillId="4" borderId="47" xfId="0" applyNumberFormat="1" applyFont="1" applyFill="1" applyBorder="1" applyAlignment="1">
      <alignment horizontal="left" vertical="center"/>
    </xf>
    <xf numFmtId="2" fontId="7" fillId="0" borderId="0" xfId="2"/>
    <xf numFmtId="2" fontId="6" fillId="4" borderId="6" xfId="2" applyFont="1" applyFill="1" applyBorder="1"/>
    <xf numFmtId="2" fontId="6" fillId="4" borderId="6" xfId="2" applyFont="1" applyFill="1" applyBorder="1" applyAlignment="1">
      <alignment horizontal="center"/>
    </xf>
    <xf numFmtId="2" fontId="7" fillId="0" borderId="6" xfId="2" applyFont="1" applyBorder="1" applyAlignment="1">
      <alignment horizontal="center"/>
    </xf>
    <xf numFmtId="2" fontId="18" fillId="0" borderId="0" xfId="0" applyFont="1" applyBorder="1" applyAlignment="1" applyProtection="1">
      <alignment horizontal="left"/>
    </xf>
    <xf numFmtId="2" fontId="16" fillId="0" borderId="0" xfId="2" applyFont="1"/>
    <xf numFmtId="2" fontId="7" fillId="0" borderId="0" xfId="2" applyAlignment="1">
      <alignment horizontal="center"/>
    </xf>
    <xf numFmtId="2" fontId="6" fillId="4" borderId="12" xfId="2" applyFont="1" applyFill="1" applyBorder="1"/>
    <xf numFmtId="2" fontId="6" fillId="4" borderId="8" xfId="2" applyFont="1" applyFill="1" applyBorder="1"/>
    <xf numFmtId="2" fontId="7" fillId="0" borderId="12" xfId="2" applyFont="1" applyBorder="1"/>
    <xf numFmtId="2" fontId="7" fillId="0" borderId="6" xfId="2" applyBorder="1"/>
    <xf numFmtId="2" fontId="7" fillId="0" borderId="8" xfId="2" applyFont="1" applyBorder="1"/>
    <xf numFmtId="2" fontId="7" fillId="0" borderId="22" xfId="2" applyFont="1" applyBorder="1"/>
    <xf numFmtId="2" fontId="7" fillId="0" borderId="7" xfId="2" applyBorder="1"/>
    <xf numFmtId="2" fontId="7" fillId="0" borderId="7" xfId="2" applyFont="1" applyBorder="1" applyAlignment="1">
      <alignment horizontal="center"/>
    </xf>
    <xf numFmtId="2" fontId="7" fillId="0" borderId="0" xfId="2" applyFont="1"/>
    <xf numFmtId="2" fontId="6" fillId="4" borderId="8" xfId="2" applyFont="1" applyFill="1" applyBorder="1" applyAlignment="1">
      <alignment horizontal="center"/>
    </xf>
    <xf numFmtId="2" fontId="6" fillId="0" borderId="0" xfId="2" applyFont="1" applyFill="1" applyBorder="1"/>
    <xf numFmtId="2" fontId="7" fillId="0" borderId="8" xfId="2" applyFont="1" applyBorder="1" applyAlignment="1">
      <alignment horizontal="center"/>
    </xf>
    <xf numFmtId="2" fontId="7" fillId="0" borderId="9" xfId="2" applyFont="1" applyBorder="1" applyAlignment="1">
      <alignment horizontal="center"/>
    </xf>
    <xf numFmtId="2" fontId="7" fillId="0" borderId="6" xfId="0" applyFont="1" applyFill="1" applyBorder="1" applyAlignment="1">
      <alignment horizontal="center"/>
    </xf>
    <xf numFmtId="2" fontId="0" fillId="0" borderId="0" xfId="0" applyFill="1" applyBorder="1"/>
    <xf numFmtId="165" fontId="0" fillId="0" borderId="6" xfId="0" applyNumberFormat="1" applyBorder="1" applyAlignment="1">
      <alignment horizontal="right"/>
    </xf>
    <xf numFmtId="2" fontId="0" fillId="4" borderId="6" xfId="0" applyFill="1" applyBorder="1" applyAlignment="1" applyProtection="1">
      <alignment horizontal="left"/>
    </xf>
    <xf numFmtId="165" fontId="0" fillId="0" borderId="6" xfId="0" applyNumberFormat="1" applyBorder="1"/>
    <xf numFmtId="2" fontId="0" fillId="0" borderId="6" xfId="0" applyFill="1" applyBorder="1"/>
    <xf numFmtId="1" fontId="0" fillId="0" borderId="6" xfId="0" applyNumberFormat="1" applyBorder="1" applyAlignment="1">
      <alignment horizontal="left" vertical="center"/>
    </xf>
    <xf numFmtId="165" fontId="0" fillId="0" borderId="6" xfId="0" applyNumberFormat="1" applyBorder="1" applyAlignment="1">
      <alignment horizontal="right" vertical="center"/>
    </xf>
    <xf numFmtId="1" fontId="7" fillId="0" borderId="6" xfId="0" applyNumberFormat="1" applyFont="1" applyBorder="1" applyAlignment="1">
      <alignment horizontal="right" vertical="center"/>
    </xf>
    <xf numFmtId="165" fontId="7" fillId="0" borderId="6" xfId="0" applyNumberFormat="1" applyFont="1" applyBorder="1" applyAlignment="1">
      <alignment horizontal="right" vertical="center"/>
    </xf>
    <xf numFmtId="165" fontId="7" fillId="0" borderId="6" xfId="0" applyNumberFormat="1" applyFont="1" applyBorder="1" applyAlignment="1">
      <alignment horizontal="right"/>
    </xf>
    <xf numFmtId="1" fontId="7" fillId="0" borderId="6" xfId="0" applyNumberFormat="1" applyFont="1" applyFill="1" applyBorder="1" applyAlignment="1">
      <alignment horizontal="left" vertical="center"/>
    </xf>
    <xf numFmtId="1" fontId="0" fillId="0" borderId="6" xfId="0" applyNumberFormat="1" applyFill="1" applyBorder="1" applyAlignment="1">
      <alignment horizontal="left" vertical="center"/>
    </xf>
    <xf numFmtId="165" fontId="0" fillId="0" borderId="6" xfId="0" applyNumberFormat="1" applyFill="1" applyBorder="1"/>
    <xf numFmtId="1" fontId="7" fillId="0" borderId="6" xfId="0" applyNumberFormat="1" applyFont="1" applyFill="1" applyBorder="1" applyAlignment="1">
      <alignment horizontal="right" vertical="center"/>
    </xf>
    <xf numFmtId="2" fontId="0" fillId="0" borderId="6" xfId="0" applyFont="1" applyFill="1" applyBorder="1"/>
    <xf numFmtId="2" fontId="7" fillId="0" borderId="48" xfId="2" applyFont="1" applyBorder="1"/>
    <xf numFmtId="2" fontId="7" fillId="0" borderId="54" xfId="2" applyBorder="1"/>
    <xf numFmtId="2" fontId="7" fillId="0" borderId="54" xfId="2" applyFont="1" applyBorder="1" applyAlignment="1">
      <alignment horizontal="center"/>
    </xf>
    <xf numFmtId="2" fontId="7" fillId="0" borderId="49" xfId="2" applyFont="1" applyBorder="1"/>
    <xf numFmtId="2" fontId="7" fillId="0" borderId="44" xfId="2" applyBorder="1"/>
    <xf numFmtId="2" fontId="7" fillId="0" borderId="9" xfId="2" applyFont="1" applyBorder="1"/>
    <xf numFmtId="2" fontId="7" fillId="0" borderId="0" xfId="0" applyFont="1" applyBorder="1" applyAlignment="1" applyProtection="1">
      <alignment wrapText="1"/>
    </xf>
    <xf numFmtId="2" fontId="0" fillId="0" borderId="18" xfId="0" applyBorder="1" applyAlignment="1" applyProtection="1">
      <alignment horizontal="left"/>
    </xf>
    <xf numFmtId="2" fontId="6" fillId="0" borderId="0" xfId="0" applyFont="1" applyBorder="1" applyAlignment="1" applyProtection="1">
      <alignment horizontal="left"/>
    </xf>
    <xf numFmtId="2" fontId="7" fillId="0" borderId="6" xfId="0" applyFont="1" applyBorder="1" applyAlignment="1">
      <alignment horizontal="center" vertical="center" wrapText="1"/>
    </xf>
    <xf numFmtId="2" fontId="7" fillId="0" borderId="40" xfId="2" applyFont="1" applyBorder="1" applyAlignment="1" applyProtection="1">
      <alignment horizontal="left" vertical="center" wrapText="1"/>
    </xf>
    <xf numFmtId="2" fontId="7" fillId="0" borderId="16" xfId="0" applyFont="1" applyBorder="1" applyAlignment="1" applyProtection="1"/>
    <xf numFmtId="2" fontId="7" fillId="0" borderId="59" xfId="0" applyFont="1" applyBorder="1" applyAlignment="1" applyProtection="1">
      <alignment horizontal="left"/>
    </xf>
    <xf numFmtId="2" fontId="7" fillId="0" borderId="58" xfId="0" applyFont="1" applyBorder="1" applyAlignment="1" applyProtection="1">
      <alignment horizontal="left"/>
    </xf>
    <xf numFmtId="2" fontId="7" fillId="0" borderId="60" xfId="0" applyFont="1" applyBorder="1" applyAlignment="1" applyProtection="1">
      <alignment horizontal="left"/>
    </xf>
    <xf numFmtId="2" fontId="7" fillId="0" borderId="60" xfId="0" applyFont="1" applyBorder="1" applyAlignment="1" applyProtection="1">
      <alignment horizontal="left" vertical="top" wrapText="1"/>
    </xf>
    <xf numFmtId="2" fontId="7" fillId="0" borderId="6" xfId="0" applyFont="1" applyFill="1" applyBorder="1" applyAlignment="1"/>
    <xf numFmtId="2" fontId="7" fillId="0" borderId="48" xfId="0" applyFont="1" applyBorder="1" applyAlignment="1" applyProtection="1">
      <alignment horizontal="left" indent="2"/>
    </xf>
    <xf numFmtId="2" fontId="18" fillId="0" borderId="49" xfId="0" applyFont="1" applyBorder="1" applyProtection="1">
      <protection locked="0"/>
    </xf>
    <xf numFmtId="2" fontId="16" fillId="0" borderId="0" xfId="2" applyFont="1" applyAlignment="1"/>
    <xf numFmtId="0" fontId="5" fillId="0" borderId="0" xfId="4" applyAlignment="1">
      <alignment horizontal="center"/>
    </xf>
    <xf numFmtId="0" fontId="5" fillId="0" borderId="0" xfId="4" applyAlignment="1"/>
    <xf numFmtId="0" fontId="25" fillId="4" borderId="6" xfId="4" applyFont="1" applyFill="1" applyBorder="1" applyAlignment="1"/>
    <xf numFmtId="0" fontId="28" fillId="0" borderId="0" xfId="1" applyNumberFormat="1" applyFont="1" applyAlignment="1">
      <alignment horizontal="left" vertical="center"/>
    </xf>
    <xf numFmtId="0" fontId="28" fillId="0" borderId="0" xfId="1" applyNumberFormat="1" applyFont="1" applyAlignment="1"/>
    <xf numFmtId="2" fontId="7" fillId="0" borderId="3" xfId="2" applyBorder="1" applyProtection="1"/>
    <xf numFmtId="2" fontId="7" fillId="0" borderId="2" xfId="2" applyBorder="1" applyProtection="1"/>
    <xf numFmtId="2" fontId="7" fillId="0" borderId="0" xfId="2" applyBorder="1" applyProtection="1"/>
    <xf numFmtId="2" fontId="7" fillId="0" borderId="0" xfId="2" applyFont="1" applyBorder="1" applyAlignment="1" applyProtection="1">
      <alignment vertical="top"/>
    </xf>
    <xf numFmtId="2" fontId="6" fillId="3" borderId="6" xfId="2" applyFont="1" applyFill="1" applyBorder="1" applyProtection="1"/>
    <xf numFmtId="2" fontId="7" fillId="4" borderId="6" xfId="2" applyFont="1" applyFill="1" applyBorder="1" applyAlignment="1" applyProtection="1">
      <alignment horizontal="left"/>
    </xf>
    <xf numFmtId="2" fontId="7" fillId="0" borderId="28" xfId="2" applyBorder="1" applyProtection="1"/>
    <xf numFmtId="2" fontId="7" fillId="0" borderId="26" xfId="2" applyBorder="1" applyProtection="1"/>
    <xf numFmtId="2" fontId="33" fillId="0" borderId="15" xfId="2" applyFont="1" applyBorder="1" applyAlignment="1" applyProtection="1">
      <alignment horizontal="left" indent="3"/>
    </xf>
    <xf numFmtId="2" fontId="33" fillId="0" borderId="0" xfId="2" applyFont="1" applyBorder="1" applyAlignment="1" applyProtection="1">
      <alignment horizontal="left" indent="3"/>
    </xf>
    <xf numFmtId="2" fontId="7" fillId="0" borderId="18" xfId="2" applyBorder="1" applyProtection="1"/>
    <xf numFmtId="2" fontId="7" fillId="0" borderId="1" xfId="2" applyBorder="1" applyProtection="1"/>
    <xf numFmtId="2" fontId="7" fillId="0" borderId="27" xfId="2" applyBorder="1" applyProtection="1"/>
    <xf numFmtId="0" fontId="16" fillId="0" borderId="0" xfId="7" applyFont="1" applyProtection="1"/>
    <xf numFmtId="2" fontId="7" fillId="0" borderId="12" xfId="0" applyFont="1" applyFill="1" applyBorder="1" applyAlignment="1" applyProtection="1">
      <alignment vertical="center" wrapText="1"/>
    </xf>
    <xf numFmtId="2" fontId="7" fillId="0" borderId="48" xfId="0" applyFont="1" applyBorder="1" applyAlignment="1" applyProtection="1">
      <alignment vertical="center"/>
    </xf>
    <xf numFmtId="2" fontId="7" fillId="0" borderId="22" xfId="0" applyFont="1" applyBorder="1" applyAlignment="1" applyProtection="1">
      <alignment vertical="center"/>
    </xf>
    <xf numFmtId="2" fontId="7" fillId="0" borderId="12" xfId="0" applyFont="1" applyBorder="1" applyAlignment="1" applyProtection="1">
      <alignment vertical="center"/>
    </xf>
    <xf numFmtId="2" fontId="7" fillId="0" borderId="12" xfId="0" applyFont="1" applyBorder="1" applyAlignment="1" applyProtection="1">
      <alignment vertical="center" wrapText="1"/>
    </xf>
    <xf numFmtId="2" fontId="7" fillId="0" borderId="22" xfId="0" applyFont="1" applyBorder="1" applyAlignment="1" applyProtection="1">
      <alignment vertical="center" wrapText="1"/>
    </xf>
    <xf numFmtId="2" fontId="0" fillId="0" borderId="0" xfId="0" applyBorder="1" applyAlignment="1" applyProtection="1">
      <alignment horizontal="right"/>
    </xf>
    <xf numFmtId="2" fontId="9" fillId="0" borderId="0" xfId="0" applyFont="1" applyBorder="1" applyAlignment="1" applyProtection="1">
      <alignment horizontal="center"/>
    </xf>
    <xf numFmtId="2" fontId="7" fillId="0" borderId="0" xfId="0" applyFont="1" applyBorder="1" applyAlignment="1" applyProtection="1">
      <alignment horizontal="right"/>
    </xf>
    <xf numFmtId="2" fontId="18" fillId="0" borderId="9" xfId="0" applyFont="1" applyBorder="1" applyAlignment="1" applyProtection="1">
      <alignment horizontal="center" vertical="center"/>
      <protection locked="0"/>
    </xf>
    <xf numFmtId="0" fontId="25" fillId="4" borderId="6" xfId="4" applyFont="1" applyFill="1" applyBorder="1" applyAlignment="1">
      <alignment horizontal="center"/>
    </xf>
    <xf numFmtId="0" fontId="4" fillId="0" borderId="0" xfId="4" applyFont="1" applyAlignment="1">
      <alignment horizontal="left" vertical="center"/>
    </xf>
    <xf numFmtId="0" fontId="4" fillId="0" borderId="0" xfId="4" applyFont="1" applyAlignment="1"/>
    <xf numFmtId="0" fontId="4" fillId="0" borderId="0" xfId="4" applyFont="1" applyAlignment="1">
      <alignment horizontal="center"/>
    </xf>
    <xf numFmtId="0" fontId="19" fillId="0" borderId="0" xfId="1" applyNumberFormat="1" applyAlignment="1">
      <alignment horizontal="left" vertical="center"/>
    </xf>
    <xf numFmtId="2" fontId="7" fillId="0" borderId="66" xfId="2" applyBorder="1" applyAlignment="1" applyProtection="1">
      <alignment horizontal="left" indent="2"/>
    </xf>
    <xf numFmtId="2" fontId="27" fillId="0" borderId="57" xfId="2" applyFont="1" applyBorder="1" applyProtection="1"/>
    <xf numFmtId="2" fontId="7" fillId="0" borderId="12" xfId="2" applyBorder="1" applyAlignment="1" applyProtection="1">
      <alignment horizontal="left" indent="2"/>
    </xf>
    <xf numFmtId="2" fontId="27" fillId="0" borderId="8" xfId="2" applyFont="1" applyBorder="1" applyProtection="1"/>
    <xf numFmtId="2" fontId="7" fillId="0" borderId="66" xfId="0" applyFont="1" applyBorder="1" applyAlignment="1" applyProtection="1">
      <alignment vertical="center"/>
    </xf>
    <xf numFmtId="2" fontId="18" fillId="0" borderId="57" xfId="0" applyFont="1" applyBorder="1" applyAlignment="1" applyProtection="1">
      <alignment horizontal="center"/>
      <protection locked="0"/>
    </xf>
    <xf numFmtId="2" fontId="18" fillId="0" borderId="8" xfId="0" applyFont="1" applyBorder="1" applyAlignment="1" applyProtection="1">
      <alignment horizontal="center"/>
    </xf>
    <xf numFmtId="2" fontId="18" fillId="0" borderId="8" xfId="0" applyFont="1" applyBorder="1" applyAlignment="1" applyProtection="1">
      <alignment horizontal="center"/>
      <protection locked="0"/>
    </xf>
    <xf numFmtId="2" fontId="0" fillId="0" borderId="12" xfId="0" applyBorder="1" applyAlignment="1" applyProtection="1">
      <alignment vertical="center"/>
    </xf>
    <xf numFmtId="2" fontId="0" fillId="0" borderId="8" xfId="0" applyBorder="1" applyAlignment="1" applyProtection="1">
      <alignment horizontal="center"/>
    </xf>
    <xf numFmtId="2" fontId="0" fillId="0" borderId="22" xfId="0" applyBorder="1" applyProtection="1"/>
    <xf numFmtId="2" fontId="0" fillId="0" borderId="9" xfId="0" applyBorder="1" applyAlignment="1" applyProtection="1">
      <alignment horizontal="center"/>
    </xf>
    <xf numFmtId="2" fontId="6" fillId="0" borderId="3" xfId="0" applyFont="1" applyBorder="1" applyAlignment="1" applyProtection="1">
      <alignment horizontal="center"/>
    </xf>
    <xf numFmtId="2" fontId="6" fillId="0" borderId="34" xfId="0" applyFont="1" applyFill="1" applyBorder="1" applyProtection="1"/>
    <xf numFmtId="2" fontId="7" fillId="0" borderId="66" xfId="0" applyFont="1" applyBorder="1" applyProtection="1"/>
    <xf numFmtId="2" fontId="7" fillId="0" borderId="12" xfId="0" applyFont="1" applyBorder="1" applyProtection="1"/>
    <xf numFmtId="2" fontId="6" fillId="4" borderId="34" xfId="0" applyFont="1" applyFill="1" applyBorder="1" applyProtection="1"/>
    <xf numFmtId="2" fontId="6" fillId="4" borderId="72" xfId="0" applyFont="1" applyFill="1" applyBorder="1" applyAlignment="1" applyProtection="1">
      <alignment horizontal="center"/>
    </xf>
    <xf numFmtId="2" fontId="6" fillId="4" borderId="71" xfId="0" applyFont="1" applyFill="1" applyBorder="1" applyAlignment="1" applyProtection="1">
      <alignment horizontal="center"/>
    </xf>
    <xf numFmtId="2" fontId="6" fillId="4" borderId="35" xfId="0" applyFont="1" applyFill="1" applyBorder="1" applyAlignment="1" applyProtection="1">
      <alignment horizontal="center"/>
    </xf>
    <xf numFmtId="4" fontId="27" fillId="0" borderId="67" xfId="0" applyNumberFormat="1" applyFont="1" applyBorder="1" applyProtection="1"/>
    <xf numFmtId="4" fontId="27" fillId="0" borderId="57" xfId="0" applyNumberFormat="1" applyFont="1" applyBorder="1" applyProtection="1"/>
    <xf numFmtId="4" fontId="27" fillId="0" borderId="6" xfId="0" applyNumberFormat="1" applyFont="1" applyBorder="1" applyProtection="1"/>
    <xf numFmtId="4" fontId="27" fillId="0" borderId="8" xfId="0" applyNumberFormat="1" applyFont="1" applyBorder="1" applyProtection="1"/>
    <xf numFmtId="4" fontId="26" fillId="0" borderId="71" xfId="0" applyNumberFormat="1" applyFont="1" applyBorder="1" applyProtection="1"/>
    <xf numFmtId="4" fontId="26" fillId="0" borderId="35" xfId="0" applyNumberFormat="1" applyFont="1" applyBorder="1" applyProtection="1"/>
    <xf numFmtId="4" fontId="26" fillId="0" borderId="71" xfId="0" applyNumberFormat="1" applyFont="1" applyFill="1" applyBorder="1" applyProtection="1"/>
    <xf numFmtId="4" fontId="26" fillId="0" borderId="35" xfId="0" applyNumberFormat="1" applyFont="1" applyFill="1" applyBorder="1" applyProtection="1"/>
    <xf numFmtId="2" fontId="7" fillId="0" borderId="42" xfId="2" applyBorder="1" applyAlignment="1" applyProtection="1">
      <alignment horizontal="left" vertical="center" wrapText="1"/>
    </xf>
    <xf numFmtId="2" fontId="7" fillId="0" borderId="60" xfId="2" applyBorder="1" applyAlignment="1" applyProtection="1">
      <alignment horizontal="left" vertical="center" wrapText="1"/>
    </xf>
    <xf numFmtId="2" fontId="7" fillId="0" borderId="21" xfId="2" applyBorder="1" applyAlignment="1" applyProtection="1">
      <alignment horizontal="left" vertical="center" wrapText="1"/>
    </xf>
    <xf numFmtId="2" fontId="6" fillId="0" borderId="0" xfId="0" applyFont="1" applyAlignment="1" applyProtection="1">
      <alignment vertical="center" wrapText="1"/>
    </xf>
    <xf numFmtId="2" fontId="19" fillId="0" borderId="0" xfId="1" applyProtection="1"/>
    <xf numFmtId="2" fontId="7" fillId="0" borderId="0" xfId="0" applyFont="1" applyAlignment="1" applyProtection="1">
      <alignment vertical="center" wrapText="1"/>
    </xf>
    <xf numFmtId="2" fontId="7" fillId="0" borderId="0" xfId="0" quotePrefix="1" applyFont="1" applyAlignment="1" applyProtection="1">
      <alignment horizontal="right" vertical="top"/>
    </xf>
    <xf numFmtId="2" fontId="7" fillId="0" borderId="0" xfId="0" applyFont="1" applyAlignment="1" applyProtection="1">
      <alignment horizontal="left" vertical="top" wrapText="1" indent="1"/>
    </xf>
    <xf numFmtId="2" fontId="7" fillId="0" borderId="0" xfId="0" applyFont="1" applyAlignment="1" applyProtection="1">
      <alignment horizontal="left" vertical="center" wrapText="1"/>
    </xf>
    <xf numFmtId="2" fontId="7" fillId="0" borderId="0" xfId="0" applyFont="1" applyAlignment="1" applyProtection="1">
      <alignment horizontal="left" vertical="center" wrapText="1" indent="1"/>
    </xf>
    <xf numFmtId="2" fontId="19" fillId="0" borderId="0" xfId="1" applyFont="1" applyAlignment="1" applyProtection="1">
      <alignment vertical="center" wrapText="1"/>
    </xf>
    <xf numFmtId="2" fontId="7" fillId="0" borderId="0" xfId="0" applyFont="1" applyAlignment="1" applyProtection="1">
      <alignment wrapText="1"/>
    </xf>
    <xf numFmtId="2" fontId="0" fillId="0" borderId="66" xfId="0" applyBorder="1" applyAlignment="1" applyProtection="1">
      <alignment horizontal="left" indent="2"/>
    </xf>
    <xf numFmtId="2" fontId="18" fillId="0" borderId="57" xfId="0" applyFont="1" applyBorder="1" applyProtection="1">
      <protection locked="0"/>
    </xf>
    <xf numFmtId="1" fontId="18" fillId="0" borderId="9" xfId="0" applyNumberFormat="1" applyFont="1" applyBorder="1" applyAlignment="1" applyProtection="1">
      <alignment horizontal="left"/>
      <protection locked="0"/>
    </xf>
    <xf numFmtId="2" fontId="7" fillId="0" borderId="3" xfId="2" applyBorder="1" applyAlignment="1" applyProtection="1">
      <alignment horizontal="left" indent="2"/>
    </xf>
    <xf numFmtId="2" fontId="27" fillId="0" borderId="73" xfId="2" applyFont="1" applyBorder="1" applyProtection="1"/>
    <xf numFmtId="2" fontId="27" fillId="0" borderId="55" xfId="2" applyFont="1" applyBorder="1" applyAlignment="1" applyProtection="1">
      <alignment vertical="top"/>
    </xf>
    <xf numFmtId="0" fontId="3" fillId="0" borderId="0" xfId="4" applyFont="1" applyAlignment="1"/>
    <xf numFmtId="2" fontId="0" fillId="0" borderId="0" xfId="0" applyAlignment="1" applyProtection="1">
      <alignment horizontal="center"/>
    </xf>
    <xf numFmtId="2" fontId="6" fillId="0" borderId="0" xfId="0" applyFont="1" applyBorder="1" applyProtection="1"/>
    <xf numFmtId="2" fontId="0" fillId="0" borderId="0" xfId="0" applyFill="1" applyBorder="1" applyAlignment="1" applyProtection="1">
      <alignment horizontal="center"/>
    </xf>
    <xf numFmtId="167" fontId="9" fillId="0" borderId="29" xfId="0" applyNumberFormat="1" applyFont="1" applyBorder="1" applyAlignment="1" applyProtection="1">
      <alignment horizontal="right" indent="3"/>
    </xf>
    <xf numFmtId="166" fontId="9" fillId="0" borderId="29" xfId="0" applyNumberFormat="1" applyFont="1" applyBorder="1" applyAlignment="1" applyProtection="1">
      <alignment horizontal="right" indent="3"/>
    </xf>
    <xf numFmtId="2" fontId="0" fillId="0" borderId="0" xfId="0" applyBorder="1" applyAlignment="1" applyProtection="1">
      <alignment horizontal="center"/>
    </xf>
    <xf numFmtId="2" fontId="6" fillId="0" borderId="3" xfId="0" applyNumberFormat="1" applyFont="1" applyBorder="1" applyAlignment="1" applyProtection="1">
      <alignment horizontal="left" indent="3"/>
    </xf>
    <xf numFmtId="4" fontId="6" fillId="0" borderId="4" xfId="0" applyNumberFormat="1" applyFont="1" applyBorder="1" applyAlignment="1" applyProtection="1">
      <alignment horizontal="right" indent="7"/>
    </xf>
    <xf numFmtId="164" fontId="6" fillId="0" borderId="4" xfId="0" applyNumberFormat="1" applyFont="1" applyBorder="1" applyAlignment="1" applyProtection="1">
      <alignment horizontal="right" indent="7"/>
    </xf>
    <xf numFmtId="164" fontId="6" fillId="0" borderId="18" xfId="2" applyNumberFormat="1" applyFont="1" applyFill="1" applyBorder="1" applyAlignment="1" applyProtection="1">
      <alignment horizontal="right" indent="8"/>
    </xf>
    <xf numFmtId="164" fontId="6" fillId="0" borderId="0" xfId="2" applyNumberFormat="1" applyFont="1" applyFill="1" applyBorder="1" applyAlignment="1" applyProtection="1">
      <alignment horizontal="right" indent="3"/>
    </xf>
    <xf numFmtId="2" fontId="0" fillId="0" borderId="3" xfId="0" applyBorder="1" applyAlignment="1" applyProtection="1">
      <alignment horizontal="left" indent="3"/>
    </xf>
    <xf numFmtId="167" fontId="6" fillId="0" borderId="0" xfId="0" applyNumberFormat="1" applyFont="1" applyBorder="1" applyAlignment="1" applyProtection="1">
      <alignment horizontal="right" indent="8"/>
    </xf>
    <xf numFmtId="164" fontId="6" fillId="0" borderId="4" xfId="0" applyNumberFormat="1" applyFont="1" applyBorder="1" applyAlignment="1" applyProtection="1">
      <alignment horizontal="right" indent="8"/>
    </xf>
    <xf numFmtId="167" fontId="6" fillId="0" borderId="4" xfId="0" applyNumberFormat="1" applyFont="1" applyBorder="1" applyAlignment="1" applyProtection="1">
      <alignment horizontal="right" indent="7"/>
    </xf>
    <xf numFmtId="2" fontId="0" fillId="0" borderId="3" xfId="0" applyNumberFormat="1" applyBorder="1" applyAlignment="1" applyProtection="1">
      <alignment horizontal="left" indent="3"/>
    </xf>
    <xf numFmtId="2" fontId="7" fillId="0" borderId="3" xfId="0" applyNumberFormat="1" applyFont="1" applyBorder="1" applyAlignment="1" applyProtection="1">
      <alignment horizontal="left" indent="3"/>
    </xf>
    <xf numFmtId="164" fontId="7" fillId="0" borderId="18" xfId="2" applyNumberFormat="1" applyFont="1" applyFill="1" applyBorder="1" applyAlignment="1" applyProtection="1">
      <alignment horizontal="right" indent="8"/>
    </xf>
    <xf numFmtId="164" fontId="7" fillId="0" borderId="0" xfId="2" applyNumberFormat="1" applyFont="1" applyFill="1" applyBorder="1" applyAlignment="1" applyProtection="1">
      <alignment horizontal="right" indent="3"/>
    </xf>
    <xf numFmtId="2" fontId="6" fillId="0" borderId="3" xfId="0" applyFont="1" applyBorder="1" applyAlignment="1" applyProtection="1">
      <alignment horizontal="left" indent="3"/>
    </xf>
    <xf numFmtId="167" fontId="9" fillId="0" borderId="4" xfId="0" applyNumberFormat="1" applyFont="1" applyBorder="1" applyAlignment="1" applyProtection="1">
      <alignment horizontal="right" indent="6"/>
    </xf>
    <xf numFmtId="164" fontId="7" fillId="0" borderId="0" xfId="2" applyNumberFormat="1" applyFont="1" applyFill="1" applyBorder="1" applyAlignment="1" applyProtection="1">
      <alignment horizontal="center"/>
    </xf>
    <xf numFmtId="164" fontId="6" fillId="0" borderId="0" xfId="2" applyNumberFormat="1" applyFont="1" applyFill="1" applyBorder="1" applyAlignment="1" applyProtection="1">
      <alignment horizontal="center"/>
    </xf>
    <xf numFmtId="2" fontId="35" fillId="0" borderId="15" xfId="2" applyFont="1" applyBorder="1" applyProtection="1"/>
    <xf numFmtId="2" fontId="32" fillId="0" borderId="15" xfId="2" applyFont="1" applyBorder="1" applyProtection="1"/>
    <xf numFmtId="2" fontId="35" fillId="0" borderId="0" xfId="2" applyFont="1" applyBorder="1" applyProtection="1"/>
    <xf numFmtId="2" fontId="32" fillId="0" borderId="0" xfId="2" applyFont="1" applyBorder="1" applyProtection="1"/>
    <xf numFmtId="2" fontId="7" fillId="0" borderId="69" xfId="2" applyFont="1" applyBorder="1" applyAlignment="1" applyProtection="1">
      <alignment horizontal="left" vertical="center" wrapText="1"/>
    </xf>
    <xf numFmtId="2" fontId="7" fillId="0" borderId="77" xfId="2" applyFont="1" applyBorder="1" applyAlignment="1" applyProtection="1">
      <alignment horizontal="left" vertical="center" wrapText="1"/>
    </xf>
    <xf numFmtId="2" fontId="7" fillId="0" borderId="63" xfId="2" applyFont="1" applyBorder="1" applyAlignment="1" applyProtection="1">
      <alignment horizontal="left" vertical="center" wrapText="1"/>
    </xf>
    <xf numFmtId="168" fontId="0" fillId="0" borderId="0" xfId="0" applyNumberFormat="1" applyProtection="1"/>
    <xf numFmtId="2" fontId="7" fillId="0" borderId="6" xfId="0" applyFont="1" applyBorder="1" applyAlignment="1" applyProtection="1">
      <alignment horizontal="center" vertical="center" wrapText="1"/>
      <protection locked="0"/>
    </xf>
    <xf numFmtId="2" fontId="7" fillId="0" borderId="48" xfId="0" applyFont="1" applyBorder="1" applyAlignment="1" applyProtection="1">
      <alignment vertical="center" wrapText="1"/>
    </xf>
    <xf numFmtId="2" fontId="7" fillId="0" borderId="78" xfId="0" applyFont="1" applyFill="1" applyBorder="1" applyAlignment="1" applyProtection="1">
      <alignment vertical="center" wrapText="1"/>
    </xf>
    <xf numFmtId="2" fontId="7" fillId="0" borderId="8" xfId="0" applyFont="1" applyBorder="1"/>
    <xf numFmtId="165" fontId="0" fillId="0" borderId="0" xfId="0" applyNumberFormat="1"/>
    <xf numFmtId="2" fontId="7" fillId="0" borderId="6" xfId="0" quotePrefix="1" applyFont="1" applyBorder="1" applyAlignment="1">
      <alignment horizontal="center" vertical="center"/>
    </xf>
    <xf numFmtId="2" fontId="7" fillId="0" borderId="6" xfId="0" applyFont="1" applyFill="1" applyBorder="1"/>
    <xf numFmtId="2" fontId="7" fillId="0" borderId="0" xfId="2" applyProtection="1"/>
    <xf numFmtId="2" fontId="18" fillId="0" borderId="8" xfId="0" applyFont="1" applyBorder="1" applyAlignment="1" applyProtection="1">
      <alignment horizontal="center" vertical="center"/>
      <protection locked="0"/>
    </xf>
    <xf numFmtId="2" fontId="18" fillId="0" borderId="49" xfId="0" applyFont="1" applyBorder="1" applyAlignment="1" applyProtection="1">
      <alignment horizontal="center" vertical="center"/>
      <protection locked="0"/>
    </xf>
    <xf numFmtId="2" fontId="7" fillId="0" borderId="8" xfId="0" applyFont="1" applyBorder="1"/>
    <xf numFmtId="2" fontId="7" fillId="4" borderId="6" xfId="0" applyFont="1" applyFill="1" applyBorder="1" applyAlignment="1" applyProtection="1">
      <alignment horizontal="center" vertical="center"/>
    </xf>
    <xf numFmtId="2" fontId="7" fillId="4" borderId="6" xfId="0" applyFont="1" applyFill="1" applyBorder="1" applyAlignment="1" applyProtection="1">
      <alignment horizontal="center" wrapText="1"/>
    </xf>
    <xf numFmtId="2" fontId="6" fillId="4" borderId="11" xfId="0" applyFont="1" applyFill="1" applyBorder="1" applyProtection="1"/>
    <xf numFmtId="165" fontId="7" fillId="4" borderId="6" xfId="0" applyNumberFormat="1" applyFont="1" applyFill="1" applyBorder="1" applyAlignment="1" applyProtection="1">
      <alignment horizontal="center" vertical="center"/>
    </xf>
    <xf numFmtId="2" fontId="6" fillId="3" borderId="6" xfId="0" applyFont="1" applyFill="1" applyBorder="1" applyAlignment="1" applyProtection="1">
      <alignment horizontal="center" wrapText="1"/>
    </xf>
    <xf numFmtId="2" fontId="6" fillId="3" borderId="6" xfId="0" applyFont="1" applyFill="1" applyBorder="1" applyAlignment="1" applyProtection="1">
      <alignment horizontal="center"/>
    </xf>
    <xf numFmtId="165" fontId="7" fillId="0" borderId="0" xfId="0" applyNumberFormat="1" applyFont="1" applyFill="1" applyBorder="1" applyAlignment="1" applyProtection="1">
      <alignment horizontal="center" vertical="center"/>
    </xf>
    <xf numFmtId="1" fontId="7" fillId="0" borderId="54" xfId="0" applyNumberFormat="1" applyFont="1" applyBorder="1" applyAlignment="1">
      <alignment horizontal="left" vertical="center"/>
    </xf>
    <xf numFmtId="2" fontId="0" fillId="0" borderId="54" xfId="0" applyFill="1" applyBorder="1"/>
    <xf numFmtId="165" fontId="0" fillId="0" borderId="54" xfId="0" applyNumberFormat="1" applyBorder="1"/>
    <xf numFmtId="2" fontId="7" fillId="0" borderId="54" xfId="0" applyFont="1" applyBorder="1"/>
    <xf numFmtId="2" fontId="7" fillId="0" borderId="17" xfId="0" applyFont="1" applyBorder="1"/>
    <xf numFmtId="1" fontId="0" fillId="0" borderId="17" xfId="0" applyNumberFormat="1" applyBorder="1" applyAlignment="1">
      <alignment horizontal="left" vertical="center"/>
    </xf>
    <xf numFmtId="165" fontId="0" fillId="0" borderId="17" xfId="0" applyNumberFormat="1" applyBorder="1" applyAlignment="1">
      <alignment horizontal="right" vertical="center"/>
    </xf>
    <xf numFmtId="1" fontId="7" fillId="0" borderId="17" xfId="0" applyNumberFormat="1" applyFont="1" applyBorder="1" applyAlignment="1">
      <alignment horizontal="right" vertical="center"/>
    </xf>
    <xf numFmtId="1" fontId="7" fillId="0" borderId="17" xfId="0" applyNumberFormat="1" applyFont="1" applyBorder="1" applyAlignment="1">
      <alignment horizontal="left" vertical="center"/>
    </xf>
    <xf numFmtId="1" fontId="6" fillId="0" borderId="0" xfId="0" applyNumberFormat="1" applyFont="1" applyFill="1" applyBorder="1" applyAlignment="1">
      <alignment vertical="center"/>
    </xf>
    <xf numFmtId="2" fontId="6" fillId="4" borderId="11" xfId="0" applyFont="1" applyFill="1" applyBorder="1" applyAlignment="1" applyProtection="1">
      <alignment horizontal="left"/>
    </xf>
    <xf numFmtId="2" fontId="6" fillId="4" borderId="20" xfId="0" applyFont="1" applyFill="1" applyBorder="1" applyAlignment="1" applyProtection="1">
      <alignment horizontal="left"/>
    </xf>
    <xf numFmtId="2" fontId="6" fillId="4" borderId="10" xfId="0" applyFont="1" applyFill="1" applyBorder="1" applyAlignment="1" applyProtection="1">
      <alignment horizontal="left"/>
    </xf>
    <xf numFmtId="2" fontId="17" fillId="0" borderId="0" xfId="0" applyFont="1" applyAlignment="1" applyProtection="1">
      <alignment horizontal="left" vertical="top"/>
    </xf>
    <xf numFmtId="2" fontId="0" fillId="0" borderId="60" xfId="0" applyBorder="1" applyAlignment="1" applyProtection="1">
      <alignment horizontal="left"/>
    </xf>
    <xf numFmtId="2" fontId="0" fillId="0" borderId="21" xfId="0" applyBorder="1" applyAlignment="1" applyProtection="1">
      <alignment horizontal="left"/>
    </xf>
    <xf numFmtId="2" fontId="7" fillId="0" borderId="13" xfId="0" applyFont="1" applyBorder="1" applyAlignment="1" applyProtection="1"/>
    <xf numFmtId="2" fontId="7" fillId="0" borderId="13" xfId="2" applyBorder="1" applyAlignment="1" applyProtection="1">
      <alignment horizontal="left" vertical="center" wrapText="1"/>
    </xf>
    <xf numFmtId="2" fontId="6" fillId="0" borderId="4" xfId="0" applyFont="1" applyBorder="1" applyAlignment="1" applyProtection="1">
      <alignment horizontal="center"/>
    </xf>
    <xf numFmtId="2" fontId="27" fillId="0" borderId="55" xfId="0" applyFont="1" applyBorder="1" applyAlignment="1" applyProtection="1">
      <alignment horizontal="center" vertical="center"/>
    </xf>
    <xf numFmtId="2" fontId="18" fillId="0" borderId="8" xfId="0" applyNumberFormat="1" applyFont="1" applyBorder="1" applyAlignment="1" applyProtection="1">
      <alignment horizontal="center" vertical="center"/>
      <protection locked="0"/>
    </xf>
    <xf numFmtId="0" fontId="1" fillId="0" borderId="0" xfId="4" applyFont="1" applyAlignment="1"/>
    <xf numFmtId="2" fontId="7" fillId="0" borderId="6" xfId="0" quotePrefix="1" applyFont="1" applyBorder="1" applyAlignment="1" applyProtection="1">
      <alignment horizontal="center" vertical="center"/>
      <protection locked="0"/>
    </xf>
    <xf numFmtId="2" fontId="19" fillId="0" borderId="6" xfId="1" applyBorder="1" applyAlignment="1" applyProtection="1">
      <alignment vertical="center"/>
      <protection locked="0"/>
    </xf>
    <xf numFmtId="2" fontId="0" fillId="0" borderId="6" xfId="0" quotePrefix="1" applyBorder="1" applyAlignment="1" applyProtection="1">
      <alignment horizontal="center" vertical="center"/>
      <protection locked="0"/>
    </xf>
    <xf numFmtId="2" fontId="6" fillId="0" borderId="0" xfId="0" applyFont="1" applyAlignment="1" applyProtection="1">
      <alignment horizontal="left" vertical="center" wrapText="1"/>
    </xf>
    <xf numFmtId="2" fontId="7" fillId="0" borderId="0" xfId="0" applyFont="1" applyAlignment="1" applyProtection="1">
      <alignment horizontal="left" vertical="center" wrapText="1"/>
    </xf>
    <xf numFmtId="2" fontId="7" fillId="0" borderId="0" xfId="0" applyFont="1" applyAlignment="1" applyProtection="1">
      <alignment horizontal="left" wrapText="1"/>
    </xf>
    <xf numFmtId="2" fontId="19" fillId="0" borderId="0" xfId="1" applyAlignment="1" applyProtection="1">
      <alignment horizontal="left" vertical="center" wrapText="1"/>
    </xf>
    <xf numFmtId="2" fontId="16" fillId="0" borderId="0" xfId="0" applyFont="1" applyAlignment="1" applyProtection="1">
      <alignment horizontal="left" vertical="center" wrapText="1"/>
    </xf>
    <xf numFmtId="2" fontId="33" fillId="0" borderId="0" xfId="0" applyFont="1" applyAlignment="1" applyProtection="1">
      <alignment horizontal="left" vertical="center" wrapText="1"/>
    </xf>
    <xf numFmtId="2" fontId="0" fillId="0" borderId="61" xfId="0" applyBorder="1" applyAlignment="1" applyProtection="1">
      <alignment horizontal="left"/>
    </xf>
    <xf numFmtId="2" fontId="0" fillId="0" borderId="25" xfId="0" applyBorder="1" applyAlignment="1" applyProtection="1">
      <alignment horizontal="left"/>
    </xf>
    <xf numFmtId="2" fontId="7" fillId="0" borderId="64" xfId="0" applyFont="1" applyBorder="1" applyAlignment="1" applyProtection="1">
      <alignment horizontal="left" vertical="top" wrapText="1"/>
    </xf>
    <xf numFmtId="2" fontId="7" fillId="0" borderId="68" xfId="0" applyFont="1" applyBorder="1" applyAlignment="1" applyProtection="1">
      <alignment horizontal="left" vertical="top" wrapText="1"/>
    </xf>
    <xf numFmtId="2" fontId="7" fillId="0" borderId="43" xfId="0" applyFont="1" applyFill="1" applyBorder="1" applyAlignment="1" applyProtection="1">
      <alignment horizontal="left" vertical="top" wrapText="1"/>
    </xf>
    <xf numFmtId="2" fontId="7" fillId="0" borderId="24" xfId="0" applyFont="1" applyFill="1" applyBorder="1" applyAlignment="1" applyProtection="1">
      <alignment horizontal="left" vertical="top" wrapText="1"/>
    </xf>
    <xf numFmtId="2" fontId="0" fillId="0" borderId="60" xfId="0" applyBorder="1" applyAlignment="1" applyProtection="1">
      <alignment horizontal="left"/>
    </xf>
    <xf numFmtId="2" fontId="0" fillId="0" borderId="21" xfId="0" applyBorder="1" applyAlignment="1" applyProtection="1">
      <alignment horizontal="left"/>
    </xf>
    <xf numFmtId="2" fontId="7" fillId="0" borderId="13" xfId="0" applyFont="1" applyBorder="1" applyAlignment="1" applyProtection="1"/>
    <xf numFmtId="2" fontId="0" fillId="0" borderId="23" xfId="0" applyBorder="1" applyAlignment="1" applyProtection="1"/>
    <xf numFmtId="2" fontId="0" fillId="0" borderId="24" xfId="0" applyBorder="1" applyAlignment="1" applyProtection="1"/>
    <xf numFmtId="2" fontId="7" fillId="0" borderId="56" xfId="2" applyFont="1" applyBorder="1" applyAlignment="1" applyProtection="1">
      <alignment horizontal="left" vertical="center" wrapText="1"/>
    </xf>
    <xf numFmtId="2" fontId="7" fillId="0" borderId="57" xfId="2" applyFont="1" applyBorder="1" applyAlignment="1" applyProtection="1">
      <alignment horizontal="left" vertical="center" wrapText="1"/>
    </xf>
    <xf numFmtId="2" fontId="7" fillId="0" borderId="58" xfId="2" applyBorder="1" applyAlignment="1" applyProtection="1">
      <alignment horizontal="left" vertical="center" wrapText="1"/>
    </xf>
    <xf numFmtId="2" fontId="7" fillId="0" borderId="24" xfId="2" applyBorder="1" applyAlignment="1" applyProtection="1">
      <alignment horizontal="left" vertical="center" wrapText="1"/>
    </xf>
    <xf numFmtId="2" fontId="7" fillId="0" borderId="14" xfId="0" applyFont="1" applyBorder="1" applyAlignment="1" applyProtection="1"/>
    <xf numFmtId="2" fontId="0" fillId="0" borderId="17" xfId="0" applyBorder="1" applyAlignment="1" applyProtection="1"/>
    <xf numFmtId="2" fontId="0" fillId="0" borderId="19" xfId="0" applyBorder="1" applyAlignment="1" applyProtection="1"/>
    <xf numFmtId="2" fontId="7" fillId="0" borderId="12" xfId="0" applyFont="1" applyBorder="1" applyAlignment="1" applyProtection="1"/>
    <xf numFmtId="2" fontId="0" fillId="0" borderId="6" xfId="0" applyBorder="1" applyAlignment="1" applyProtection="1"/>
    <xf numFmtId="2" fontId="0" fillId="0" borderId="8" xfId="0" applyBorder="1" applyAlignment="1" applyProtection="1"/>
    <xf numFmtId="2" fontId="7" fillId="6" borderId="22" xfId="0" applyFont="1" applyFill="1" applyBorder="1" applyAlignment="1" applyProtection="1"/>
    <xf numFmtId="2" fontId="0" fillId="6" borderId="7" xfId="0" applyFill="1" applyBorder="1" applyAlignment="1" applyProtection="1"/>
    <xf numFmtId="2" fontId="0" fillId="6" borderId="9" xfId="0" applyFill="1" applyBorder="1" applyAlignment="1" applyProtection="1"/>
    <xf numFmtId="2" fontId="6" fillId="4" borderId="11" xfId="0" applyFont="1" applyFill="1" applyBorder="1" applyAlignment="1" applyProtection="1">
      <alignment horizontal="left"/>
    </xf>
    <xf numFmtId="2" fontId="6" fillId="4" borderId="20" xfId="0" applyFont="1" applyFill="1" applyBorder="1" applyAlignment="1" applyProtection="1">
      <alignment horizontal="left"/>
    </xf>
    <xf numFmtId="2" fontId="6" fillId="4" borderId="10" xfId="0" applyFont="1" applyFill="1" applyBorder="1" applyAlignment="1" applyProtection="1">
      <alignment horizontal="left"/>
    </xf>
    <xf numFmtId="2" fontId="17" fillId="0" borderId="0" xfId="0" applyFont="1" applyAlignment="1" applyProtection="1">
      <alignment horizontal="left" vertical="top"/>
    </xf>
    <xf numFmtId="2" fontId="7" fillId="0" borderId="0" xfId="0" applyFont="1" applyAlignment="1" applyProtection="1">
      <alignment horizontal="left" vertical="top" wrapText="1"/>
    </xf>
    <xf numFmtId="2" fontId="10" fillId="0" borderId="0" xfId="0" applyFont="1" applyAlignment="1" applyProtection="1">
      <alignment horizontal="left" vertical="top" wrapText="1"/>
    </xf>
    <xf numFmtId="2" fontId="7" fillId="0" borderId="0" xfId="2" applyFont="1" applyAlignment="1" applyProtection="1">
      <alignment horizontal="left" vertical="center" wrapText="1"/>
    </xf>
    <xf numFmtId="2" fontId="8" fillId="4" borderId="20" xfId="0" applyFont="1" applyFill="1" applyBorder="1" applyAlignment="1" applyProtection="1">
      <alignment horizontal="left"/>
    </xf>
    <xf numFmtId="2" fontId="8" fillId="4" borderId="10" xfId="0" applyFont="1" applyFill="1" applyBorder="1" applyAlignment="1" applyProtection="1">
      <alignment horizontal="left"/>
    </xf>
    <xf numFmtId="2" fontId="23" fillId="0" borderId="0" xfId="0" applyFont="1" applyAlignment="1" applyProtection="1">
      <alignment horizontal="left" vertical="center" wrapText="1"/>
    </xf>
    <xf numFmtId="2" fontId="7" fillId="0" borderId="70" xfId="0" applyFont="1" applyBorder="1" applyAlignment="1" applyProtection="1">
      <alignment horizontal="left" vertical="top" wrapText="1"/>
    </xf>
    <xf numFmtId="2" fontId="7" fillId="0" borderId="25" xfId="0" applyFont="1" applyBorder="1" applyAlignment="1" applyProtection="1">
      <alignment horizontal="left" vertical="top" wrapText="1"/>
    </xf>
    <xf numFmtId="49" fontId="7" fillId="0" borderId="42" xfId="0" applyNumberFormat="1" applyFont="1" applyBorder="1" applyAlignment="1" applyProtection="1">
      <alignment horizontal="left" vertical="top"/>
    </xf>
    <xf numFmtId="49" fontId="7" fillId="0" borderId="62" xfId="0" applyNumberFormat="1" applyFont="1" applyBorder="1" applyAlignment="1" applyProtection="1">
      <alignment horizontal="left" vertical="top"/>
    </xf>
    <xf numFmtId="49" fontId="7" fillId="0" borderId="69" xfId="0" applyNumberFormat="1" applyFont="1" applyBorder="1" applyAlignment="1" applyProtection="1">
      <alignment horizontal="left" vertical="top"/>
    </xf>
    <xf numFmtId="49" fontId="7" fillId="0" borderId="46" xfId="0" applyNumberFormat="1" applyFont="1" applyBorder="1" applyAlignment="1" applyProtection="1">
      <alignment horizontal="left" vertical="top"/>
    </xf>
    <xf numFmtId="2" fontId="19" fillId="0" borderId="45" xfId="1" applyBorder="1" applyAlignment="1" applyProtection="1">
      <alignment horizontal="center" vertical="center" wrapText="1"/>
    </xf>
    <xf numFmtId="2" fontId="7" fillId="0" borderId="63" xfId="2" applyFont="1" applyBorder="1" applyAlignment="1" applyProtection="1">
      <alignment horizontal="center" vertical="center" wrapText="1"/>
    </xf>
    <xf numFmtId="49" fontId="7" fillId="0" borderId="66" xfId="0" applyNumberFormat="1" applyFont="1" applyBorder="1" applyAlignment="1" applyProtection="1">
      <alignment horizontal="left" vertical="top"/>
    </xf>
    <xf numFmtId="49" fontId="7" fillId="0" borderId="67" xfId="0" applyNumberFormat="1" applyFont="1" applyBorder="1" applyAlignment="1" applyProtection="1">
      <alignment horizontal="left" vertical="top"/>
    </xf>
    <xf numFmtId="49" fontId="7" fillId="0" borderId="12" xfId="0" applyNumberFormat="1" applyFont="1" applyBorder="1" applyAlignment="1" applyProtection="1">
      <alignment horizontal="left" vertical="top"/>
    </xf>
    <xf numFmtId="49" fontId="7" fillId="0" borderId="6" xfId="0" applyNumberFormat="1" applyFont="1" applyBorder="1" applyAlignment="1" applyProtection="1">
      <alignment horizontal="left" vertical="top"/>
    </xf>
    <xf numFmtId="49" fontId="7" fillId="0" borderId="22" xfId="0" applyNumberFormat="1" applyFont="1" applyBorder="1" applyAlignment="1" applyProtection="1">
      <alignment horizontal="left" vertical="top"/>
    </xf>
    <xf numFmtId="49" fontId="7" fillId="0" borderId="7" xfId="0" applyNumberFormat="1" applyFont="1" applyBorder="1" applyAlignment="1" applyProtection="1">
      <alignment horizontal="left" vertical="top"/>
    </xf>
    <xf numFmtId="2" fontId="7" fillId="0" borderId="65" xfId="0" applyFont="1" applyBorder="1" applyAlignment="1" applyProtection="1">
      <alignment horizontal="left" vertical="top" wrapText="1"/>
    </xf>
    <xf numFmtId="2" fontId="7" fillId="0" borderId="41" xfId="0" applyFont="1" applyBorder="1" applyAlignment="1" applyProtection="1">
      <alignment horizontal="left" vertical="top" wrapText="1"/>
    </xf>
    <xf numFmtId="2" fontId="7" fillId="0" borderId="43" xfId="0" applyFont="1" applyBorder="1" applyAlignment="1" applyProtection="1">
      <alignment horizontal="left" vertical="top" wrapText="1"/>
    </xf>
    <xf numFmtId="2" fontId="7" fillId="0" borderId="24" xfId="0" applyFont="1" applyBorder="1" applyAlignment="1" applyProtection="1">
      <alignment horizontal="left" vertical="top" wrapText="1"/>
    </xf>
    <xf numFmtId="49" fontId="7" fillId="0" borderId="13" xfId="0" applyNumberFormat="1" applyFont="1" applyBorder="1" applyAlignment="1" applyProtection="1">
      <alignment horizontal="left" vertical="top" wrapText="1"/>
    </xf>
    <xf numFmtId="2" fontId="0" fillId="0" borderId="44" xfId="0" applyBorder="1" applyAlignment="1">
      <alignment horizontal="left" vertical="top" wrapText="1"/>
    </xf>
    <xf numFmtId="2" fontId="0" fillId="0" borderId="24" xfId="0" applyFill="1" applyBorder="1" applyAlignment="1">
      <alignment horizontal="left" vertical="top" wrapText="1"/>
    </xf>
    <xf numFmtId="2" fontId="7" fillId="4" borderId="13" xfId="0" applyFont="1" applyFill="1" applyBorder="1" applyAlignment="1" applyProtection="1">
      <alignment horizontal="left" vertical="center" wrapText="1"/>
    </xf>
    <xf numFmtId="2" fontId="7" fillId="4" borderId="24" xfId="0" applyFont="1" applyFill="1" applyBorder="1" applyAlignment="1" applyProtection="1">
      <alignment horizontal="left" vertical="center" wrapText="1"/>
    </xf>
    <xf numFmtId="2" fontId="6" fillId="4" borderId="40" xfId="0" applyFont="1" applyFill="1" applyBorder="1" applyAlignment="1" applyProtection="1">
      <alignment horizontal="left" wrapText="1"/>
    </xf>
    <xf numFmtId="2" fontId="6" fillId="4" borderId="41" xfId="0" applyFont="1" applyFill="1" applyBorder="1" applyAlignment="1" applyProtection="1">
      <alignment horizontal="left" wrapText="1"/>
    </xf>
    <xf numFmtId="2" fontId="6" fillId="4" borderId="11" xfId="2" applyFont="1" applyFill="1" applyBorder="1" applyAlignment="1" applyProtection="1">
      <alignment horizontal="left"/>
    </xf>
    <xf numFmtId="2" fontId="6" fillId="4" borderId="10" xfId="2" applyFont="1" applyFill="1" applyBorder="1" applyAlignment="1" applyProtection="1">
      <alignment horizontal="left"/>
    </xf>
    <xf numFmtId="2" fontId="8" fillId="4" borderId="11" xfId="0" applyFont="1" applyFill="1" applyBorder="1" applyAlignment="1" applyProtection="1">
      <alignment horizontal="left"/>
    </xf>
    <xf numFmtId="2" fontId="6" fillId="4" borderId="34" xfId="0" applyFont="1" applyFill="1" applyBorder="1" applyAlignment="1" applyProtection="1">
      <alignment horizontal="left"/>
    </xf>
    <xf numFmtId="2" fontId="6" fillId="4" borderId="35" xfId="0" applyFont="1" applyFill="1" applyBorder="1" applyAlignment="1" applyProtection="1">
      <alignment horizontal="left"/>
    </xf>
    <xf numFmtId="2" fontId="6" fillId="4" borderId="40" xfId="0" applyFont="1" applyFill="1" applyBorder="1" applyAlignment="1" applyProtection="1">
      <alignment horizontal="left"/>
    </xf>
    <xf numFmtId="2" fontId="6" fillId="4" borderId="41" xfId="0" applyFont="1" applyFill="1" applyBorder="1" applyAlignment="1" applyProtection="1">
      <alignment horizontal="left"/>
    </xf>
    <xf numFmtId="2" fontId="7" fillId="4" borderId="11" xfId="0" applyFont="1" applyFill="1" applyBorder="1" applyAlignment="1" applyProtection="1">
      <alignment horizontal="left" vertical="center" wrapText="1"/>
    </xf>
    <xf numFmtId="2" fontId="0" fillId="4" borderId="20" xfId="0" applyFill="1" applyBorder="1" applyAlignment="1" applyProtection="1">
      <alignment horizontal="left" vertical="center" wrapText="1"/>
    </xf>
    <xf numFmtId="2" fontId="0" fillId="4" borderId="10" xfId="0" applyFill="1" applyBorder="1" applyAlignment="1" applyProtection="1">
      <alignment horizontal="left" vertical="center" wrapText="1"/>
    </xf>
    <xf numFmtId="2" fontId="7" fillId="0" borderId="11" xfId="0" applyFont="1" applyBorder="1" applyAlignment="1" applyProtection="1">
      <alignment horizontal="left" vertical="center" wrapText="1"/>
    </xf>
    <xf numFmtId="2" fontId="7" fillId="0" borderId="20" xfId="0" applyFont="1" applyBorder="1" applyAlignment="1" applyProtection="1">
      <alignment horizontal="left" vertical="center" wrapText="1"/>
    </xf>
    <xf numFmtId="2" fontId="7" fillId="0" borderId="72" xfId="0" applyFont="1" applyBorder="1" applyAlignment="1" applyProtection="1">
      <alignment horizontal="left" vertical="center" wrapText="1"/>
    </xf>
    <xf numFmtId="3" fontId="18" fillId="0" borderId="20" xfId="0" applyNumberFormat="1" applyFont="1" applyBorder="1" applyAlignment="1" applyProtection="1">
      <alignment horizontal="center" vertical="center"/>
      <protection locked="0"/>
    </xf>
    <xf numFmtId="3" fontId="18" fillId="0" borderId="10" xfId="0" applyNumberFormat="1" applyFont="1" applyBorder="1" applyAlignment="1" applyProtection="1">
      <alignment horizontal="center" vertical="center"/>
      <protection locked="0"/>
    </xf>
    <xf numFmtId="2" fontId="7" fillId="0" borderId="66" xfId="2" applyBorder="1" applyAlignment="1" applyProtection="1">
      <alignment horizontal="left" vertical="center" wrapText="1"/>
    </xf>
    <xf numFmtId="2" fontId="7" fillId="0" borderId="67" xfId="2" applyBorder="1" applyAlignment="1" applyProtection="1">
      <alignment horizontal="left" vertical="center" wrapText="1"/>
    </xf>
    <xf numFmtId="2" fontId="18" fillId="0" borderId="65" xfId="2" applyFont="1" applyBorder="1" applyAlignment="1" applyProtection="1">
      <alignment horizontal="center" vertical="center"/>
      <protection locked="0"/>
    </xf>
    <xf numFmtId="2" fontId="18" fillId="0" borderId="53" xfId="2" applyFont="1" applyBorder="1" applyAlignment="1" applyProtection="1">
      <alignment horizontal="center" vertical="center"/>
      <protection locked="0"/>
    </xf>
    <xf numFmtId="2" fontId="18" fillId="0" borderId="41" xfId="2" applyFont="1" applyBorder="1" applyAlignment="1" applyProtection="1">
      <alignment horizontal="center" vertical="center"/>
      <protection locked="0"/>
    </xf>
    <xf numFmtId="2" fontId="7" fillId="0" borderId="13" xfId="2" applyBorder="1" applyAlignment="1" applyProtection="1">
      <alignment horizontal="left" vertical="center" wrapText="1"/>
    </xf>
    <xf numFmtId="2" fontId="7" fillId="0" borderId="23" xfId="2" applyBorder="1" applyAlignment="1" applyProtection="1">
      <alignment horizontal="left" vertical="center" wrapText="1"/>
    </xf>
    <xf numFmtId="2" fontId="7" fillId="0" borderId="44" xfId="2" applyBorder="1" applyAlignment="1" applyProtection="1">
      <alignment horizontal="left" vertical="center" wrapText="1"/>
    </xf>
    <xf numFmtId="2" fontId="18" fillId="0" borderId="6" xfId="2" applyFont="1" applyBorder="1" applyAlignment="1" applyProtection="1">
      <alignment horizontal="center" vertical="center"/>
      <protection locked="0"/>
    </xf>
    <xf numFmtId="2" fontId="18" fillId="0" borderId="8" xfId="2" applyFont="1" applyBorder="1" applyAlignment="1" applyProtection="1">
      <alignment horizontal="center" vertical="center"/>
      <protection locked="0"/>
    </xf>
    <xf numFmtId="2" fontId="7" fillId="0" borderId="16" xfId="2" applyBorder="1" applyAlignment="1" applyProtection="1">
      <alignment horizontal="left" vertical="center" wrapText="1"/>
    </xf>
    <xf numFmtId="2" fontId="7" fillId="0" borderId="80" xfId="2" applyBorder="1" applyAlignment="1" applyProtection="1">
      <alignment horizontal="left" vertical="center" wrapText="1"/>
    </xf>
    <xf numFmtId="2" fontId="7" fillId="0" borderId="79" xfId="2" applyBorder="1" applyAlignment="1" applyProtection="1">
      <alignment horizontal="left" vertical="center" wrapText="1"/>
    </xf>
    <xf numFmtId="2" fontId="18" fillId="0" borderId="70" xfId="2" applyFont="1" applyBorder="1" applyAlignment="1" applyProtection="1">
      <alignment horizontal="center" vertical="center"/>
      <protection locked="0"/>
    </xf>
    <xf numFmtId="2" fontId="18" fillId="0" borderId="80" xfId="2" applyFont="1" applyBorder="1" applyAlignment="1" applyProtection="1">
      <alignment horizontal="center" vertical="center"/>
      <protection locked="0"/>
    </xf>
    <xf numFmtId="2" fontId="18" fillId="0" borderId="25" xfId="2" applyFont="1" applyBorder="1" applyAlignment="1" applyProtection="1">
      <alignment horizontal="center" vertical="center"/>
      <protection locked="0"/>
    </xf>
    <xf numFmtId="2" fontId="6" fillId="5" borderId="11" xfId="0" applyFont="1" applyFill="1" applyBorder="1" applyAlignment="1" applyProtection="1">
      <alignment horizontal="center"/>
    </xf>
    <xf numFmtId="2" fontId="6" fillId="5" borderId="20" xfId="0" applyFont="1" applyFill="1" applyBorder="1" applyAlignment="1" applyProtection="1">
      <alignment horizontal="center"/>
    </xf>
    <xf numFmtId="2" fontId="6" fillId="5" borderId="10" xfId="0" applyFont="1" applyFill="1" applyBorder="1" applyAlignment="1" applyProtection="1">
      <alignment horizontal="center"/>
    </xf>
    <xf numFmtId="2" fontId="6" fillId="0" borderId="13" xfId="0" applyFont="1" applyBorder="1" applyAlignment="1" applyProtection="1">
      <alignment horizontal="center" vertical="center"/>
    </xf>
    <xf numFmtId="2" fontId="6" fillId="0" borderId="23" xfId="0" applyFont="1" applyBorder="1" applyAlignment="1" applyProtection="1">
      <alignment horizontal="center" vertical="center"/>
    </xf>
    <xf numFmtId="2" fontId="6" fillId="0" borderId="24" xfId="0" applyFont="1" applyBorder="1" applyAlignment="1" applyProtection="1">
      <alignment horizontal="center" vertical="center"/>
    </xf>
    <xf numFmtId="2" fontId="31" fillId="8" borderId="11" xfId="2" applyFont="1" applyFill="1" applyBorder="1" applyAlignment="1" applyProtection="1">
      <alignment horizontal="center" vertical="center"/>
    </xf>
    <xf numFmtId="2" fontId="31" fillId="8" borderId="20" xfId="2" applyFont="1" applyFill="1" applyBorder="1" applyAlignment="1" applyProtection="1">
      <alignment horizontal="center" vertical="center"/>
    </xf>
    <xf numFmtId="2" fontId="31" fillId="8" borderId="10" xfId="2" applyFont="1" applyFill="1" applyBorder="1" applyAlignment="1" applyProtection="1">
      <alignment horizontal="center" vertical="center"/>
    </xf>
    <xf numFmtId="2" fontId="31" fillId="0" borderId="2" xfId="2" applyFont="1" applyBorder="1" applyAlignment="1" applyProtection="1">
      <alignment horizontal="justify" vertical="top" wrapText="1"/>
    </xf>
    <xf numFmtId="2" fontId="31" fillId="0" borderId="1" xfId="2" applyFont="1" applyBorder="1" applyAlignment="1" applyProtection="1">
      <alignment horizontal="justify" vertical="top" wrapText="1"/>
    </xf>
    <xf numFmtId="2" fontId="31" fillId="0" borderId="27" xfId="2" applyFont="1" applyBorder="1" applyAlignment="1" applyProtection="1">
      <alignment horizontal="justify" vertical="top" wrapText="1"/>
    </xf>
    <xf numFmtId="2" fontId="32" fillId="7" borderId="11" xfId="2" applyFont="1" applyFill="1" applyBorder="1" applyAlignment="1" applyProtection="1">
      <alignment horizontal="center" vertical="top" wrapText="1"/>
    </xf>
    <xf numFmtId="2" fontId="32" fillId="7" borderId="20" xfId="2" applyFont="1" applyFill="1" applyBorder="1" applyAlignment="1" applyProtection="1">
      <alignment horizontal="center" vertical="top" wrapText="1"/>
    </xf>
    <xf numFmtId="2" fontId="32" fillId="7" borderId="10" xfId="2" applyFont="1" applyFill="1" applyBorder="1" applyAlignment="1" applyProtection="1">
      <alignment horizontal="center" vertical="top" wrapText="1"/>
    </xf>
    <xf numFmtId="2" fontId="11" fillId="2" borderId="2" xfId="0" applyFont="1" applyFill="1" applyBorder="1" applyAlignment="1" applyProtection="1">
      <alignment horizontal="center" vertical="center"/>
    </xf>
    <xf numFmtId="2" fontId="11" fillId="2" borderId="1" xfId="0" applyFont="1" applyFill="1" applyBorder="1" applyAlignment="1" applyProtection="1">
      <alignment horizontal="center" vertical="center"/>
    </xf>
    <xf numFmtId="2" fontId="11" fillId="2" borderId="27" xfId="0" applyFont="1" applyFill="1" applyBorder="1" applyAlignment="1" applyProtection="1">
      <alignment horizontal="center" vertical="center"/>
    </xf>
    <xf numFmtId="2" fontId="6" fillId="0" borderId="74" xfId="0" applyFont="1" applyBorder="1" applyAlignment="1" applyProtection="1">
      <alignment horizontal="center" vertical="center"/>
    </xf>
    <xf numFmtId="2" fontId="6" fillId="0" borderId="75" xfId="0" applyFont="1" applyBorder="1" applyAlignment="1" applyProtection="1">
      <alignment horizontal="center" vertical="center"/>
    </xf>
    <xf numFmtId="2" fontId="6" fillId="0" borderId="76" xfId="0" applyFont="1" applyBorder="1" applyAlignment="1" applyProtection="1">
      <alignment horizontal="center" vertical="center"/>
    </xf>
    <xf numFmtId="2" fontId="6" fillId="0" borderId="30" xfId="0" applyFont="1" applyBorder="1" applyAlignment="1" applyProtection="1">
      <alignment horizontal="center" wrapText="1"/>
    </xf>
    <xf numFmtId="2" fontId="6" fillId="0" borderId="4" xfId="0" applyFont="1" applyBorder="1" applyAlignment="1" applyProtection="1">
      <alignment horizontal="center" wrapText="1"/>
    </xf>
    <xf numFmtId="2" fontId="6" fillId="0" borderId="0" xfId="0" applyFont="1" applyAlignment="1" applyProtection="1">
      <alignment horizontal="center" vertical="center" wrapText="1"/>
    </xf>
    <xf numFmtId="2" fontId="6" fillId="0" borderId="0" xfId="0" applyFont="1" applyAlignment="1" applyProtection="1">
      <alignment horizontal="center" wrapText="1"/>
    </xf>
    <xf numFmtId="2" fontId="6" fillId="0" borderId="30" xfId="0" applyFont="1" applyBorder="1" applyAlignment="1" applyProtection="1">
      <alignment horizontal="center"/>
    </xf>
    <xf numFmtId="2" fontId="6" fillId="0" borderId="4" xfId="0" applyFont="1" applyBorder="1" applyAlignment="1" applyProtection="1">
      <alignment horizontal="center"/>
    </xf>
    <xf numFmtId="2" fontId="7" fillId="0" borderId="37" xfId="0" applyFont="1" applyBorder="1" applyAlignment="1" applyProtection="1">
      <alignment horizontal="center"/>
    </xf>
    <xf numFmtId="2" fontId="7" fillId="0" borderId="5" xfId="0" applyFont="1" applyBorder="1" applyAlignment="1" applyProtection="1">
      <alignment horizontal="center"/>
    </xf>
    <xf numFmtId="2" fontId="0" fillId="0" borderId="37" xfId="0" applyBorder="1" applyAlignment="1" applyProtection="1">
      <alignment horizontal="center"/>
    </xf>
    <xf numFmtId="2" fontId="0" fillId="0" borderId="5" xfId="0" applyBorder="1" applyAlignment="1" applyProtection="1">
      <alignment horizontal="center"/>
    </xf>
    <xf numFmtId="2" fontId="17" fillId="0" borderId="0" xfId="0" applyFont="1" applyAlignment="1">
      <alignment horizontal="left" vertical="top"/>
    </xf>
    <xf numFmtId="2" fontId="16" fillId="0" borderId="0" xfId="0" applyFont="1" applyAlignment="1">
      <alignment horizontal="left"/>
    </xf>
    <xf numFmtId="1" fontId="0" fillId="0" borderId="1" xfId="0" applyNumberFormat="1" applyBorder="1" applyAlignment="1">
      <alignment horizontal="left" vertical="center"/>
    </xf>
    <xf numFmtId="1" fontId="6" fillId="4" borderId="6" xfId="0" applyNumberFormat="1" applyFont="1" applyFill="1" applyBorder="1" applyAlignment="1">
      <alignment horizontal="left" vertical="center"/>
    </xf>
    <xf numFmtId="1" fontId="6" fillId="4" borderId="17" xfId="0" applyNumberFormat="1" applyFont="1" applyFill="1" applyBorder="1" applyAlignment="1">
      <alignment horizontal="left" vertical="center"/>
    </xf>
    <xf numFmtId="1" fontId="6" fillId="4" borderId="43" xfId="0" applyNumberFormat="1" applyFont="1" applyFill="1" applyBorder="1" applyAlignment="1">
      <alignment horizontal="left" vertical="center"/>
    </xf>
    <xf numFmtId="1" fontId="6" fillId="4" borderId="23" xfId="0" applyNumberFormat="1" applyFont="1" applyFill="1" applyBorder="1" applyAlignment="1">
      <alignment horizontal="left" vertical="center"/>
    </xf>
    <xf numFmtId="1" fontId="6" fillId="4" borderId="44" xfId="0" applyNumberFormat="1" applyFont="1" applyFill="1" applyBorder="1" applyAlignment="1">
      <alignment horizontal="left" vertical="center"/>
    </xf>
    <xf numFmtId="2" fontId="6" fillId="5" borderId="40" xfId="2" applyFont="1" applyFill="1" applyBorder="1" applyAlignment="1">
      <alignment horizontal="left"/>
    </xf>
    <xf numFmtId="2" fontId="6" fillId="5" borderId="53" xfId="2" applyFont="1" applyFill="1" applyBorder="1" applyAlignment="1">
      <alignment horizontal="left"/>
    </xf>
    <xf numFmtId="2" fontId="6" fillId="5" borderId="41" xfId="2" applyFont="1" applyFill="1" applyBorder="1" applyAlignment="1">
      <alignment horizontal="left"/>
    </xf>
    <xf numFmtId="0" fontId="25" fillId="4" borderId="6" xfId="4" applyFont="1" applyFill="1" applyBorder="1" applyAlignment="1">
      <alignment horizontal="center"/>
    </xf>
  </cellXfs>
  <cellStyles count="10">
    <cellStyle name="Hyperlink" xfId="1" builtinId="8"/>
    <cellStyle name="Hyperlink 2" xfId="5"/>
    <cellStyle name="Normal" xfId="0" builtinId="0"/>
    <cellStyle name="Normal 2" xfId="2"/>
    <cellStyle name="Normal 2 2" xfId="6"/>
    <cellStyle name="Normal 2 3" xfId="7"/>
    <cellStyle name="Normal 3" xfId="4"/>
    <cellStyle name="Normal 3 2" xfId="9"/>
    <cellStyle name="Normal 4" xfId="8"/>
    <cellStyle name="Percent 2" xfId="3"/>
  </cellStyles>
  <dxfs count="11">
    <dxf>
      <font>
        <color rgb="FFFF0000"/>
      </font>
    </dxf>
    <dxf>
      <font>
        <color rgb="FFFF0000"/>
      </font>
    </dxf>
    <dxf>
      <font>
        <color rgb="FFFF0000"/>
      </font>
    </dxf>
    <dxf>
      <font>
        <color rgb="FFFF0000"/>
      </font>
    </dxf>
    <dxf>
      <font>
        <color rgb="FFFF0000"/>
      </font>
    </dxf>
    <dxf>
      <font>
        <color rgb="FFFF0000"/>
      </font>
    </dxf>
    <dxf>
      <fill>
        <patternFill>
          <bgColor rgb="FFFFFF99"/>
        </patternFill>
      </fill>
    </dxf>
    <dxf>
      <font>
        <color auto="1"/>
      </font>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CC6600"/>
      <color rgb="FFFF0000"/>
      <color rgb="FFFFFF99"/>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directed$/dornj/Desktop/Calculators%20to%20deliver%202-1-13/Ready%20to%20Deliver/Sawmill_Registration_Calculator_v1.1_(last_updated_2013.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ation FAQs"/>
      <sheetName val="Instructions"/>
      <sheetName val="Inputs"/>
      <sheetName val="Controls and Restrictions"/>
      <sheetName val="Total Emissions"/>
      <sheetName val="Output-Summary Printout"/>
      <sheetName val="Change Log"/>
      <sheetName val="Emission Factors"/>
      <sheetName val="Fuel Energy Content"/>
      <sheetName val="Additional References"/>
      <sheetName val="EPA Regional Contact Info"/>
    </sheetNames>
    <sheetDataSet>
      <sheetData sheetId="0"/>
      <sheetData sheetId="1"/>
      <sheetData sheetId="2"/>
      <sheetData sheetId="3">
        <row r="4">
          <cell r="L4" t="str">
            <v>Bagfilter</v>
          </cell>
        </row>
        <row r="5">
          <cell r="L5" t="str">
            <v>Cyclone</v>
          </cell>
        </row>
        <row r="6">
          <cell r="L6" t="str">
            <v>None</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pa.gov/air/tribal/pdfs/existing_source_registration_rev.pdf" TargetMode="External"/><Relationship Id="rId1" Type="http://schemas.openxmlformats.org/officeDocument/2006/relationships/hyperlink" Target="http://www.epa.gov/air/tribal/tribalnsr.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3" Type="http://schemas.openxmlformats.org/officeDocument/2006/relationships/hyperlink" Target="mailto:gupta.kaushal@epa.gov" TargetMode="External"/><Relationship Id="rId18" Type="http://schemas.openxmlformats.org/officeDocument/2006/relationships/hyperlink" Target="mailto:smith.claudia@epa.gov" TargetMode="External"/><Relationship Id="rId26" Type="http://schemas.openxmlformats.org/officeDocument/2006/relationships/hyperlink" Target="mailto:paser.kathleen@epa.gov" TargetMode="External"/><Relationship Id="rId39" Type="http://schemas.openxmlformats.org/officeDocument/2006/relationships/hyperlink" Target="mailto:oquendo.ana@epa.gov" TargetMode="External"/><Relationship Id="rId21" Type="http://schemas.openxmlformats.org/officeDocument/2006/relationships/hyperlink" Target="mailto:smith.claudia@epa.gov" TargetMode="External"/><Relationship Id="rId34" Type="http://schemas.openxmlformats.org/officeDocument/2006/relationships/hyperlink" Target="mailto:gupta.kaushal@epa.gov" TargetMode="External"/><Relationship Id="rId42" Type="http://schemas.openxmlformats.org/officeDocument/2006/relationships/hyperlink" Target="mailto:shepherd.lorinda@epa.gov" TargetMode="External"/><Relationship Id="rId47" Type="http://schemas.openxmlformats.org/officeDocument/2006/relationships/hyperlink" Target="mailto:shepherd.lorinda@epa.gov" TargetMode="External"/><Relationship Id="rId50" Type="http://schemas.openxmlformats.org/officeDocument/2006/relationships/hyperlink" Target="mailto:Gutierrez.roberto@epa.gov" TargetMode="External"/><Relationship Id="rId55" Type="http://schemas.openxmlformats.org/officeDocument/2006/relationships/hyperlink" Target="mailto:Gutierrez.roberto@epa.gov" TargetMode="External"/><Relationship Id="rId63" Type="http://schemas.openxmlformats.org/officeDocument/2006/relationships/hyperlink" Target="mailto:braganza.bonnie@epa.gov" TargetMode="External"/><Relationship Id="rId7" Type="http://schemas.openxmlformats.org/officeDocument/2006/relationships/hyperlink" Target="mailto:lau.gavin@epa.gov" TargetMode="External"/><Relationship Id="rId2" Type="http://schemas.openxmlformats.org/officeDocument/2006/relationships/hyperlink" Target="mailto:McCahill.brendan@epa.gov" TargetMode="External"/><Relationship Id="rId16" Type="http://schemas.openxmlformats.org/officeDocument/2006/relationships/hyperlink" Target="mailto:paser.kathleen@epa.gov" TargetMode="External"/><Relationship Id="rId20" Type="http://schemas.openxmlformats.org/officeDocument/2006/relationships/hyperlink" Target="mailto:smith.claudia@epa.gov" TargetMode="External"/><Relationship Id="rId29" Type="http://schemas.openxmlformats.org/officeDocument/2006/relationships/hyperlink" Target="mailto:webber.robert@epa.gov" TargetMode="External"/><Relationship Id="rId41" Type="http://schemas.openxmlformats.org/officeDocument/2006/relationships/hyperlink" Target="mailto:oquendo.ana@epa.gov" TargetMode="External"/><Relationship Id="rId54" Type="http://schemas.openxmlformats.org/officeDocument/2006/relationships/hyperlink" Target="mailto:Gutierrez.roberto@epa.gov" TargetMode="External"/><Relationship Id="rId62" Type="http://schemas.openxmlformats.org/officeDocument/2006/relationships/hyperlink" Target="mailto:braganza.bonnie@epa.gov" TargetMode="External"/><Relationship Id="rId1" Type="http://schemas.openxmlformats.org/officeDocument/2006/relationships/hyperlink" Target="mailto:McCahill.brendan@epa.gov" TargetMode="External"/><Relationship Id="rId6" Type="http://schemas.openxmlformats.org/officeDocument/2006/relationships/hyperlink" Target="mailto:McCahill.brendan@epa.gov" TargetMode="External"/><Relationship Id="rId11" Type="http://schemas.openxmlformats.org/officeDocument/2006/relationships/hyperlink" Target="mailto:oquendo.ana@epa.gov" TargetMode="External"/><Relationship Id="rId24" Type="http://schemas.openxmlformats.org/officeDocument/2006/relationships/hyperlink" Target="mailto:paser.kathleen@epa.gov" TargetMode="External"/><Relationship Id="rId32" Type="http://schemas.openxmlformats.org/officeDocument/2006/relationships/hyperlink" Target="mailto:gupta.kaushal@epa.gov" TargetMode="External"/><Relationship Id="rId37" Type="http://schemas.openxmlformats.org/officeDocument/2006/relationships/hyperlink" Target="mailto:oquendo.ana@epa.gov" TargetMode="External"/><Relationship Id="rId40" Type="http://schemas.openxmlformats.org/officeDocument/2006/relationships/hyperlink" Target="mailto:oquendo.ana@epa.gov" TargetMode="External"/><Relationship Id="rId45" Type="http://schemas.openxmlformats.org/officeDocument/2006/relationships/hyperlink" Target="mailto:shepherd.lorinda@epa.gov" TargetMode="External"/><Relationship Id="rId53" Type="http://schemas.openxmlformats.org/officeDocument/2006/relationships/hyperlink" Target="mailto:glass.geoffrey@epa.gov" TargetMode="External"/><Relationship Id="rId58" Type="http://schemas.openxmlformats.org/officeDocument/2006/relationships/hyperlink" Target="mailto:todd.bill@epa.gov" TargetMode="External"/><Relationship Id="rId66" Type="http://schemas.openxmlformats.org/officeDocument/2006/relationships/printerSettings" Target="../printerSettings/printerSettings12.bin"/><Relationship Id="rId5" Type="http://schemas.openxmlformats.org/officeDocument/2006/relationships/hyperlink" Target="mailto:McCahill.brendan@epa.gov" TargetMode="External"/><Relationship Id="rId15" Type="http://schemas.openxmlformats.org/officeDocument/2006/relationships/hyperlink" Target="mailto:smith.claudia@epa.gov" TargetMode="External"/><Relationship Id="rId23" Type="http://schemas.openxmlformats.org/officeDocument/2006/relationships/hyperlink" Target="mailto:paser.kathleen@epa.gov" TargetMode="External"/><Relationship Id="rId28" Type="http://schemas.openxmlformats.org/officeDocument/2006/relationships/hyperlink" Target="mailto:webber.robert@epa.gov" TargetMode="External"/><Relationship Id="rId36" Type="http://schemas.openxmlformats.org/officeDocument/2006/relationships/hyperlink" Target="mailto:oquendo.ana@epa.gov" TargetMode="External"/><Relationship Id="rId49" Type="http://schemas.openxmlformats.org/officeDocument/2006/relationships/hyperlink" Target="mailto:glass.geoffrey@epa.gov" TargetMode="External"/><Relationship Id="rId57" Type="http://schemas.openxmlformats.org/officeDocument/2006/relationships/hyperlink" Target="mailto:todd.bill@epa.gov" TargetMode="External"/><Relationship Id="rId61" Type="http://schemas.openxmlformats.org/officeDocument/2006/relationships/hyperlink" Target="mailto:braganza.bonnie@epa.gov" TargetMode="External"/><Relationship Id="rId10" Type="http://schemas.openxmlformats.org/officeDocument/2006/relationships/hyperlink" Target="mailto:Dholakia.umesh@epa.gov" TargetMode="External"/><Relationship Id="rId19" Type="http://schemas.openxmlformats.org/officeDocument/2006/relationships/hyperlink" Target="mailto:smith.claudia@epa.gov" TargetMode="External"/><Relationship Id="rId31" Type="http://schemas.openxmlformats.org/officeDocument/2006/relationships/hyperlink" Target="mailto:gupta.kaushal@epa.gov" TargetMode="External"/><Relationship Id="rId44" Type="http://schemas.openxmlformats.org/officeDocument/2006/relationships/hyperlink" Target="mailto:shepherd.lorinda@epa.gov" TargetMode="External"/><Relationship Id="rId52" Type="http://schemas.openxmlformats.org/officeDocument/2006/relationships/hyperlink" Target="mailto:glass.geoffrey@epa.gov" TargetMode="External"/><Relationship Id="rId60" Type="http://schemas.openxmlformats.org/officeDocument/2006/relationships/hyperlink" Target="mailto:todd.bill@epa.gov" TargetMode="External"/><Relationship Id="rId65" Type="http://schemas.openxmlformats.org/officeDocument/2006/relationships/hyperlink" Target="mailto:braganza.bonnie@epa.gov" TargetMode="External"/><Relationship Id="rId4" Type="http://schemas.openxmlformats.org/officeDocument/2006/relationships/hyperlink" Target="mailto:McCahill.brendan@epa.gov" TargetMode="External"/><Relationship Id="rId9" Type="http://schemas.openxmlformats.org/officeDocument/2006/relationships/hyperlink" Target="mailto:lau.gavin@epa.gov" TargetMode="External"/><Relationship Id="rId14" Type="http://schemas.openxmlformats.org/officeDocument/2006/relationships/hyperlink" Target="mailto:webber.robert@epa.gov" TargetMode="External"/><Relationship Id="rId22" Type="http://schemas.openxmlformats.org/officeDocument/2006/relationships/hyperlink" Target="mailto:paser.kathleen@epa.gov" TargetMode="External"/><Relationship Id="rId27" Type="http://schemas.openxmlformats.org/officeDocument/2006/relationships/hyperlink" Target="mailto:webber.robert@epa.gov" TargetMode="External"/><Relationship Id="rId30" Type="http://schemas.openxmlformats.org/officeDocument/2006/relationships/hyperlink" Target="mailto:gupta.kaushal@epa.gov" TargetMode="External"/><Relationship Id="rId35" Type="http://schemas.openxmlformats.org/officeDocument/2006/relationships/hyperlink" Target="mailto:oquendo.ana@epa.gov" TargetMode="External"/><Relationship Id="rId43" Type="http://schemas.openxmlformats.org/officeDocument/2006/relationships/hyperlink" Target="mailto:shepherd.lorinda@epa.gov" TargetMode="External"/><Relationship Id="rId48" Type="http://schemas.openxmlformats.org/officeDocument/2006/relationships/hyperlink" Target="mailto:shepherd.lorinda@epa.gov" TargetMode="External"/><Relationship Id="rId56" Type="http://schemas.openxmlformats.org/officeDocument/2006/relationships/hyperlink" Target="mailto:Gutierrez.roberto@epa.gov" TargetMode="External"/><Relationship Id="rId64" Type="http://schemas.openxmlformats.org/officeDocument/2006/relationships/hyperlink" Target="mailto:braganza.bonnie@epa.gov" TargetMode="External"/><Relationship Id="rId8" Type="http://schemas.openxmlformats.org/officeDocument/2006/relationships/hyperlink" Target="mailto:Dholakia.umesh@epa.gov" TargetMode="External"/><Relationship Id="rId51" Type="http://schemas.openxmlformats.org/officeDocument/2006/relationships/hyperlink" Target="mailto:glass.geoffrey@epa.gov" TargetMode="External"/><Relationship Id="rId3" Type="http://schemas.openxmlformats.org/officeDocument/2006/relationships/hyperlink" Target="mailto:McCahill.brendan@epa.gov" TargetMode="External"/><Relationship Id="rId12" Type="http://schemas.openxmlformats.org/officeDocument/2006/relationships/hyperlink" Target="mailto:shepherd.lorinda@epa.gov" TargetMode="External"/><Relationship Id="rId17" Type="http://schemas.openxmlformats.org/officeDocument/2006/relationships/hyperlink" Target="mailto:smith.claudia@epa.gov" TargetMode="External"/><Relationship Id="rId25" Type="http://schemas.openxmlformats.org/officeDocument/2006/relationships/hyperlink" Target="mailto:paser.kathleen@epa.gov" TargetMode="External"/><Relationship Id="rId33" Type="http://schemas.openxmlformats.org/officeDocument/2006/relationships/hyperlink" Target="mailto:gupta.kaushal@epa.gov" TargetMode="External"/><Relationship Id="rId38" Type="http://schemas.openxmlformats.org/officeDocument/2006/relationships/hyperlink" Target="mailto:oquendo.ana@epa.gov" TargetMode="External"/><Relationship Id="rId46" Type="http://schemas.openxmlformats.org/officeDocument/2006/relationships/hyperlink" Target="mailto:shepherd.lorinda@epa.gov" TargetMode="External"/><Relationship Id="rId59" Type="http://schemas.openxmlformats.org/officeDocument/2006/relationships/hyperlink" Target="mailto:todd.bill@epa.gov"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epa.gov/oar/oaqps/greenbk/ancl.html" TargetMode="Externa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hyperlink" Target="mailto:jonathan_dorn@abtassoc.com" TargetMode="External"/><Relationship Id="rId2" Type="http://schemas.openxmlformats.org/officeDocument/2006/relationships/hyperlink" Target="mailto:jonathan_dorn@abtassoc.com" TargetMode="External"/><Relationship Id="rId1" Type="http://schemas.openxmlformats.org/officeDocument/2006/relationships/hyperlink" Target="mailto:jonathan_dorn@abtassoc.com" TargetMode="External"/><Relationship Id="rId5" Type="http://schemas.openxmlformats.org/officeDocument/2006/relationships/printerSettings" Target="../printerSettings/printerSettings8.bin"/><Relationship Id="rId4" Type="http://schemas.openxmlformats.org/officeDocument/2006/relationships/hyperlink" Target="mailto:jonathan_dorn@abtassoc.co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7"/>
  <sheetViews>
    <sheetView showGridLines="0" tabSelected="1" zoomScaleNormal="100" workbookViewId="0">
      <selection sqref="A1:XFD1"/>
    </sheetView>
  </sheetViews>
  <sheetFormatPr defaultColWidth="9.109375" defaultRowHeight="13.2" x14ac:dyDescent="0.25"/>
  <cols>
    <col min="1" max="1" width="2.109375" style="45" customWidth="1"/>
    <col min="2" max="2" width="5.88671875" style="233" customWidth="1"/>
    <col min="3" max="3" width="120.88671875" style="14" customWidth="1"/>
    <col min="4" max="16384" width="9.109375" style="45"/>
  </cols>
  <sheetData>
    <row r="1" spans="2:6" ht="17.399999999999999" x14ac:dyDescent="0.25">
      <c r="B1" s="319" t="s">
        <v>361</v>
      </c>
      <c r="C1" s="319"/>
    </row>
    <row r="2" spans="2:6" ht="15.6" x14ac:dyDescent="0.25">
      <c r="B2" s="320" t="s">
        <v>362</v>
      </c>
      <c r="C2" s="320"/>
    </row>
    <row r="3" spans="2:6" x14ac:dyDescent="0.25">
      <c r="B3" s="225"/>
      <c r="C3" s="45"/>
    </row>
    <row r="4" spans="2:6" x14ac:dyDescent="0.25">
      <c r="B4" s="315" t="s">
        <v>363</v>
      </c>
      <c r="C4" s="315"/>
    </row>
    <row r="5" spans="2:6" ht="75" customHeight="1" x14ac:dyDescent="0.25">
      <c r="B5" s="316" t="s">
        <v>364</v>
      </c>
      <c r="C5" s="316"/>
      <c r="F5" s="226"/>
    </row>
    <row r="6" spans="2:6" ht="18" customHeight="1" x14ac:dyDescent="0.25">
      <c r="B6" s="318" t="s">
        <v>365</v>
      </c>
      <c r="C6" s="318"/>
      <c r="F6" s="226"/>
    </row>
    <row r="7" spans="2:6" ht="15" customHeight="1" x14ac:dyDescent="0.25">
      <c r="B7" s="227"/>
      <c r="C7" s="45"/>
    </row>
    <row r="8" spans="2:6" x14ac:dyDescent="0.25">
      <c r="B8" s="315" t="s">
        <v>366</v>
      </c>
      <c r="C8" s="315"/>
    </row>
    <row r="9" spans="2:6" ht="97.5" customHeight="1" x14ac:dyDescent="0.25">
      <c r="B9" s="316" t="s">
        <v>367</v>
      </c>
      <c r="C9" s="316"/>
    </row>
    <row r="10" spans="2:6" ht="15" customHeight="1" x14ac:dyDescent="0.25">
      <c r="B10" s="227"/>
      <c r="C10" s="45"/>
    </row>
    <row r="11" spans="2:6" x14ac:dyDescent="0.25">
      <c r="B11" s="315" t="s">
        <v>368</v>
      </c>
      <c r="C11" s="315"/>
    </row>
    <row r="12" spans="2:6" ht="84" customHeight="1" x14ac:dyDescent="0.25">
      <c r="B12" s="316" t="s">
        <v>369</v>
      </c>
      <c r="C12" s="316"/>
    </row>
    <row r="13" spans="2:6" ht="15" customHeight="1" x14ac:dyDescent="0.25">
      <c r="B13" s="227"/>
      <c r="C13" s="45"/>
    </row>
    <row r="14" spans="2:6" x14ac:dyDescent="0.25">
      <c r="B14" s="315" t="s">
        <v>370</v>
      </c>
      <c r="C14" s="315"/>
    </row>
    <row r="15" spans="2:6" ht="18.75" customHeight="1" x14ac:dyDescent="0.25">
      <c r="B15" s="316" t="s">
        <v>371</v>
      </c>
      <c r="C15" s="316"/>
    </row>
    <row r="16" spans="2:6" ht="15.75" customHeight="1" x14ac:dyDescent="0.25">
      <c r="B16" s="228" t="s">
        <v>372</v>
      </c>
      <c r="C16" s="229" t="s">
        <v>373</v>
      </c>
    </row>
    <row r="17" spans="2:3" ht="27.75" customHeight="1" x14ac:dyDescent="0.25">
      <c r="B17" s="228" t="s">
        <v>374</v>
      </c>
      <c r="C17" s="229" t="s">
        <v>479</v>
      </c>
    </row>
    <row r="18" spans="2:3" ht="9" customHeight="1" x14ac:dyDescent="0.25">
      <c r="B18" s="230"/>
      <c r="C18" s="45"/>
    </row>
    <row r="19" spans="2:3" x14ac:dyDescent="0.25">
      <c r="B19" s="315" t="s">
        <v>375</v>
      </c>
      <c r="C19" s="315"/>
    </row>
    <row r="20" spans="2:3" ht="18" customHeight="1" x14ac:dyDescent="0.25">
      <c r="B20" s="316" t="s">
        <v>376</v>
      </c>
      <c r="C20" s="316"/>
    </row>
    <row r="21" spans="2:3" x14ac:dyDescent="0.25">
      <c r="B21" s="228" t="s">
        <v>372</v>
      </c>
      <c r="C21" s="231" t="s">
        <v>377</v>
      </c>
    </row>
    <row r="22" spans="2:3" x14ac:dyDescent="0.25">
      <c r="B22" s="228" t="s">
        <v>374</v>
      </c>
      <c r="C22" s="231" t="s">
        <v>378</v>
      </c>
    </row>
    <row r="23" spans="2:3" x14ac:dyDescent="0.25">
      <c r="B23" s="228" t="s">
        <v>379</v>
      </c>
      <c r="C23" s="231" t="s">
        <v>380</v>
      </c>
    </row>
    <row r="24" spans="2:3" x14ac:dyDescent="0.25">
      <c r="B24" s="45"/>
      <c r="C24" s="230"/>
    </row>
    <row r="25" spans="2:3" x14ac:dyDescent="0.25">
      <c r="B25" s="315" t="s">
        <v>381</v>
      </c>
      <c r="C25" s="315"/>
    </row>
    <row r="26" spans="2:3" ht="51" customHeight="1" x14ac:dyDescent="0.25">
      <c r="B26" s="317" t="s">
        <v>382</v>
      </c>
      <c r="C26" s="317"/>
    </row>
    <row r="27" spans="2:3" ht="24" customHeight="1" x14ac:dyDescent="0.25">
      <c r="B27" s="318" t="s">
        <v>383</v>
      </c>
      <c r="C27" s="316"/>
    </row>
    <row r="28" spans="2:3" x14ac:dyDescent="0.25">
      <c r="B28" s="232"/>
      <c r="C28" s="45"/>
    </row>
    <row r="29" spans="2:3" x14ac:dyDescent="0.25">
      <c r="B29" s="315" t="s">
        <v>384</v>
      </c>
      <c r="C29" s="315"/>
    </row>
    <row r="30" spans="2:3" ht="53.25" customHeight="1" x14ac:dyDescent="0.25">
      <c r="B30" s="316" t="s">
        <v>385</v>
      </c>
      <c r="C30" s="316"/>
    </row>
    <row r="31" spans="2:3" x14ac:dyDescent="0.25">
      <c r="B31" s="227"/>
      <c r="C31" s="45"/>
    </row>
    <row r="32" spans="2:3" x14ac:dyDescent="0.25">
      <c r="B32" s="315" t="s">
        <v>386</v>
      </c>
      <c r="C32" s="315"/>
    </row>
    <row r="33" spans="2:3" x14ac:dyDescent="0.25">
      <c r="B33" s="228" t="s">
        <v>372</v>
      </c>
      <c r="C33" s="229" t="s">
        <v>387</v>
      </c>
    </row>
    <row r="34" spans="2:3" x14ac:dyDescent="0.25">
      <c r="B34" s="228" t="s">
        <v>374</v>
      </c>
      <c r="C34" s="229" t="s">
        <v>388</v>
      </c>
    </row>
    <row r="35" spans="2:3" ht="26.4" x14ac:dyDescent="0.25">
      <c r="B35" s="228" t="s">
        <v>379</v>
      </c>
      <c r="C35" s="229" t="s">
        <v>480</v>
      </c>
    </row>
    <row r="36" spans="2:3" ht="26.4" x14ac:dyDescent="0.25">
      <c r="B36" s="228" t="s">
        <v>389</v>
      </c>
      <c r="C36" s="229" t="s">
        <v>478</v>
      </c>
    </row>
    <row r="37" spans="2:3" x14ac:dyDescent="0.25">
      <c r="B37" s="228" t="s">
        <v>390</v>
      </c>
      <c r="C37" s="229" t="s">
        <v>391</v>
      </c>
    </row>
  </sheetData>
  <sheetProtection password="C969" sheet="1" objects="1" scenarios="1"/>
  <mergeCells count="19">
    <mergeCell ref="B19:C19"/>
    <mergeCell ref="B1:C1"/>
    <mergeCell ref="B2:C2"/>
    <mergeCell ref="B4:C4"/>
    <mergeCell ref="B5:C5"/>
    <mergeCell ref="B6:C6"/>
    <mergeCell ref="B8:C8"/>
    <mergeCell ref="B9:C9"/>
    <mergeCell ref="B11:C11"/>
    <mergeCell ref="B12:C12"/>
    <mergeCell ref="B14:C14"/>
    <mergeCell ref="B15:C15"/>
    <mergeCell ref="B32:C32"/>
    <mergeCell ref="B20:C20"/>
    <mergeCell ref="B25:C25"/>
    <mergeCell ref="B26:C26"/>
    <mergeCell ref="B27:C27"/>
    <mergeCell ref="B29:C29"/>
    <mergeCell ref="B30:C30"/>
  </mergeCells>
  <hyperlinks>
    <hyperlink ref="B6:C6" r:id="rId1" display="Please visit http://www.epa.gov/air/tribal/tribalnsr.html for more information about the Tribal NSR Rule."/>
    <hyperlink ref="B27" r:id="rId2"/>
  </hyperlinks>
  <pageMargins left="0.7" right="0.7" top="0.75" bottom="0.75" header="0.3" footer="0.3"/>
  <pageSetup scale="72" orientation="portrait" r:id="rId3"/>
  <headerFooter>
    <oddFooter>&amp;LPage &amp;P of &amp;N&amp;C&amp;F&amp;RPrinted &amp;D</oddFooter>
  </headerFooter>
  <ignoredErrors>
    <ignoredError sqref="B16:B17 B21:B23 B33:B36"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5"/>
  <sheetViews>
    <sheetView workbookViewId="0"/>
  </sheetViews>
  <sheetFormatPr defaultRowHeight="13.2" x14ac:dyDescent="0.25"/>
  <cols>
    <col min="1" max="1" width="34.88671875" bestFit="1" customWidth="1"/>
    <col min="2" max="3" width="20.6640625" style="6" customWidth="1"/>
    <col min="4" max="4" width="85.88671875" customWidth="1"/>
  </cols>
  <sheetData>
    <row r="1" spans="1:4" ht="17.399999999999999" x14ac:dyDescent="0.3">
      <c r="A1" s="1" t="s">
        <v>51</v>
      </c>
      <c r="B1" s="53"/>
      <c r="C1" s="53"/>
    </row>
    <row r="2" spans="1:4" ht="12" customHeight="1" thickBot="1" x14ac:dyDescent="0.3">
      <c r="A2" s="2"/>
      <c r="B2" s="51"/>
      <c r="C2" s="51"/>
    </row>
    <row r="3" spans="1:4" ht="12" customHeight="1" x14ac:dyDescent="0.25">
      <c r="A3" s="54" t="s">
        <v>52</v>
      </c>
      <c r="B3" s="55" t="s">
        <v>57</v>
      </c>
      <c r="C3" s="55" t="s">
        <v>81</v>
      </c>
      <c r="D3" s="56" t="s">
        <v>38</v>
      </c>
    </row>
    <row r="4" spans="1:4" ht="12" customHeight="1" x14ac:dyDescent="0.25">
      <c r="A4" s="75" t="s">
        <v>433</v>
      </c>
      <c r="B4" s="124">
        <v>0.65</v>
      </c>
      <c r="C4" s="124" t="s">
        <v>111</v>
      </c>
      <c r="D4" s="75" t="s">
        <v>112</v>
      </c>
    </row>
    <row r="5" spans="1:4" ht="12" customHeight="1" x14ac:dyDescent="0.25">
      <c r="A5" s="75" t="s">
        <v>423</v>
      </c>
      <c r="B5" s="124">
        <v>1.2</v>
      </c>
      <c r="C5" s="124" t="s">
        <v>111</v>
      </c>
      <c r="D5" s="75" t="s">
        <v>112</v>
      </c>
    </row>
    <row r="6" spans="1:4" ht="12" customHeight="1" x14ac:dyDescent="0.25">
      <c r="A6" s="75" t="s">
        <v>434</v>
      </c>
      <c r="B6" s="124">
        <v>0.5</v>
      </c>
      <c r="C6" s="124" t="s">
        <v>111</v>
      </c>
      <c r="D6" s="75" t="s">
        <v>112</v>
      </c>
    </row>
    <row r="7" spans="1:4" ht="12" customHeight="1" x14ac:dyDescent="0.25">
      <c r="A7" s="75" t="s">
        <v>424</v>
      </c>
      <c r="B7" s="124">
        <v>2</v>
      </c>
      <c r="C7" s="124" t="s">
        <v>111</v>
      </c>
      <c r="D7" s="278" t="s">
        <v>452</v>
      </c>
    </row>
    <row r="8" spans="1:4" ht="12" customHeight="1" x14ac:dyDescent="0.25">
      <c r="A8" s="75" t="s">
        <v>435</v>
      </c>
      <c r="B8" s="124">
        <v>0.2</v>
      </c>
      <c r="C8" s="124" t="s">
        <v>357</v>
      </c>
      <c r="D8" s="156" t="s">
        <v>356</v>
      </c>
    </row>
    <row r="9" spans="1:4" ht="12" customHeight="1" x14ac:dyDescent="0.25">
      <c r="A9" s="75" t="s">
        <v>425</v>
      </c>
      <c r="B9" s="124">
        <v>48</v>
      </c>
      <c r="C9" s="124" t="s">
        <v>357</v>
      </c>
      <c r="D9" s="275" t="s">
        <v>450</v>
      </c>
    </row>
    <row r="10" spans="1:4" ht="12" customHeight="1" x14ac:dyDescent="0.25">
      <c r="A10" s="75" t="s">
        <v>436</v>
      </c>
      <c r="B10" s="124">
        <v>0.24</v>
      </c>
      <c r="C10" s="124" t="s">
        <v>111</v>
      </c>
      <c r="D10" s="75" t="s">
        <v>112</v>
      </c>
    </row>
    <row r="11" spans="1:4" ht="12" customHeight="1" x14ac:dyDescent="0.25">
      <c r="A11" s="75" t="s">
        <v>426</v>
      </c>
      <c r="B11" s="124">
        <v>0.5</v>
      </c>
      <c r="C11" s="124" t="s">
        <v>111</v>
      </c>
      <c r="D11" s="75" t="s">
        <v>422</v>
      </c>
    </row>
    <row r="12" spans="1:4" ht="12" customHeight="1" x14ac:dyDescent="0.25">
      <c r="A12" s="75" t="s">
        <v>437</v>
      </c>
      <c r="B12" s="124">
        <v>1</v>
      </c>
      <c r="C12" s="124" t="s">
        <v>111</v>
      </c>
      <c r="D12" s="75" t="s">
        <v>112</v>
      </c>
    </row>
    <row r="13" spans="1:4" ht="12" customHeight="1" x14ac:dyDescent="0.25">
      <c r="A13" s="75" t="s">
        <v>427</v>
      </c>
      <c r="B13" s="124">
        <v>1.75</v>
      </c>
      <c r="C13" s="124" t="s">
        <v>111</v>
      </c>
      <c r="D13" s="282" t="s">
        <v>451</v>
      </c>
    </row>
    <row r="14" spans="1:4" x14ac:dyDescent="0.25">
      <c r="A14" s="57" t="s">
        <v>12</v>
      </c>
      <c r="B14" s="9" t="s">
        <v>58</v>
      </c>
      <c r="C14" s="9"/>
      <c r="D14" s="57" t="s">
        <v>124</v>
      </c>
    </row>
    <row r="15" spans="1:4" x14ac:dyDescent="0.25">
      <c r="A15" s="90"/>
      <c r="B15" s="91"/>
      <c r="C15" s="91"/>
      <c r="D15" s="90"/>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55"/>
  <sheetViews>
    <sheetView workbookViewId="0"/>
  </sheetViews>
  <sheetFormatPr defaultColWidth="9.109375" defaultRowHeight="14.4" x14ac:dyDescent="0.3"/>
  <cols>
    <col min="1" max="1" width="47.33203125" style="161" bestFit="1" customWidth="1"/>
    <col min="2" max="2" width="17.88671875" style="160" bestFit="1" customWidth="1"/>
    <col min="3" max="3" width="11" style="160" bestFit="1" customWidth="1"/>
    <col min="4" max="4" width="19.44140625" style="161" bestFit="1" customWidth="1"/>
    <col min="5" max="5" width="14.33203125" style="161" bestFit="1" customWidth="1"/>
    <col min="6" max="6" width="26" style="161" bestFit="1" customWidth="1"/>
    <col min="7" max="7" width="18.6640625" style="161" bestFit="1" customWidth="1"/>
    <col min="8" max="8" width="14.33203125" style="161" bestFit="1" customWidth="1"/>
    <col min="9" max="10" width="26" style="161" bestFit="1" customWidth="1"/>
    <col min="11" max="11" width="18.6640625" style="161" bestFit="1" customWidth="1"/>
    <col min="12" max="12" width="13.44140625" style="161" bestFit="1" customWidth="1"/>
    <col min="13" max="13" width="5.5546875" style="160" bestFit="1" customWidth="1"/>
    <col min="14" max="14" width="12.109375" style="160" bestFit="1" customWidth="1"/>
    <col min="15" max="16384" width="9.109375" style="161"/>
  </cols>
  <sheetData>
    <row r="1" spans="1:14" ht="17.399999999999999" x14ac:dyDescent="0.3">
      <c r="A1" s="159" t="s">
        <v>156</v>
      </c>
    </row>
    <row r="3" spans="1:14" x14ac:dyDescent="0.3">
      <c r="D3" s="453" t="s">
        <v>157</v>
      </c>
      <c r="E3" s="453"/>
      <c r="F3" s="453"/>
      <c r="G3" s="453"/>
      <c r="H3" s="453"/>
      <c r="I3" s="453"/>
      <c r="J3" s="453"/>
      <c r="K3" s="453"/>
      <c r="L3" s="453"/>
      <c r="M3" s="453"/>
      <c r="N3" s="453"/>
    </row>
    <row r="4" spans="1:14" x14ac:dyDescent="0.3">
      <c r="A4" s="162" t="s">
        <v>152</v>
      </c>
      <c r="B4" s="189" t="s">
        <v>158</v>
      </c>
      <c r="C4" s="189" t="s">
        <v>159</v>
      </c>
      <c r="D4" s="162" t="s">
        <v>6</v>
      </c>
      <c r="E4" s="162" t="s">
        <v>8</v>
      </c>
      <c r="F4" s="162" t="s">
        <v>9</v>
      </c>
      <c r="G4" s="162" t="s">
        <v>160</v>
      </c>
      <c r="H4" s="162" t="s">
        <v>161</v>
      </c>
      <c r="I4" s="162" t="s">
        <v>162</v>
      </c>
      <c r="J4" s="162" t="s">
        <v>163</v>
      </c>
      <c r="K4" s="162" t="s">
        <v>164</v>
      </c>
      <c r="L4" s="162" t="s">
        <v>154</v>
      </c>
      <c r="M4" s="189" t="s">
        <v>152</v>
      </c>
      <c r="N4" s="189" t="s">
        <v>165</v>
      </c>
    </row>
    <row r="5" spans="1:14" x14ac:dyDescent="0.3">
      <c r="A5" s="161" t="s">
        <v>166</v>
      </c>
      <c r="B5" s="160" t="s">
        <v>167</v>
      </c>
      <c r="C5" s="160">
        <v>4</v>
      </c>
      <c r="D5" s="190" t="s">
        <v>168</v>
      </c>
      <c r="E5" s="191" t="s">
        <v>169</v>
      </c>
      <c r="F5" s="163" t="s">
        <v>170</v>
      </c>
      <c r="G5" s="191" t="s">
        <v>171</v>
      </c>
      <c r="H5" s="191" t="s">
        <v>172</v>
      </c>
      <c r="I5" s="164" t="s">
        <v>173</v>
      </c>
      <c r="J5" s="191" t="s">
        <v>174</v>
      </c>
      <c r="K5" s="190" t="s">
        <v>175</v>
      </c>
      <c r="L5" s="191" t="s">
        <v>176</v>
      </c>
      <c r="M5" s="192" t="s">
        <v>177</v>
      </c>
      <c r="N5" s="192" t="s">
        <v>178</v>
      </c>
    </row>
    <row r="6" spans="1:14" x14ac:dyDescent="0.3">
      <c r="A6" s="161" t="s">
        <v>179</v>
      </c>
      <c r="B6" s="160" t="s">
        <v>180</v>
      </c>
      <c r="C6" s="160">
        <v>10</v>
      </c>
      <c r="D6" s="190" t="s">
        <v>181</v>
      </c>
      <c r="E6" s="190" t="s">
        <v>182</v>
      </c>
      <c r="F6" s="164" t="s">
        <v>183</v>
      </c>
      <c r="G6" s="190" t="s">
        <v>184</v>
      </c>
      <c r="H6" s="191"/>
      <c r="I6" s="191"/>
      <c r="J6" s="191" t="s">
        <v>185</v>
      </c>
      <c r="K6" s="191" t="s">
        <v>186</v>
      </c>
      <c r="L6" s="191" t="s">
        <v>187</v>
      </c>
      <c r="M6" s="192" t="s">
        <v>188</v>
      </c>
      <c r="N6" s="192">
        <v>98101</v>
      </c>
    </row>
    <row r="7" spans="1:14" x14ac:dyDescent="0.3">
      <c r="A7" s="161" t="s">
        <v>189</v>
      </c>
      <c r="B7" s="160" t="s">
        <v>190</v>
      </c>
      <c r="C7" s="160">
        <v>9</v>
      </c>
      <c r="D7" s="190" t="s">
        <v>191</v>
      </c>
      <c r="E7" s="191" t="s">
        <v>192</v>
      </c>
      <c r="F7" s="163" t="s">
        <v>193</v>
      </c>
      <c r="G7" s="190" t="s">
        <v>194</v>
      </c>
      <c r="H7" s="191" t="s">
        <v>195</v>
      </c>
      <c r="I7" s="163" t="s">
        <v>196</v>
      </c>
      <c r="J7" s="191" t="s">
        <v>197</v>
      </c>
      <c r="K7" s="191" t="s">
        <v>198</v>
      </c>
      <c r="L7" s="191" t="s">
        <v>199</v>
      </c>
      <c r="M7" s="192" t="s">
        <v>200</v>
      </c>
      <c r="N7" s="192">
        <v>94105</v>
      </c>
    </row>
    <row r="8" spans="1:14" x14ac:dyDescent="0.3">
      <c r="A8" s="161" t="s">
        <v>201</v>
      </c>
      <c r="B8" s="160" t="s">
        <v>202</v>
      </c>
      <c r="C8" s="160">
        <v>6</v>
      </c>
      <c r="D8" s="190" t="s">
        <v>348</v>
      </c>
      <c r="E8" s="191" t="s">
        <v>349</v>
      </c>
      <c r="F8" s="193" t="s">
        <v>350</v>
      </c>
      <c r="G8" s="191" t="s">
        <v>184</v>
      </c>
      <c r="H8" s="191"/>
      <c r="I8" s="191"/>
      <c r="J8" s="190" t="s">
        <v>351</v>
      </c>
      <c r="K8" s="190" t="s">
        <v>352</v>
      </c>
      <c r="L8" s="191" t="s">
        <v>353</v>
      </c>
      <c r="M8" s="192" t="s">
        <v>306</v>
      </c>
      <c r="N8" s="192" t="s">
        <v>354</v>
      </c>
    </row>
    <row r="9" spans="1:14" x14ac:dyDescent="0.3">
      <c r="A9" s="161" t="s">
        <v>211</v>
      </c>
      <c r="B9" s="160" t="s">
        <v>200</v>
      </c>
      <c r="C9" s="160">
        <v>9</v>
      </c>
      <c r="D9" s="190" t="s">
        <v>191</v>
      </c>
      <c r="E9" s="191" t="s">
        <v>192</v>
      </c>
      <c r="F9" s="163" t="s">
        <v>193</v>
      </c>
      <c r="G9" s="190" t="s">
        <v>194</v>
      </c>
      <c r="H9" s="191" t="s">
        <v>195</v>
      </c>
      <c r="I9" s="163" t="s">
        <v>196</v>
      </c>
      <c r="J9" s="191" t="s">
        <v>197</v>
      </c>
      <c r="K9" s="191" t="s">
        <v>198</v>
      </c>
      <c r="L9" s="191" t="s">
        <v>199</v>
      </c>
      <c r="M9" s="192" t="s">
        <v>200</v>
      </c>
      <c r="N9" s="192">
        <v>94105</v>
      </c>
    </row>
    <row r="10" spans="1:14" x14ac:dyDescent="0.3">
      <c r="A10" s="161" t="s">
        <v>212</v>
      </c>
      <c r="B10" s="160" t="s">
        <v>62</v>
      </c>
      <c r="C10" s="160">
        <v>8</v>
      </c>
      <c r="D10" s="190" t="s">
        <v>213</v>
      </c>
      <c r="E10" s="191" t="s">
        <v>214</v>
      </c>
      <c r="F10" s="163" t="s">
        <v>215</v>
      </c>
      <c r="G10" s="190" t="s">
        <v>216</v>
      </c>
      <c r="H10" s="191" t="s">
        <v>217</v>
      </c>
      <c r="I10" s="164" t="s">
        <v>218</v>
      </c>
      <c r="J10" s="190" t="s">
        <v>219</v>
      </c>
      <c r="K10" s="190" t="s">
        <v>220</v>
      </c>
      <c r="L10" s="191" t="s">
        <v>221</v>
      </c>
      <c r="M10" s="192" t="s">
        <v>62</v>
      </c>
      <c r="N10" s="192" t="s">
        <v>222</v>
      </c>
    </row>
    <row r="11" spans="1:14" x14ac:dyDescent="0.3">
      <c r="A11" s="161" t="s">
        <v>223</v>
      </c>
      <c r="B11" s="160" t="s">
        <v>224</v>
      </c>
      <c r="C11" s="160">
        <v>1</v>
      </c>
      <c r="D11" s="191" t="s">
        <v>225</v>
      </c>
      <c r="E11" s="191" t="s">
        <v>226</v>
      </c>
      <c r="F11" s="164" t="s">
        <v>227</v>
      </c>
      <c r="G11" s="191" t="s">
        <v>184</v>
      </c>
      <c r="H11" s="191"/>
      <c r="I11" s="191"/>
      <c r="J11" s="190" t="s">
        <v>228</v>
      </c>
      <c r="K11" s="190" t="s">
        <v>229</v>
      </c>
      <c r="L11" s="191" t="s">
        <v>230</v>
      </c>
      <c r="M11" s="192" t="s">
        <v>231</v>
      </c>
      <c r="N11" s="192" t="s">
        <v>232</v>
      </c>
    </row>
    <row r="12" spans="1:14" x14ac:dyDescent="0.3">
      <c r="A12" s="161" t="s">
        <v>233</v>
      </c>
      <c r="B12" s="160" t="s">
        <v>234</v>
      </c>
      <c r="C12" s="160">
        <v>4</v>
      </c>
      <c r="D12" s="190" t="s">
        <v>168</v>
      </c>
      <c r="E12" s="191" t="s">
        <v>169</v>
      </c>
      <c r="F12" s="163" t="s">
        <v>170</v>
      </c>
      <c r="G12" s="191" t="s">
        <v>171</v>
      </c>
      <c r="H12" s="191" t="s">
        <v>172</v>
      </c>
      <c r="I12" s="164" t="s">
        <v>173</v>
      </c>
      <c r="J12" s="191" t="s">
        <v>174</v>
      </c>
      <c r="K12" s="190" t="s">
        <v>175</v>
      </c>
      <c r="L12" s="191" t="s">
        <v>176</v>
      </c>
      <c r="M12" s="192" t="s">
        <v>177</v>
      </c>
      <c r="N12" s="192" t="s">
        <v>178</v>
      </c>
    </row>
    <row r="13" spans="1:14" x14ac:dyDescent="0.3">
      <c r="A13" s="240" t="s">
        <v>394</v>
      </c>
      <c r="B13" s="160" t="s">
        <v>177</v>
      </c>
      <c r="C13" s="160">
        <v>4</v>
      </c>
      <c r="D13" s="190" t="s">
        <v>168</v>
      </c>
      <c r="E13" s="191" t="s">
        <v>169</v>
      </c>
      <c r="F13" s="163" t="s">
        <v>170</v>
      </c>
      <c r="G13" s="191" t="s">
        <v>171</v>
      </c>
      <c r="H13" s="191" t="s">
        <v>172</v>
      </c>
      <c r="I13" s="164" t="s">
        <v>173</v>
      </c>
      <c r="J13" s="191" t="s">
        <v>174</v>
      </c>
      <c r="K13" s="190" t="s">
        <v>175</v>
      </c>
      <c r="L13" s="191" t="s">
        <v>176</v>
      </c>
      <c r="M13" s="192" t="s">
        <v>177</v>
      </c>
      <c r="N13" s="192" t="s">
        <v>178</v>
      </c>
    </row>
    <row r="14" spans="1:14" x14ac:dyDescent="0.3">
      <c r="A14" s="161" t="s">
        <v>235</v>
      </c>
      <c r="B14" s="160" t="s">
        <v>236</v>
      </c>
      <c r="C14" s="160">
        <v>9</v>
      </c>
      <c r="D14" s="190" t="s">
        <v>191</v>
      </c>
      <c r="E14" s="191" t="s">
        <v>192</v>
      </c>
      <c r="F14" s="163" t="s">
        <v>193</v>
      </c>
      <c r="G14" s="190" t="s">
        <v>194</v>
      </c>
      <c r="H14" s="191" t="s">
        <v>195</v>
      </c>
      <c r="I14" s="163" t="s">
        <v>196</v>
      </c>
      <c r="J14" s="191" t="s">
        <v>197</v>
      </c>
      <c r="K14" s="191" t="s">
        <v>198</v>
      </c>
      <c r="L14" s="191" t="s">
        <v>199</v>
      </c>
      <c r="M14" s="192" t="s">
        <v>200</v>
      </c>
      <c r="N14" s="192">
        <v>94105</v>
      </c>
    </row>
    <row r="15" spans="1:14" x14ac:dyDescent="0.3">
      <c r="A15" s="161" t="s">
        <v>237</v>
      </c>
      <c r="B15" s="160" t="s">
        <v>238</v>
      </c>
      <c r="C15" s="160">
        <v>10</v>
      </c>
      <c r="D15" s="190" t="s">
        <v>181</v>
      </c>
      <c r="E15" s="190" t="s">
        <v>182</v>
      </c>
      <c r="F15" s="164" t="s">
        <v>183</v>
      </c>
      <c r="G15" s="190" t="s">
        <v>184</v>
      </c>
      <c r="H15" s="191"/>
      <c r="I15" s="191"/>
      <c r="J15" s="191" t="s">
        <v>185</v>
      </c>
      <c r="K15" s="191" t="s">
        <v>186</v>
      </c>
      <c r="L15" s="191" t="s">
        <v>187</v>
      </c>
      <c r="M15" s="192" t="s">
        <v>188</v>
      </c>
      <c r="N15" s="192">
        <v>98101</v>
      </c>
    </row>
    <row r="16" spans="1:14" x14ac:dyDescent="0.3">
      <c r="A16" s="161" t="s">
        <v>239</v>
      </c>
      <c r="B16" s="160" t="s">
        <v>209</v>
      </c>
      <c r="C16" s="160">
        <v>5</v>
      </c>
      <c r="D16" s="190" t="s">
        <v>203</v>
      </c>
      <c r="E16" s="191" t="s">
        <v>204</v>
      </c>
      <c r="F16" s="163" t="s">
        <v>205</v>
      </c>
      <c r="G16" s="191" t="s">
        <v>184</v>
      </c>
      <c r="H16" s="191"/>
      <c r="I16" s="191"/>
      <c r="J16" s="190" t="s">
        <v>206</v>
      </c>
      <c r="K16" s="190" t="s">
        <v>207</v>
      </c>
      <c r="L16" s="191" t="s">
        <v>208</v>
      </c>
      <c r="M16" s="192" t="s">
        <v>209</v>
      </c>
      <c r="N16" s="192" t="s">
        <v>210</v>
      </c>
    </row>
    <row r="17" spans="1:14" x14ac:dyDescent="0.3">
      <c r="A17" s="161" t="s">
        <v>240</v>
      </c>
      <c r="B17" s="160" t="s">
        <v>241</v>
      </c>
      <c r="C17" s="160">
        <v>5</v>
      </c>
      <c r="D17" s="190" t="s">
        <v>203</v>
      </c>
      <c r="E17" s="191" t="s">
        <v>204</v>
      </c>
      <c r="F17" s="163" t="s">
        <v>205</v>
      </c>
      <c r="G17" s="191" t="s">
        <v>184</v>
      </c>
      <c r="H17" s="191"/>
      <c r="I17" s="191"/>
      <c r="J17" s="190" t="s">
        <v>206</v>
      </c>
      <c r="K17" s="190" t="s">
        <v>207</v>
      </c>
      <c r="L17" s="191" t="s">
        <v>208</v>
      </c>
      <c r="M17" s="192" t="s">
        <v>209</v>
      </c>
      <c r="N17" s="192" t="s">
        <v>210</v>
      </c>
    </row>
    <row r="18" spans="1:14" x14ac:dyDescent="0.3">
      <c r="A18" s="161" t="s">
        <v>242</v>
      </c>
      <c r="B18" s="160" t="s">
        <v>243</v>
      </c>
      <c r="C18" s="160">
        <v>7</v>
      </c>
      <c r="D18" s="190" t="s">
        <v>244</v>
      </c>
      <c r="E18" s="191" t="s">
        <v>245</v>
      </c>
      <c r="F18" s="163" t="s">
        <v>246</v>
      </c>
      <c r="G18" s="191" t="s">
        <v>184</v>
      </c>
      <c r="H18" s="191"/>
      <c r="I18" s="191"/>
      <c r="J18" s="190" t="s">
        <v>430</v>
      </c>
      <c r="K18" s="190" t="s">
        <v>431</v>
      </c>
      <c r="L18" s="191" t="s">
        <v>432</v>
      </c>
      <c r="M18" s="192" t="s">
        <v>247</v>
      </c>
      <c r="N18" s="192">
        <v>66219</v>
      </c>
    </row>
    <row r="19" spans="1:14" x14ac:dyDescent="0.3">
      <c r="A19" s="161" t="s">
        <v>248</v>
      </c>
      <c r="B19" s="160" t="s">
        <v>249</v>
      </c>
      <c r="C19" s="160">
        <v>7</v>
      </c>
      <c r="D19" s="190" t="s">
        <v>244</v>
      </c>
      <c r="E19" s="191" t="s">
        <v>245</v>
      </c>
      <c r="F19" s="163" t="s">
        <v>246</v>
      </c>
      <c r="G19" s="191" t="s">
        <v>184</v>
      </c>
      <c r="H19" s="191"/>
      <c r="I19" s="191"/>
      <c r="J19" s="190" t="s">
        <v>430</v>
      </c>
      <c r="K19" s="190" t="s">
        <v>431</v>
      </c>
      <c r="L19" s="191" t="s">
        <v>432</v>
      </c>
      <c r="M19" s="192" t="s">
        <v>247</v>
      </c>
      <c r="N19" s="192">
        <v>66219</v>
      </c>
    </row>
    <row r="20" spans="1:14" x14ac:dyDescent="0.3">
      <c r="A20" s="161" t="s">
        <v>250</v>
      </c>
      <c r="B20" s="160" t="s">
        <v>251</v>
      </c>
      <c r="C20" s="160">
        <v>4</v>
      </c>
      <c r="D20" s="190" t="s">
        <v>168</v>
      </c>
      <c r="E20" s="191" t="s">
        <v>169</v>
      </c>
      <c r="F20" s="163" t="s">
        <v>170</v>
      </c>
      <c r="G20" s="191" t="s">
        <v>171</v>
      </c>
      <c r="H20" s="191" t="s">
        <v>172</v>
      </c>
      <c r="I20" s="164" t="s">
        <v>173</v>
      </c>
      <c r="J20" s="191" t="s">
        <v>174</v>
      </c>
      <c r="K20" s="190" t="s">
        <v>175</v>
      </c>
      <c r="L20" s="191" t="s">
        <v>176</v>
      </c>
      <c r="M20" s="192" t="s">
        <v>177</v>
      </c>
      <c r="N20" s="192" t="s">
        <v>178</v>
      </c>
    </row>
    <row r="21" spans="1:14" x14ac:dyDescent="0.3">
      <c r="A21" s="240" t="s">
        <v>395</v>
      </c>
      <c r="B21" s="160" t="s">
        <v>252</v>
      </c>
      <c r="C21" s="160">
        <v>6</v>
      </c>
      <c r="D21" s="190" t="s">
        <v>348</v>
      </c>
      <c r="E21" s="311" t="s">
        <v>349</v>
      </c>
      <c r="F21" s="193" t="s">
        <v>350</v>
      </c>
      <c r="G21" s="191" t="s">
        <v>184</v>
      </c>
      <c r="H21" s="191"/>
      <c r="I21" s="191"/>
      <c r="J21" s="190" t="s">
        <v>351</v>
      </c>
      <c r="K21" s="190" t="s">
        <v>352</v>
      </c>
      <c r="L21" s="191" t="s">
        <v>353</v>
      </c>
      <c r="M21" s="192" t="s">
        <v>306</v>
      </c>
      <c r="N21" s="192" t="s">
        <v>354</v>
      </c>
    </row>
    <row r="22" spans="1:14" x14ac:dyDescent="0.3">
      <c r="A22" s="161" t="s">
        <v>253</v>
      </c>
      <c r="B22" s="160" t="s">
        <v>254</v>
      </c>
      <c r="C22" s="160">
        <v>1</v>
      </c>
      <c r="D22" s="191" t="s">
        <v>225</v>
      </c>
      <c r="E22" s="191" t="s">
        <v>226</v>
      </c>
      <c r="F22" s="164" t="s">
        <v>227</v>
      </c>
      <c r="G22" s="191" t="s">
        <v>184</v>
      </c>
      <c r="H22" s="191"/>
      <c r="I22" s="191"/>
      <c r="J22" s="190" t="s">
        <v>228</v>
      </c>
      <c r="K22" s="190" t="s">
        <v>229</v>
      </c>
      <c r="L22" s="191" t="s">
        <v>230</v>
      </c>
      <c r="M22" s="192" t="s">
        <v>231</v>
      </c>
      <c r="N22" s="192" t="s">
        <v>232</v>
      </c>
    </row>
    <row r="23" spans="1:14" x14ac:dyDescent="0.3">
      <c r="A23" s="161" t="s">
        <v>255</v>
      </c>
      <c r="B23" s="160" t="s">
        <v>231</v>
      </c>
      <c r="C23" s="160">
        <v>1</v>
      </c>
      <c r="D23" s="191" t="s">
        <v>225</v>
      </c>
      <c r="E23" s="191" t="s">
        <v>226</v>
      </c>
      <c r="F23" s="164" t="s">
        <v>227</v>
      </c>
      <c r="G23" s="191" t="s">
        <v>184</v>
      </c>
      <c r="H23" s="191"/>
      <c r="I23" s="191"/>
      <c r="J23" s="190" t="s">
        <v>228</v>
      </c>
      <c r="K23" s="190" t="s">
        <v>229</v>
      </c>
      <c r="L23" s="191" t="s">
        <v>230</v>
      </c>
      <c r="M23" s="192" t="s">
        <v>231</v>
      </c>
      <c r="N23" s="192" t="s">
        <v>232</v>
      </c>
    </row>
    <row r="24" spans="1:14" x14ac:dyDescent="0.3">
      <c r="A24" s="161" t="s">
        <v>256</v>
      </c>
      <c r="B24" s="160" t="s">
        <v>257</v>
      </c>
      <c r="C24" s="160">
        <v>5</v>
      </c>
      <c r="D24" s="190" t="s">
        <v>203</v>
      </c>
      <c r="E24" s="191" t="s">
        <v>204</v>
      </c>
      <c r="F24" s="163" t="s">
        <v>205</v>
      </c>
      <c r="G24" s="191" t="s">
        <v>184</v>
      </c>
      <c r="H24" s="191"/>
      <c r="I24" s="191"/>
      <c r="J24" s="190" t="s">
        <v>206</v>
      </c>
      <c r="K24" s="190" t="s">
        <v>207</v>
      </c>
      <c r="L24" s="191" t="s">
        <v>208</v>
      </c>
      <c r="M24" s="192" t="s">
        <v>209</v>
      </c>
      <c r="N24" s="192" t="s">
        <v>210</v>
      </c>
    </row>
    <row r="25" spans="1:14" x14ac:dyDescent="0.3">
      <c r="A25" s="161" t="s">
        <v>258</v>
      </c>
      <c r="B25" s="160" t="s">
        <v>259</v>
      </c>
      <c r="C25" s="160">
        <v>5</v>
      </c>
      <c r="D25" s="190" t="s">
        <v>203</v>
      </c>
      <c r="E25" s="191" t="s">
        <v>204</v>
      </c>
      <c r="F25" s="163" t="s">
        <v>205</v>
      </c>
      <c r="G25" s="191" t="s">
        <v>184</v>
      </c>
      <c r="H25" s="191"/>
      <c r="I25" s="191"/>
      <c r="J25" s="190" t="s">
        <v>206</v>
      </c>
      <c r="K25" s="190" t="s">
        <v>207</v>
      </c>
      <c r="L25" s="191" t="s">
        <v>208</v>
      </c>
      <c r="M25" s="192" t="s">
        <v>209</v>
      </c>
      <c r="N25" s="192" t="s">
        <v>210</v>
      </c>
    </row>
    <row r="26" spans="1:14" x14ac:dyDescent="0.3">
      <c r="A26" s="161" t="s">
        <v>260</v>
      </c>
      <c r="B26" s="160" t="s">
        <v>261</v>
      </c>
      <c r="C26" s="160">
        <v>4</v>
      </c>
      <c r="D26" s="190" t="s">
        <v>168</v>
      </c>
      <c r="E26" s="191" t="s">
        <v>169</v>
      </c>
      <c r="F26" s="163" t="s">
        <v>170</v>
      </c>
      <c r="G26" s="191" t="s">
        <v>171</v>
      </c>
      <c r="H26" s="191" t="s">
        <v>172</v>
      </c>
      <c r="I26" s="164" t="s">
        <v>173</v>
      </c>
      <c r="J26" s="191" t="s">
        <v>174</v>
      </c>
      <c r="K26" s="190" t="s">
        <v>175</v>
      </c>
      <c r="L26" s="191" t="s">
        <v>176</v>
      </c>
      <c r="M26" s="192" t="s">
        <v>177</v>
      </c>
      <c r="N26" s="192" t="s">
        <v>178</v>
      </c>
    </row>
    <row r="27" spans="1:14" x14ac:dyDescent="0.3">
      <c r="A27" s="161" t="s">
        <v>262</v>
      </c>
      <c r="B27" s="160" t="s">
        <v>263</v>
      </c>
      <c r="C27" s="160">
        <v>7</v>
      </c>
      <c r="D27" s="190" t="s">
        <v>244</v>
      </c>
      <c r="E27" s="191" t="s">
        <v>245</v>
      </c>
      <c r="F27" s="163" t="s">
        <v>246</v>
      </c>
      <c r="G27" s="191" t="s">
        <v>184</v>
      </c>
      <c r="H27" s="191"/>
      <c r="I27" s="191"/>
      <c r="J27" s="190" t="s">
        <v>430</v>
      </c>
      <c r="K27" s="190" t="s">
        <v>431</v>
      </c>
      <c r="L27" s="191" t="s">
        <v>432</v>
      </c>
      <c r="M27" s="192" t="s">
        <v>247</v>
      </c>
      <c r="N27" s="192">
        <v>66219</v>
      </c>
    </row>
    <row r="28" spans="1:14" x14ac:dyDescent="0.3">
      <c r="A28" s="161" t="s">
        <v>264</v>
      </c>
      <c r="B28" s="160" t="s">
        <v>265</v>
      </c>
      <c r="C28" s="160">
        <v>8</v>
      </c>
      <c r="D28" s="190" t="s">
        <v>213</v>
      </c>
      <c r="E28" s="191" t="s">
        <v>214</v>
      </c>
      <c r="F28" s="163" t="s">
        <v>215</v>
      </c>
      <c r="G28" s="190" t="s">
        <v>216</v>
      </c>
      <c r="H28" s="191" t="s">
        <v>217</v>
      </c>
      <c r="I28" s="164" t="s">
        <v>218</v>
      </c>
      <c r="J28" s="190" t="s">
        <v>219</v>
      </c>
      <c r="K28" s="190" t="s">
        <v>220</v>
      </c>
      <c r="L28" s="191" t="s">
        <v>221</v>
      </c>
      <c r="M28" s="192" t="s">
        <v>62</v>
      </c>
      <c r="N28" s="192" t="s">
        <v>222</v>
      </c>
    </row>
    <row r="29" spans="1:14" x14ac:dyDescent="0.3">
      <c r="A29" s="161" t="s">
        <v>266</v>
      </c>
      <c r="B29" s="160" t="s">
        <v>267</v>
      </c>
      <c r="C29" s="160">
        <v>7</v>
      </c>
      <c r="D29" s="190" t="s">
        <v>244</v>
      </c>
      <c r="E29" s="191" t="s">
        <v>245</v>
      </c>
      <c r="F29" s="163" t="s">
        <v>246</v>
      </c>
      <c r="G29" s="191" t="s">
        <v>184</v>
      </c>
      <c r="H29" s="191"/>
      <c r="I29" s="191"/>
      <c r="J29" s="190" t="s">
        <v>430</v>
      </c>
      <c r="K29" s="190" t="s">
        <v>431</v>
      </c>
      <c r="L29" s="191" t="s">
        <v>432</v>
      </c>
      <c r="M29" s="192" t="s">
        <v>247</v>
      </c>
      <c r="N29" s="192">
        <v>66219</v>
      </c>
    </row>
    <row r="30" spans="1:14" x14ac:dyDescent="0.3">
      <c r="A30" s="161" t="s">
        <v>268</v>
      </c>
      <c r="B30" s="160" t="s">
        <v>269</v>
      </c>
      <c r="C30" s="160">
        <v>9</v>
      </c>
      <c r="D30" s="190" t="s">
        <v>191</v>
      </c>
      <c r="E30" s="191" t="s">
        <v>192</v>
      </c>
      <c r="F30" s="163" t="s">
        <v>193</v>
      </c>
      <c r="G30" s="190" t="s">
        <v>194</v>
      </c>
      <c r="H30" s="191" t="s">
        <v>195</v>
      </c>
      <c r="I30" s="163" t="s">
        <v>196</v>
      </c>
      <c r="J30" s="191" t="s">
        <v>197</v>
      </c>
      <c r="K30" s="191" t="s">
        <v>198</v>
      </c>
      <c r="L30" s="191" t="s">
        <v>199</v>
      </c>
      <c r="M30" s="192" t="s">
        <v>200</v>
      </c>
      <c r="N30" s="192">
        <v>94105</v>
      </c>
    </row>
    <row r="31" spans="1:14" x14ac:dyDescent="0.3">
      <c r="A31" s="161" t="s">
        <v>270</v>
      </c>
      <c r="B31" s="160" t="s">
        <v>271</v>
      </c>
      <c r="C31" s="160">
        <v>1</v>
      </c>
      <c r="D31" s="191" t="s">
        <v>225</v>
      </c>
      <c r="E31" s="191" t="s">
        <v>226</v>
      </c>
      <c r="F31" s="164" t="s">
        <v>227</v>
      </c>
      <c r="G31" s="191" t="s">
        <v>184</v>
      </c>
      <c r="H31" s="191"/>
      <c r="I31" s="191"/>
      <c r="J31" s="190" t="s">
        <v>228</v>
      </c>
      <c r="K31" s="190" t="s">
        <v>229</v>
      </c>
      <c r="L31" s="191" t="s">
        <v>230</v>
      </c>
      <c r="M31" s="192" t="s">
        <v>231</v>
      </c>
      <c r="N31" s="192" t="s">
        <v>232</v>
      </c>
    </row>
    <row r="32" spans="1:14" x14ac:dyDescent="0.3">
      <c r="A32" s="161" t="s">
        <v>272</v>
      </c>
      <c r="B32" s="160" t="s">
        <v>273</v>
      </c>
      <c r="C32" s="160">
        <v>2</v>
      </c>
      <c r="D32" s="191" t="s">
        <v>274</v>
      </c>
      <c r="E32" s="191" t="s">
        <v>275</v>
      </c>
      <c r="F32" s="164" t="s">
        <v>276</v>
      </c>
      <c r="G32" s="190" t="s">
        <v>277</v>
      </c>
      <c r="H32" s="191" t="s">
        <v>278</v>
      </c>
      <c r="I32" s="164" t="s">
        <v>279</v>
      </c>
      <c r="J32" s="190" t="s">
        <v>280</v>
      </c>
      <c r="K32" s="190" t="s">
        <v>281</v>
      </c>
      <c r="L32" s="191" t="s">
        <v>282</v>
      </c>
      <c r="M32" s="192" t="s">
        <v>283</v>
      </c>
      <c r="N32" s="192" t="s">
        <v>284</v>
      </c>
    </row>
    <row r="33" spans="1:14" x14ac:dyDescent="0.3">
      <c r="A33" s="161" t="s">
        <v>285</v>
      </c>
      <c r="B33" s="160" t="s">
        <v>286</v>
      </c>
      <c r="C33" s="160">
        <v>6</v>
      </c>
      <c r="D33" s="190" t="s">
        <v>348</v>
      </c>
      <c r="E33" s="311" t="s">
        <v>349</v>
      </c>
      <c r="F33" s="193" t="s">
        <v>350</v>
      </c>
      <c r="G33" s="191" t="s">
        <v>184</v>
      </c>
      <c r="H33" s="191"/>
      <c r="I33" s="191"/>
      <c r="J33" s="190" t="s">
        <v>351</v>
      </c>
      <c r="K33" s="190" t="s">
        <v>352</v>
      </c>
      <c r="L33" s="191" t="s">
        <v>353</v>
      </c>
      <c r="M33" s="192" t="s">
        <v>306</v>
      </c>
      <c r="N33" s="192" t="s">
        <v>354</v>
      </c>
    </row>
    <row r="34" spans="1:14" x14ac:dyDescent="0.3">
      <c r="A34" s="161" t="s">
        <v>282</v>
      </c>
      <c r="B34" s="160" t="s">
        <v>283</v>
      </c>
      <c r="C34" s="160">
        <v>2</v>
      </c>
      <c r="D34" s="191" t="s">
        <v>274</v>
      </c>
      <c r="E34" s="191" t="s">
        <v>275</v>
      </c>
      <c r="F34" s="164" t="s">
        <v>276</v>
      </c>
      <c r="G34" s="190" t="s">
        <v>277</v>
      </c>
      <c r="H34" s="191" t="s">
        <v>278</v>
      </c>
      <c r="I34" s="164" t="s">
        <v>279</v>
      </c>
      <c r="J34" s="190" t="s">
        <v>280</v>
      </c>
      <c r="K34" s="190" t="s">
        <v>281</v>
      </c>
      <c r="L34" s="191" t="s">
        <v>282</v>
      </c>
      <c r="M34" s="192" t="s">
        <v>283</v>
      </c>
      <c r="N34" s="192" t="s">
        <v>284</v>
      </c>
    </row>
    <row r="35" spans="1:14" x14ac:dyDescent="0.3">
      <c r="A35" s="161" t="s">
        <v>287</v>
      </c>
      <c r="B35" s="160" t="s">
        <v>288</v>
      </c>
      <c r="C35" s="160">
        <v>4</v>
      </c>
      <c r="D35" s="190" t="s">
        <v>168</v>
      </c>
      <c r="E35" s="191" t="s">
        <v>169</v>
      </c>
      <c r="F35" s="163" t="s">
        <v>170</v>
      </c>
      <c r="G35" s="191" t="s">
        <v>171</v>
      </c>
      <c r="H35" s="191" t="s">
        <v>172</v>
      </c>
      <c r="I35" s="164" t="s">
        <v>173</v>
      </c>
      <c r="J35" s="191" t="s">
        <v>174</v>
      </c>
      <c r="K35" s="190" t="s">
        <v>175</v>
      </c>
      <c r="L35" s="191" t="s">
        <v>176</v>
      </c>
      <c r="M35" s="192" t="s">
        <v>177</v>
      </c>
      <c r="N35" s="192" t="s">
        <v>178</v>
      </c>
    </row>
    <row r="36" spans="1:14" x14ac:dyDescent="0.3">
      <c r="A36" s="161" t="s">
        <v>289</v>
      </c>
      <c r="B36" s="160" t="s">
        <v>290</v>
      </c>
      <c r="C36" s="160">
        <v>8</v>
      </c>
      <c r="D36" s="190" t="s">
        <v>213</v>
      </c>
      <c r="E36" s="191" t="s">
        <v>214</v>
      </c>
      <c r="F36" s="163" t="s">
        <v>215</v>
      </c>
      <c r="G36" s="190" t="s">
        <v>216</v>
      </c>
      <c r="H36" s="191" t="s">
        <v>217</v>
      </c>
      <c r="I36" s="164" t="s">
        <v>218</v>
      </c>
      <c r="J36" s="190" t="s">
        <v>219</v>
      </c>
      <c r="K36" s="190" t="s">
        <v>220</v>
      </c>
      <c r="L36" s="191" t="s">
        <v>221</v>
      </c>
      <c r="M36" s="192" t="s">
        <v>62</v>
      </c>
      <c r="N36" s="192" t="s">
        <v>222</v>
      </c>
    </row>
    <row r="37" spans="1:14" x14ac:dyDescent="0.3">
      <c r="A37" s="161" t="s">
        <v>291</v>
      </c>
      <c r="B37" s="160" t="s">
        <v>292</v>
      </c>
      <c r="C37" s="160">
        <v>5</v>
      </c>
      <c r="D37" s="190" t="s">
        <v>203</v>
      </c>
      <c r="E37" s="191" t="s">
        <v>204</v>
      </c>
      <c r="F37" s="163" t="s">
        <v>205</v>
      </c>
      <c r="G37" s="191" t="s">
        <v>184</v>
      </c>
      <c r="H37" s="191"/>
      <c r="I37" s="191"/>
      <c r="J37" s="190" t="s">
        <v>206</v>
      </c>
      <c r="K37" s="190" t="s">
        <v>207</v>
      </c>
      <c r="L37" s="191" t="s">
        <v>208</v>
      </c>
      <c r="M37" s="192" t="s">
        <v>209</v>
      </c>
      <c r="N37" s="192" t="s">
        <v>210</v>
      </c>
    </row>
    <row r="38" spans="1:14" x14ac:dyDescent="0.3">
      <c r="A38" s="161" t="s">
        <v>293</v>
      </c>
      <c r="B38" s="160" t="s">
        <v>294</v>
      </c>
      <c r="C38" s="160">
        <v>6</v>
      </c>
      <c r="D38" s="190" t="s">
        <v>348</v>
      </c>
      <c r="E38" s="311" t="s">
        <v>349</v>
      </c>
      <c r="F38" s="193" t="s">
        <v>350</v>
      </c>
      <c r="G38" s="191" t="s">
        <v>184</v>
      </c>
      <c r="H38" s="191"/>
      <c r="I38" s="191"/>
      <c r="J38" s="190" t="s">
        <v>351</v>
      </c>
      <c r="K38" s="190" t="s">
        <v>352</v>
      </c>
      <c r="L38" s="191" t="s">
        <v>353</v>
      </c>
      <c r="M38" s="192" t="s">
        <v>306</v>
      </c>
      <c r="N38" s="192" t="s">
        <v>354</v>
      </c>
    </row>
    <row r="39" spans="1:14" x14ac:dyDescent="0.3">
      <c r="A39" s="161" t="s">
        <v>295</v>
      </c>
      <c r="B39" s="160" t="s">
        <v>296</v>
      </c>
      <c r="C39" s="160">
        <v>10</v>
      </c>
      <c r="D39" s="190" t="s">
        <v>181</v>
      </c>
      <c r="E39" s="190" t="s">
        <v>182</v>
      </c>
      <c r="F39" s="164" t="s">
        <v>183</v>
      </c>
      <c r="G39" s="190" t="s">
        <v>184</v>
      </c>
      <c r="H39" s="191"/>
      <c r="I39" s="191"/>
      <c r="J39" s="191" t="s">
        <v>185</v>
      </c>
      <c r="K39" s="191" t="s">
        <v>186</v>
      </c>
      <c r="L39" s="191" t="s">
        <v>187</v>
      </c>
      <c r="M39" s="192" t="s">
        <v>188</v>
      </c>
      <c r="N39" s="192">
        <v>98101</v>
      </c>
    </row>
    <row r="40" spans="1:14" x14ac:dyDescent="0.3">
      <c r="A40" s="161" t="s">
        <v>297</v>
      </c>
      <c r="B40" s="160" t="s">
        <v>298</v>
      </c>
      <c r="C40" s="160">
        <v>1</v>
      </c>
      <c r="D40" s="191" t="s">
        <v>225</v>
      </c>
      <c r="E40" s="191" t="s">
        <v>226</v>
      </c>
      <c r="F40" s="164" t="s">
        <v>227</v>
      </c>
      <c r="G40" s="191" t="s">
        <v>184</v>
      </c>
      <c r="H40" s="191"/>
      <c r="I40" s="191"/>
      <c r="J40" s="190" t="s">
        <v>228</v>
      </c>
      <c r="K40" s="190" t="s">
        <v>229</v>
      </c>
      <c r="L40" s="191" t="s">
        <v>230</v>
      </c>
      <c r="M40" s="192" t="s">
        <v>231</v>
      </c>
      <c r="N40" s="192" t="s">
        <v>232</v>
      </c>
    </row>
    <row r="41" spans="1:14" x14ac:dyDescent="0.3">
      <c r="A41" s="161" t="s">
        <v>299</v>
      </c>
      <c r="B41" s="160" t="s">
        <v>300</v>
      </c>
      <c r="C41" s="160">
        <v>4</v>
      </c>
      <c r="D41" s="190" t="s">
        <v>168</v>
      </c>
      <c r="E41" s="191" t="s">
        <v>169</v>
      </c>
      <c r="F41" s="163" t="s">
        <v>170</v>
      </c>
      <c r="G41" s="191" t="s">
        <v>171</v>
      </c>
      <c r="H41" s="191" t="s">
        <v>172</v>
      </c>
      <c r="I41" s="164" t="s">
        <v>173</v>
      </c>
      <c r="J41" s="191" t="s">
        <v>174</v>
      </c>
      <c r="K41" s="190" t="s">
        <v>175</v>
      </c>
      <c r="L41" s="191" t="s">
        <v>176</v>
      </c>
      <c r="M41" s="192" t="s">
        <v>177</v>
      </c>
      <c r="N41" s="192" t="s">
        <v>178</v>
      </c>
    </row>
    <row r="42" spans="1:14" x14ac:dyDescent="0.3">
      <c r="A42" s="161" t="s">
        <v>301</v>
      </c>
      <c r="B42" s="160" t="s">
        <v>302</v>
      </c>
      <c r="C42" s="160">
        <v>8</v>
      </c>
      <c r="D42" s="190" t="s">
        <v>213</v>
      </c>
      <c r="E42" s="191" t="s">
        <v>214</v>
      </c>
      <c r="F42" s="163" t="s">
        <v>215</v>
      </c>
      <c r="G42" s="190" t="s">
        <v>216</v>
      </c>
      <c r="H42" s="191" t="s">
        <v>217</v>
      </c>
      <c r="I42" s="164" t="s">
        <v>218</v>
      </c>
      <c r="J42" s="190" t="s">
        <v>219</v>
      </c>
      <c r="K42" s="190" t="s">
        <v>220</v>
      </c>
      <c r="L42" s="191" t="s">
        <v>221</v>
      </c>
      <c r="M42" s="192" t="s">
        <v>62</v>
      </c>
      <c r="N42" s="192" t="s">
        <v>222</v>
      </c>
    </row>
    <row r="43" spans="1:14" x14ac:dyDescent="0.3">
      <c r="A43" s="161" t="s">
        <v>303</v>
      </c>
      <c r="B43" s="160" t="s">
        <v>304</v>
      </c>
      <c r="C43" s="160">
        <v>4</v>
      </c>
      <c r="D43" s="190" t="s">
        <v>168</v>
      </c>
      <c r="E43" s="191" t="s">
        <v>169</v>
      </c>
      <c r="F43" s="163" t="s">
        <v>170</v>
      </c>
      <c r="G43" s="191" t="s">
        <v>171</v>
      </c>
      <c r="H43" s="191" t="s">
        <v>172</v>
      </c>
      <c r="I43" s="164" t="s">
        <v>173</v>
      </c>
      <c r="J43" s="191" t="s">
        <v>174</v>
      </c>
      <c r="K43" s="190" t="s">
        <v>175</v>
      </c>
      <c r="L43" s="191" t="s">
        <v>176</v>
      </c>
      <c r="M43" s="192" t="s">
        <v>177</v>
      </c>
      <c r="N43" s="192" t="s">
        <v>178</v>
      </c>
    </row>
    <row r="44" spans="1:14" x14ac:dyDescent="0.3">
      <c r="A44" s="161" t="s">
        <v>305</v>
      </c>
      <c r="B44" s="160" t="s">
        <v>306</v>
      </c>
      <c r="C44" s="160">
        <v>6</v>
      </c>
      <c r="D44" s="190" t="s">
        <v>348</v>
      </c>
      <c r="E44" s="311" t="s">
        <v>349</v>
      </c>
      <c r="F44" s="193" t="s">
        <v>350</v>
      </c>
      <c r="G44" s="191" t="s">
        <v>184</v>
      </c>
      <c r="H44" s="191"/>
      <c r="I44" s="191"/>
      <c r="J44" s="190" t="s">
        <v>351</v>
      </c>
      <c r="K44" s="190" t="s">
        <v>352</v>
      </c>
      <c r="L44" s="191" t="s">
        <v>353</v>
      </c>
      <c r="M44" s="192" t="s">
        <v>306</v>
      </c>
      <c r="N44" s="192" t="s">
        <v>354</v>
      </c>
    </row>
    <row r="45" spans="1:14" x14ac:dyDescent="0.3">
      <c r="A45" s="161" t="s">
        <v>307</v>
      </c>
      <c r="B45" s="160" t="s">
        <v>308</v>
      </c>
      <c r="C45" s="160">
        <v>8</v>
      </c>
      <c r="D45" s="190" t="s">
        <v>213</v>
      </c>
      <c r="E45" s="191" t="s">
        <v>214</v>
      </c>
      <c r="F45" s="163" t="s">
        <v>215</v>
      </c>
      <c r="G45" s="190" t="s">
        <v>216</v>
      </c>
      <c r="H45" s="191" t="s">
        <v>217</v>
      </c>
      <c r="I45" s="164" t="s">
        <v>218</v>
      </c>
      <c r="J45" s="190" t="s">
        <v>219</v>
      </c>
      <c r="K45" s="190" t="s">
        <v>220</v>
      </c>
      <c r="L45" s="191" t="s">
        <v>221</v>
      </c>
      <c r="M45" s="192" t="s">
        <v>62</v>
      </c>
      <c r="N45" s="192" t="s">
        <v>222</v>
      </c>
    </row>
    <row r="46" spans="1:14" x14ac:dyDescent="0.3">
      <c r="A46" s="161" t="s">
        <v>309</v>
      </c>
      <c r="B46" s="160" t="s">
        <v>310</v>
      </c>
      <c r="C46" s="160">
        <v>1</v>
      </c>
      <c r="D46" s="191" t="s">
        <v>225</v>
      </c>
      <c r="E46" s="191" t="s">
        <v>226</v>
      </c>
      <c r="F46" s="164" t="s">
        <v>227</v>
      </c>
      <c r="G46" s="191" t="s">
        <v>184</v>
      </c>
      <c r="H46" s="191"/>
      <c r="I46" s="191"/>
      <c r="J46" s="190" t="s">
        <v>228</v>
      </c>
      <c r="K46" s="190" t="s">
        <v>229</v>
      </c>
      <c r="L46" s="191" t="s">
        <v>230</v>
      </c>
      <c r="M46" s="192" t="s">
        <v>231</v>
      </c>
      <c r="N46" s="192" t="s">
        <v>232</v>
      </c>
    </row>
    <row r="47" spans="1:14" x14ac:dyDescent="0.3">
      <c r="A47" s="161" t="s">
        <v>311</v>
      </c>
      <c r="B47" s="160" t="s">
        <v>188</v>
      </c>
      <c r="C47" s="160">
        <v>10</v>
      </c>
      <c r="D47" s="190" t="s">
        <v>181</v>
      </c>
      <c r="E47" s="190" t="s">
        <v>182</v>
      </c>
      <c r="F47" s="164" t="s">
        <v>183</v>
      </c>
      <c r="G47" s="190" t="s">
        <v>184</v>
      </c>
      <c r="H47" s="191"/>
      <c r="I47" s="191"/>
      <c r="J47" s="191" t="s">
        <v>185</v>
      </c>
      <c r="K47" s="191" t="s">
        <v>186</v>
      </c>
      <c r="L47" s="191" t="s">
        <v>187</v>
      </c>
      <c r="M47" s="192" t="s">
        <v>188</v>
      </c>
      <c r="N47" s="192">
        <v>98101</v>
      </c>
    </row>
    <row r="48" spans="1:14" x14ac:dyDescent="0.3">
      <c r="A48" s="161" t="s">
        <v>312</v>
      </c>
      <c r="B48" s="160" t="s">
        <v>313</v>
      </c>
      <c r="C48" s="160">
        <v>5</v>
      </c>
      <c r="D48" s="190" t="s">
        <v>203</v>
      </c>
      <c r="E48" s="191" t="s">
        <v>204</v>
      </c>
      <c r="F48" s="163" t="s">
        <v>205</v>
      </c>
      <c r="G48" s="191" t="s">
        <v>184</v>
      </c>
      <c r="H48" s="191"/>
      <c r="I48" s="191"/>
      <c r="J48" s="190" t="s">
        <v>206</v>
      </c>
      <c r="K48" s="190" t="s">
        <v>207</v>
      </c>
      <c r="L48" s="191" t="s">
        <v>208</v>
      </c>
      <c r="M48" s="192" t="s">
        <v>209</v>
      </c>
      <c r="N48" s="192" t="s">
        <v>210</v>
      </c>
    </row>
    <row r="49" spans="1:14" x14ac:dyDescent="0.3">
      <c r="A49" s="161" t="s">
        <v>314</v>
      </c>
      <c r="B49" s="160" t="s">
        <v>315</v>
      </c>
      <c r="C49" s="160">
        <v>8</v>
      </c>
      <c r="D49" s="190" t="s">
        <v>213</v>
      </c>
      <c r="E49" s="191" t="s">
        <v>214</v>
      </c>
      <c r="F49" s="163" t="s">
        <v>215</v>
      </c>
      <c r="G49" s="190" t="s">
        <v>216</v>
      </c>
      <c r="H49" s="191" t="s">
        <v>217</v>
      </c>
      <c r="I49" s="164" t="s">
        <v>218</v>
      </c>
      <c r="J49" s="190" t="s">
        <v>219</v>
      </c>
      <c r="K49" s="190" t="s">
        <v>220</v>
      </c>
      <c r="L49" s="191" t="s">
        <v>221</v>
      </c>
      <c r="M49" s="192" t="s">
        <v>62</v>
      </c>
      <c r="N49" s="192" t="s">
        <v>222</v>
      </c>
    </row>
    <row r="50" spans="1:14" x14ac:dyDescent="0.3">
      <c r="A50" s="161" t="s">
        <v>316</v>
      </c>
      <c r="B50" s="160" t="s">
        <v>317</v>
      </c>
      <c r="C50" s="160">
        <v>3</v>
      </c>
      <c r="D50" s="190" t="s">
        <v>184</v>
      </c>
      <c r="E50" s="191"/>
      <c r="F50" s="191"/>
      <c r="G50" s="191"/>
      <c r="H50" s="191"/>
      <c r="I50" s="191"/>
      <c r="J50" s="191"/>
      <c r="K50" s="191"/>
      <c r="L50" s="191"/>
      <c r="M50" s="192"/>
      <c r="N50" s="192"/>
    </row>
    <row r="51" spans="1:14" x14ac:dyDescent="0.3">
      <c r="A51" s="161" t="s">
        <v>318</v>
      </c>
      <c r="B51" s="160" t="s">
        <v>319</v>
      </c>
      <c r="C51" s="160">
        <v>3</v>
      </c>
      <c r="D51" s="190" t="s">
        <v>184</v>
      </c>
      <c r="E51" s="191"/>
      <c r="F51" s="191"/>
      <c r="G51" s="191"/>
      <c r="H51" s="191"/>
      <c r="I51" s="191"/>
      <c r="J51" s="191"/>
      <c r="K51" s="191"/>
      <c r="L51" s="191"/>
      <c r="M51" s="192"/>
      <c r="N51" s="192"/>
    </row>
    <row r="52" spans="1:14" x14ac:dyDescent="0.3">
      <c r="A52" s="161" t="s">
        <v>320</v>
      </c>
      <c r="B52" s="160" t="s">
        <v>321</v>
      </c>
      <c r="C52" s="160">
        <v>3</v>
      </c>
      <c r="D52" s="190" t="s">
        <v>184</v>
      </c>
      <c r="E52" s="191"/>
      <c r="F52" s="191"/>
      <c r="G52" s="191"/>
      <c r="H52" s="191"/>
      <c r="I52" s="191"/>
      <c r="J52" s="191"/>
      <c r="K52" s="191"/>
      <c r="L52" s="191"/>
      <c r="M52" s="192"/>
      <c r="N52" s="192"/>
    </row>
    <row r="53" spans="1:14" x14ac:dyDescent="0.3">
      <c r="A53" s="161" t="s">
        <v>322</v>
      </c>
      <c r="B53" s="160" t="s">
        <v>323</v>
      </c>
      <c r="C53" s="160">
        <v>3</v>
      </c>
      <c r="D53" s="190" t="s">
        <v>184</v>
      </c>
      <c r="E53" s="191"/>
      <c r="F53" s="191"/>
      <c r="G53" s="191"/>
      <c r="H53" s="191"/>
      <c r="I53" s="191"/>
      <c r="J53" s="191"/>
      <c r="K53" s="191"/>
      <c r="L53" s="191"/>
      <c r="M53" s="192"/>
      <c r="N53" s="192"/>
    </row>
    <row r="54" spans="1:14" x14ac:dyDescent="0.3">
      <c r="A54" s="161" t="s">
        <v>324</v>
      </c>
      <c r="B54" s="160" t="s">
        <v>325</v>
      </c>
      <c r="C54" s="160">
        <v>3</v>
      </c>
      <c r="D54" s="190" t="s">
        <v>184</v>
      </c>
      <c r="E54" s="191"/>
      <c r="F54" s="191"/>
      <c r="G54" s="191"/>
      <c r="H54" s="191"/>
      <c r="I54" s="191"/>
      <c r="J54" s="191"/>
      <c r="K54" s="191"/>
      <c r="L54" s="191"/>
      <c r="M54" s="192"/>
      <c r="N54" s="192"/>
    </row>
    <row r="55" spans="1:14" x14ac:dyDescent="0.3">
      <c r="A55" s="161" t="s">
        <v>326</v>
      </c>
      <c r="B55" s="160" t="s">
        <v>327</v>
      </c>
      <c r="C55" s="160">
        <v>3</v>
      </c>
      <c r="D55" s="190" t="s">
        <v>184</v>
      </c>
      <c r="E55" s="191"/>
      <c r="F55" s="191"/>
      <c r="G55" s="191"/>
      <c r="H55" s="191"/>
      <c r="I55" s="191"/>
      <c r="J55" s="191"/>
      <c r="K55" s="191"/>
      <c r="L55" s="191"/>
      <c r="M55" s="192"/>
      <c r="N55" s="192"/>
    </row>
  </sheetData>
  <mergeCells count="1">
    <mergeCell ref="D3:N3"/>
  </mergeCells>
  <hyperlinks>
    <hyperlink ref="F11" r:id="rId1" display="mailto:McCahill.brendan@epa.gov"/>
    <hyperlink ref="F22" r:id="rId2" display="mailto:McCahill.brendan@epa.gov"/>
    <hyperlink ref="F23" r:id="rId3" display="mailto:McCahill.brendan@epa.gov"/>
    <hyperlink ref="F31" r:id="rId4" display="mailto:McCahill.brendan@epa.gov"/>
    <hyperlink ref="F40" r:id="rId5" display="mailto:McCahill.brendan@epa.gov"/>
    <hyperlink ref="F46" r:id="rId6" display="mailto:McCahill.brendan@epa.gov"/>
    <hyperlink ref="F32" r:id="rId7" display="mailto:lau.gavin@epa.gov"/>
    <hyperlink ref="I32" r:id="rId8" display="mailto:Dholakia.umesh@epa.gov"/>
    <hyperlink ref="F34" r:id="rId9" display="mailto:lau.gavin@epa.gov"/>
    <hyperlink ref="I34" r:id="rId10" display="mailto:Dholakia.umesh@epa.gov"/>
    <hyperlink ref="F5" r:id="rId11" display="mailto:oquendo.ana@epa.gov"/>
    <hyperlink ref="I5" r:id="rId12" display="mailto:shepherd.lorinda@epa.gov"/>
    <hyperlink ref="F16" r:id="rId13" display="mailto:gupta.kaushal@epa.gov"/>
    <hyperlink ref="F18" r:id="rId14" display="mailto:webber.robert@epa.gov"/>
    <hyperlink ref="F10" r:id="rId15" display="mailto:smith.claudia@epa.gov"/>
    <hyperlink ref="I10" r:id="rId16" display="mailto:paser.kathleen@epa.gov"/>
    <hyperlink ref="F28" r:id="rId17" display="mailto:smith.claudia@epa.gov"/>
    <hyperlink ref="F36" r:id="rId18" display="mailto:smith.claudia@epa.gov"/>
    <hyperlink ref="F42" r:id="rId19" display="mailto:smith.claudia@epa.gov"/>
    <hyperlink ref="F45" r:id="rId20" display="mailto:smith.claudia@epa.gov"/>
    <hyperlink ref="F49" r:id="rId21" display="mailto:smith.claudia@epa.gov"/>
    <hyperlink ref="I28" r:id="rId22" display="mailto:paser.kathleen@epa.gov"/>
    <hyperlink ref="I36" r:id="rId23" display="mailto:paser.kathleen@epa.gov"/>
    <hyperlink ref="I42" r:id="rId24" display="mailto:paser.kathleen@epa.gov"/>
    <hyperlink ref="I45" r:id="rId25" display="mailto:paser.kathleen@epa.gov"/>
    <hyperlink ref="I49" r:id="rId26" display="mailto:paser.kathleen@epa.gov"/>
    <hyperlink ref="F19" r:id="rId27" display="mailto:webber.robert@epa.gov"/>
    <hyperlink ref="F27" r:id="rId28" display="mailto:webber.robert@epa.gov"/>
    <hyperlink ref="F29" r:id="rId29" display="mailto:webber.robert@epa.gov"/>
    <hyperlink ref="F17" r:id="rId30" display="mailto:gupta.kaushal@epa.gov"/>
    <hyperlink ref="F24" r:id="rId31" display="mailto:gupta.kaushal@epa.gov"/>
    <hyperlink ref="F25" r:id="rId32" display="mailto:gupta.kaushal@epa.gov"/>
    <hyperlink ref="F37" r:id="rId33" display="mailto:gupta.kaushal@epa.gov"/>
    <hyperlink ref="F48" r:id="rId34" display="mailto:gupta.kaushal@epa.gov"/>
    <hyperlink ref="F12" r:id="rId35" display="mailto:oquendo.ana@epa.gov"/>
    <hyperlink ref="F13" r:id="rId36" display="mailto:oquendo.ana@epa.gov"/>
    <hyperlink ref="F20" r:id="rId37" display="mailto:oquendo.ana@epa.gov"/>
    <hyperlink ref="F26" r:id="rId38" display="mailto:oquendo.ana@epa.gov"/>
    <hyperlink ref="F35" r:id="rId39" display="mailto:oquendo.ana@epa.gov"/>
    <hyperlink ref="F41" r:id="rId40" display="mailto:oquendo.ana@epa.gov"/>
    <hyperlink ref="F43" r:id="rId41" display="mailto:oquendo.ana@epa.gov"/>
    <hyperlink ref="I12" r:id="rId42" display="mailto:shepherd.lorinda@epa.gov"/>
    <hyperlink ref="I13" r:id="rId43" display="mailto:shepherd.lorinda@epa.gov"/>
    <hyperlink ref="I20" r:id="rId44" display="mailto:shepherd.lorinda@epa.gov"/>
    <hyperlink ref="I26" r:id="rId45" display="mailto:shepherd.lorinda@epa.gov"/>
    <hyperlink ref="I35" r:id="rId46" display="mailto:shepherd.lorinda@epa.gov"/>
    <hyperlink ref="I41" r:id="rId47" display="mailto:shepherd.lorinda@epa.gov"/>
    <hyperlink ref="I43" r:id="rId48" display="mailto:shepherd.lorinda@epa.gov"/>
    <hyperlink ref="F7" r:id="rId49" display="mailto:glass.geoffrey@epa.gov"/>
    <hyperlink ref="I7" r:id="rId50" display="mailto:Gutierrez.roberto@epa.gov"/>
    <hyperlink ref="F9" r:id="rId51" display="mailto:glass.geoffrey@epa.gov"/>
    <hyperlink ref="F14" r:id="rId52" display="mailto:glass.geoffrey@epa.gov"/>
    <hyperlink ref="F30" r:id="rId53" display="mailto:glass.geoffrey@epa.gov"/>
    <hyperlink ref="I9" r:id="rId54" display="mailto:Gutierrez.roberto@epa.gov"/>
    <hyperlink ref="I14" r:id="rId55" display="mailto:Gutierrez.roberto@epa.gov"/>
    <hyperlink ref="I30" r:id="rId56" display="mailto:Gutierrez.roberto@epa.gov"/>
    <hyperlink ref="F6" r:id="rId57"/>
    <hyperlink ref="F15" r:id="rId58"/>
    <hyperlink ref="F39" r:id="rId59"/>
    <hyperlink ref="F47" r:id="rId60"/>
    <hyperlink ref="F8" r:id="rId61"/>
    <hyperlink ref="F21" r:id="rId62"/>
    <hyperlink ref="F33" r:id="rId63"/>
    <hyperlink ref="F38" r:id="rId64"/>
    <hyperlink ref="F44" r:id="rId65"/>
  </hyperlinks>
  <pageMargins left="0.7" right="0.7" top="0.75" bottom="0.75" header="0.3" footer="0.3"/>
  <pageSetup orientation="portrait" r:id="rId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M45"/>
  <sheetViews>
    <sheetView showGridLines="0" zoomScaleNormal="100" workbookViewId="0"/>
  </sheetViews>
  <sheetFormatPr defaultColWidth="3.33203125" defaultRowHeight="13.2" x14ac:dyDescent="0.25"/>
  <cols>
    <col min="1" max="1" width="2.109375" style="14" customWidth="1"/>
    <col min="2" max="2" width="11.6640625" style="14" customWidth="1"/>
    <col min="3" max="3" width="19.109375" style="14" customWidth="1"/>
    <col min="4" max="4" width="57.44140625" style="14" customWidth="1"/>
    <col min="5" max="5" width="85" style="14" customWidth="1"/>
    <col min="6" max="27" width="1.6640625" style="14" customWidth="1"/>
    <col min="28" max="16384" width="3.33203125" style="14"/>
  </cols>
  <sheetData>
    <row r="1" spans="2:5" ht="17.399999999999999" x14ac:dyDescent="0.3">
      <c r="B1" s="12" t="str">
        <f>'Change Log'!A1</f>
        <v>Hot Mix Asphalt Plant Registration Calculator</v>
      </c>
    </row>
    <row r="2" spans="2:5" ht="15.75" customHeight="1" x14ac:dyDescent="0.25">
      <c r="B2" s="348" t="str">
        <f>'Change Log'!A2</f>
        <v>v1.3 (last updated 2013.02.26)</v>
      </c>
      <c r="C2" s="348"/>
      <c r="D2" s="348"/>
    </row>
    <row r="3" spans="2:5" ht="114" customHeight="1" x14ac:dyDescent="0.25">
      <c r="B3" s="354" t="s">
        <v>402</v>
      </c>
      <c r="C3" s="354"/>
      <c r="D3" s="354"/>
      <c r="E3" s="354"/>
    </row>
    <row r="4" spans="2:5" ht="6.75" customHeight="1" x14ac:dyDescent="0.25">
      <c r="B4" s="303"/>
      <c r="C4" s="303"/>
      <c r="D4" s="303"/>
    </row>
    <row r="5" spans="2:5" x14ac:dyDescent="0.25">
      <c r="B5" s="76" t="s">
        <v>4</v>
      </c>
    </row>
    <row r="6" spans="2:5" ht="31.5" customHeight="1" x14ac:dyDescent="0.25">
      <c r="B6" s="351" t="s">
        <v>403</v>
      </c>
      <c r="C6" s="351"/>
      <c r="D6" s="351"/>
      <c r="E6" s="351"/>
    </row>
    <row r="7" spans="2:5" ht="4.5" customHeight="1" x14ac:dyDescent="0.25">
      <c r="B7" s="77"/>
    </row>
    <row r="8" spans="2:5" x14ac:dyDescent="0.25">
      <c r="B8" s="76" t="s">
        <v>12</v>
      </c>
    </row>
    <row r="9" spans="2:5" ht="66.75" customHeight="1" x14ac:dyDescent="0.25">
      <c r="B9" s="349" t="s">
        <v>138</v>
      </c>
      <c r="C9" s="350"/>
      <c r="D9" s="350"/>
      <c r="E9" s="350"/>
    </row>
    <row r="10" spans="2:5" ht="5.25" customHeight="1" x14ac:dyDescent="0.25">
      <c r="B10" s="77"/>
    </row>
    <row r="11" spans="2:5" x14ac:dyDescent="0.25">
      <c r="B11" s="76" t="s">
        <v>27</v>
      </c>
    </row>
    <row r="12" spans="2:5" ht="53.25" customHeight="1" x14ac:dyDescent="0.25">
      <c r="B12" s="349" t="s">
        <v>139</v>
      </c>
      <c r="C12" s="350"/>
      <c r="D12" s="350"/>
      <c r="E12" s="350"/>
    </row>
    <row r="13" spans="2:5" ht="9" customHeight="1" thickBot="1" x14ac:dyDescent="0.3">
      <c r="B13" s="76"/>
    </row>
    <row r="14" spans="2:5" ht="13.8" thickBot="1" x14ac:dyDescent="0.3">
      <c r="B14" s="345" t="s">
        <v>404</v>
      </c>
      <c r="C14" s="352"/>
      <c r="D14" s="353"/>
    </row>
    <row r="15" spans="2:5" x14ac:dyDescent="0.25">
      <c r="B15" s="336" t="s">
        <v>405</v>
      </c>
      <c r="C15" s="337"/>
      <c r="D15" s="338"/>
    </row>
    <row r="16" spans="2:5" x14ac:dyDescent="0.25">
      <c r="B16" s="339" t="s">
        <v>406</v>
      </c>
      <c r="C16" s="340"/>
      <c r="D16" s="341"/>
    </row>
    <row r="17" spans="2:5" x14ac:dyDescent="0.25">
      <c r="B17" s="329" t="s">
        <v>407</v>
      </c>
      <c r="C17" s="330"/>
      <c r="D17" s="331"/>
    </row>
    <row r="18" spans="2:5" ht="13.8" thickBot="1" x14ac:dyDescent="0.3">
      <c r="B18" s="342" t="s">
        <v>134</v>
      </c>
      <c r="C18" s="343"/>
      <c r="D18" s="344"/>
    </row>
    <row r="19" spans="2:5" ht="10.5" customHeight="1" thickBot="1" x14ac:dyDescent="0.3">
      <c r="B19" s="78"/>
      <c r="C19" s="79"/>
      <c r="D19" s="78"/>
      <c r="E19" s="15"/>
    </row>
    <row r="20" spans="2:5" ht="13.8" thickBot="1" x14ac:dyDescent="0.3">
      <c r="B20" s="345" t="s">
        <v>142</v>
      </c>
      <c r="C20" s="346"/>
      <c r="D20" s="347"/>
    </row>
    <row r="21" spans="2:5" s="279" customFormat="1" ht="54" customHeight="1" x14ac:dyDescent="0.25">
      <c r="B21" s="150" t="s">
        <v>408</v>
      </c>
      <c r="C21" s="332" t="s">
        <v>409</v>
      </c>
      <c r="D21" s="333"/>
    </row>
    <row r="22" spans="2:5" s="279" customFormat="1" ht="12.75" customHeight="1" x14ac:dyDescent="0.25">
      <c r="B22" s="268" t="s">
        <v>410</v>
      </c>
      <c r="C22" s="269" t="s">
        <v>411</v>
      </c>
      <c r="D22" s="270"/>
    </row>
    <row r="23" spans="2:5" ht="12.75" customHeight="1" x14ac:dyDescent="0.25">
      <c r="B23" s="306" t="s">
        <v>62</v>
      </c>
      <c r="C23" s="153" t="s">
        <v>76</v>
      </c>
      <c r="D23" s="81"/>
    </row>
    <row r="24" spans="2:5" ht="12.75" customHeight="1" x14ac:dyDescent="0.25">
      <c r="B24" s="306" t="s">
        <v>140</v>
      </c>
      <c r="C24" s="153" t="s">
        <v>141</v>
      </c>
      <c r="D24" s="81"/>
    </row>
    <row r="25" spans="2:5" ht="12.75" customHeight="1" x14ac:dyDescent="0.25">
      <c r="B25" s="80" t="s">
        <v>147</v>
      </c>
      <c r="C25" s="152" t="s">
        <v>148</v>
      </c>
      <c r="D25" s="147"/>
    </row>
    <row r="26" spans="2:5" ht="57" customHeight="1" x14ac:dyDescent="0.25">
      <c r="B26" s="307" t="s">
        <v>412</v>
      </c>
      <c r="C26" s="334" t="s">
        <v>413</v>
      </c>
      <c r="D26" s="335"/>
      <c r="E26" s="279"/>
    </row>
    <row r="27" spans="2:5" ht="12.75" customHeight="1" x14ac:dyDescent="0.25">
      <c r="B27" s="306" t="s">
        <v>103</v>
      </c>
      <c r="C27" s="153" t="s">
        <v>80</v>
      </c>
      <c r="D27" s="81"/>
    </row>
    <row r="28" spans="2:5" ht="12.75" customHeight="1" x14ac:dyDescent="0.25">
      <c r="B28" s="306" t="s">
        <v>448</v>
      </c>
      <c r="C28" s="154" t="s">
        <v>449</v>
      </c>
      <c r="D28" s="305"/>
    </row>
    <row r="29" spans="2:5" ht="14.25" customHeight="1" x14ac:dyDescent="0.35">
      <c r="B29" s="306" t="s">
        <v>72</v>
      </c>
      <c r="C29" s="154" t="s">
        <v>77</v>
      </c>
      <c r="D29" s="305"/>
    </row>
    <row r="30" spans="2:5" ht="12.75" customHeight="1" x14ac:dyDescent="0.25">
      <c r="B30" s="306" t="s">
        <v>143</v>
      </c>
      <c r="C30" s="154" t="s">
        <v>53</v>
      </c>
      <c r="D30" s="305"/>
      <c r="E30" s="15"/>
    </row>
    <row r="31" spans="2:5" ht="15.75" customHeight="1" x14ac:dyDescent="0.35">
      <c r="B31" s="306" t="s">
        <v>144</v>
      </c>
      <c r="C31" s="327" t="s">
        <v>346</v>
      </c>
      <c r="D31" s="328"/>
    </row>
    <row r="32" spans="2:5" ht="14.25" customHeight="1" x14ac:dyDescent="0.35">
      <c r="B32" s="306" t="s">
        <v>145</v>
      </c>
      <c r="C32" s="304" t="s">
        <v>347</v>
      </c>
      <c r="D32" s="305"/>
    </row>
    <row r="33" spans="2:13" s="279" customFormat="1" ht="12.75" customHeight="1" x14ac:dyDescent="0.25">
      <c r="B33" s="222" t="s">
        <v>359</v>
      </c>
      <c r="C33" s="223" t="s">
        <v>360</v>
      </c>
      <c r="D33" s="224"/>
    </row>
    <row r="34" spans="2:13" s="279" customFormat="1" ht="15.75" customHeight="1" x14ac:dyDescent="0.25">
      <c r="B34" s="82" t="s">
        <v>73</v>
      </c>
      <c r="C34" s="155" t="s">
        <v>78</v>
      </c>
      <c r="D34" s="83"/>
      <c r="E34" s="14"/>
    </row>
    <row r="35" spans="2:13" ht="12.75" customHeight="1" thickBot="1" x14ac:dyDescent="0.3">
      <c r="B35" s="151" t="s">
        <v>146</v>
      </c>
      <c r="C35" s="321" t="s">
        <v>2</v>
      </c>
      <c r="D35" s="322"/>
    </row>
    <row r="36" spans="2:13" ht="12.75" customHeight="1" thickBot="1" x14ac:dyDescent="0.3">
      <c r="B36" s="78"/>
      <c r="C36" s="78"/>
      <c r="D36" s="78"/>
    </row>
    <row r="37" spans="2:13" ht="13.5" customHeight="1" thickBot="1" x14ac:dyDescent="0.3">
      <c r="B37" s="84" t="s">
        <v>48</v>
      </c>
      <c r="C37" s="85"/>
      <c r="D37" s="85"/>
      <c r="E37" s="86"/>
      <c r="F37" s="15"/>
    </row>
    <row r="38" spans="2:13" ht="21" customHeight="1" thickBot="1" x14ac:dyDescent="0.3">
      <c r="B38" s="87" t="s">
        <v>438</v>
      </c>
      <c r="C38" s="88"/>
      <c r="D38" s="88"/>
      <c r="E38" s="89"/>
      <c r="F38" s="15"/>
    </row>
    <row r="39" spans="2:13" ht="32.25" customHeight="1" x14ac:dyDescent="0.25">
      <c r="B39" s="363" t="s">
        <v>45</v>
      </c>
      <c r="C39" s="364"/>
      <c r="D39" s="369" t="s">
        <v>414</v>
      </c>
      <c r="E39" s="370"/>
      <c r="F39" s="15"/>
    </row>
    <row r="40" spans="2:13" ht="24.75" customHeight="1" x14ac:dyDescent="0.25">
      <c r="B40" s="365" t="s">
        <v>46</v>
      </c>
      <c r="C40" s="366"/>
      <c r="D40" s="371" t="s">
        <v>49</v>
      </c>
      <c r="E40" s="372"/>
      <c r="M40" s="15"/>
    </row>
    <row r="41" spans="2:13" ht="62.25" customHeight="1" x14ac:dyDescent="0.25">
      <c r="B41" s="357" t="s">
        <v>47</v>
      </c>
      <c r="C41" s="358"/>
      <c r="D41" s="323" t="s">
        <v>415</v>
      </c>
      <c r="E41" s="324"/>
    </row>
    <row r="42" spans="2:13" ht="25.5" customHeight="1" x14ac:dyDescent="0.25">
      <c r="B42" s="359"/>
      <c r="C42" s="360"/>
      <c r="D42" s="361" t="s">
        <v>149</v>
      </c>
      <c r="E42" s="362"/>
    </row>
    <row r="43" spans="2:13" ht="56.25" customHeight="1" x14ac:dyDescent="0.25">
      <c r="B43" s="365" t="s">
        <v>125</v>
      </c>
      <c r="C43" s="366"/>
      <c r="D43" s="325" t="s">
        <v>467</v>
      </c>
      <c r="E43" s="326"/>
    </row>
    <row r="44" spans="2:13" ht="72.75" customHeight="1" x14ac:dyDescent="0.25">
      <c r="B44" s="373" t="s">
        <v>439</v>
      </c>
      <c r="C44" s="374"/>
      <c r="D44" s="325" t="s">
        <v>470</v>
      </c>
      <c r="E44" s="375"/>
    </row>
    <row r="45" spans="2:13" ht="47.25" customHeight="1" thickBot="1" x14ac:dyDescent="0.3">
      <c r="B45" s="367" t="s">
        <v>440</v>
      </c>
      <c r="C45" s="368"/>
      <c r="D45" s="355" t="s">
        <v>416</v>
      </c>
      <c r="E45" s="356"/>
    </row>
  </sheetData>
  <sheetProtection password="C969" sheet="1" objects="1" scenarios="1"/>
  <customSheetViews>
    <customSheetView guid="{8C263A95-99F9-4260-B64A-0E771D03F536}" scale="106" showRuler="0">
      <selection activeCell="C14" sqref="C14"/>
      <pageMargins left="0.5" right="0.5" top="1" bottom="1" header="0.5" footer="0.5"/>
      <pageSetup orientation="landscape" r:id="rId1"/>
      <headerFooter alignWithMargins="0"/>
    </customSheetView>
  </customSheetViews>
  <mergeCells count="28">
    <mergeCell ref="D45:E45"/>
    <mergeCell ref="B41:C42"/>
    <mergeCell ref="D42:E42"/>
    <mergeCell ref="B39:C39"/>
    <mergeCell ref="B40:C40"/>
    <mergeCell ref="B43:C43"/>
    <mergeCell ref="B45:C45"/>
    <mergeCell ref="D39:E39"/>
    <mergeCell ref="D40:E40"/>
    <mergeCell ref="B44:C44"/>
    <mergeCell ref="D44:E44"/>
    <mergeCell ref="B15:D15"/>
    <mergeCell ref="B16:D16"/>
    <mergeCell ref="B18:D18"/>
    <mergeCell ref="B20:D20"/>
    <mergeCell ref="B2:D2"/>
    <mergeCell ref="B9:E9"/>
    <mergeCell ref="B6:E6"/>
    <mergeCell ref="B14:D14"/>
    <mergeCell ref="B12:E12"/>
    <mergeCell ref="B3:E3"/>
    <mergeCell ref="C35:D35"/>
    <mergeCell ref="D41:E41"/>
    <mergeCell ref="D43:E43"/>
    <mergeCell ref="C31:D31"/>
    <mergeCell ref="B17:D17"/>
    <mergeCell ref="C21:D21"/>
    <mergeCell ref="C26:D26"/>
  </mergeCells>
  <phoneticPr fontId="0" type="noConversion"/>
  <hyperlinks>
    <hyperlink ref="D42" r:id="rId2"/>
  </hyperlinks>
  <pageMargins left="0.2" right="0.2" top="0.5" bottom="0.5" header="0.5" footer="0.5"/>
  <pageSetup scale="68" orientation="landscape" r:id="rId3"/>
  <headerFooter alignWithMargins="0">
    <oddFooter>&amp;LPage &amp;P of &amp;N&amp;C&amp;F&amp;RPrinted &amp;D</oddFooter>
  </headerFooter>
  <rowBreaks count="1" manualBreakCount="1">
    <brk id="3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E83"/>
  <sheetViews>
    <sheetView showGridLines="0" zoomScaleNormal="100" workbookViewId="0"/>
  </sheetViews>
  <sheetFormatPr defaultColWidth="9.109375" defaultRowHeight="13.2" x14ac:dyDescent="0.25"/>
  <cols>
    <col min="1" max="1" width="2.88671875" style="14" customWidth="1"/>
    <col min="2" max="2" width="55.5546875" style="14" customWidth="1"/>
    <col min="3" max="3" width="96" style="14" customWidth="1"/>
    <col min="4" max="4" width="17.33203125" style="14" customWidth="1"/>
    <col min="5" max="5" width="97.44140625" style="14" hidden="1" customWidth="1"/>
    <col min="6" max="16384" width="9.109375" style="14"/>
  </cols>
  <sheetData>
    <row r="1" spans="2:5" ht="17.399999999999999" x14ac:dyDescent="0.3">
      <c r="B1" s="12" t="s">
        <v>132</v>
      </c>
    </row>
    <row r="2" spans="2:5" ht="16.2" thickBot="1" x14ac:dyDescent="0.4">
      <c r="E2" s="169" t="s">
        <v>334</v>
      </c>
    </row>
    <row r="3" spans="2:5" ht="13.8" thickBot="1" x14ac:dyDescent="0.3">
      <c r="B3" s="382" t="s">
        <v>5</v>
      </c>
      <c r="C3" s="353"/>
      <c r="E3" s="170" t="s">
        <v>11</v>
      </c>
    </row>
    <row r="4" spans="2:5" x14ac:dyDescent="0.25">
      <c r="B4" s="234" t="s">
        <v>6</v>
      </c>
      <c r="C4" s="235" t="s">
        <v>355</v>
      </c>
      <c r="E4" s="170" t="s">
        <v>335</v>
      </c>
    </row>
    <row r="5" spans="2:5" x14ac:dyDescent="0.25">
      <c r="B5" s="61" t="s">
        <v>7</v>
      </c>
      <c r="C5" s="31" t="s">
        <v>21</v>
      </c>
      <c r="E5" s="170" t="s">
        <v>17</v>
      </c>
    </row>
    <row r="6" spans="2:5" x14ac:dyDescent="0.25">
      <c r="B6" s="62" t="s">
        <v>154</v>
      </c>
      <c r="C6" s="31" t="s">
        <v>155</v>
      </c>
      <c r="E6" s="279"/>
    </row>
    <row r="7" spans="2:5" x14ac:dyDescent="0.25">
      <c r="B7" s="157" t="s">
        <v>152</v>
      </c>
      <c r="C7" s="158" t="s">
        <v>285</v>
      </c>
      <c r="E7" s="169" t="s">
        <v>336</v>
      </c>
    </row>
    <row r="8" spans="2:5" ht="13.8" thickBot="1" x14ac:dyDescent="0.3">
      <c r="B8" s="63" t="s">
        <v>153</v>
      </c>
      <c r="C8" s="236">
        <v>87101</v>
      </c>
      <c r="E8" s="170" t="s">
        <v>11</v>
      </c>
    </row>
    <row r="9" spans="2:5" ht="13.8" thickBot="1" x14ac:dyDescent="0.3">
      <c r="E9" s="170" t="s">
        <v>337</v>
      </c>
    </row>
    <row r="10" spans="2:5" ht="13.8" thickBot="1" x14ac:dyDescent="0.3">
      <c r="B10" s="382" t="s">
        <v>10</v>
      </c>
      <c r="C10" s="353"/>
      <c r="E10" s="170" t="s">
        <v>335</v>
      </c>
    </row>
    <row r="11" spans="2:5" x14ac:dyDescent="0.25">
      <c r="B11" s="60" t="s">
        <v>6</v>
      </c>
      <c r="C11" s="34" t="s">
        <v>18</v>
      </c>
      <c r="E11" s="170" t="s">
        <v>17</v>
      </c>
    </row>
    <row r="12" spans="2:5" x14ac:dyDescent="0.25">
      <c r="B12" s="61" t="s">
        <v>8</v>
      </c>
      <c r="C12" s="31" t="s">
        <v>19</v>
      </c>
      <c r="E12" s="170" t="s">
        <v>16</v>
      </c>
    </row>
    <row r="13" spans="2:5" ht="13.8" thickBot="1" x14ac:dyDescent="0.3">
      <c r="B13" s="64" t="s">
        <v>9</v>
      </c>
      <c r="C13" s="32" t="s">
        <v>20</v>
      </c>
      <c r="E13" s="170" t="s">
        <v>15</v>
      </c>
    </row>
    <row r="14" spans="2:5" ht="13.8" thickBot="1" x14ac:dyDescent="0.3"/>
    <row r="15" spans="2:5" ht="16.2" thickBot="1" x14ac:dyDescent="0.4">
      <c r="B15" s="380" t="str">
        <f>"U.S. Environmental Protection Agency Region "&amp;VLOOKUP(C7,'EPA Regional Contact Info'!$A$5:$C$49,3,FALSE)&amp;" Contact"</f>
        <v>U.S. Environmental Protection Agency Region 6 Contact</v>
      </c>
      <c r="C15" s="381"/>
      <c r="E15" s="169" t="s">
        <v>338</v>
      </c>
    </row>
    <row r="16" spans="2:5" x14ac:dyDescent="0.25">
      <c r="B16" s="194" t="s">
        <v>328</v>
      </c>
      <c r="C16" s="195" t="str">
        <f>VLOOKUP($C$7,'EPA Regional Contact Info'!$A$5:$N$49,4,FALSE)</f>
        <v>Bonnie Braganza</v>
      </c>
      <c r="E16" s="170" t="s">
        <v>11</v>
      </c>
    </row>
    <row r="17" spans="2:5" x14ac:dyDescent="0.25">
      <c r="B17" s="196" t="s">
        <v>329</v>
      </c>
      <c r="C17" s="197" t="str">
        <f>VLOOKUP($C$7,'EPA Regional Contact Info'!$A$5:$N$49,5,FALSE)</f>
        <v>214-665-7340</v>
      </c>
      <c r="E17" s="170" t="s">
        <v>339</v>
      </c>
    </row>
    <row r="18" spans="2:5" x14ac:dyDescent="0.25">
      <c r="B18" s="196" t="s">
        <v>330</v>
      </c>
      <c r="C18" s="197" t="str">
        <f>VLOOKUP($C$7,'EPA Regional Contact Info'!$A$5:$N$49,6,FALSE)</f>
        <v>braganza.bonnie@epa.gov</v>
      </c>
      <c r="E18" s="279"/>
    </row>
    <row r="19" spans="2:5" x14ac:dyDescent="0.25">
      <c r="B19" s="196" t="s">
        <v>331</v>
      </c>
      <c r="C19" s="197" t="str">
        <f>VLOOKUP($C$7,'EPA Regional Contact Info'!$A$5:$N$49,7,FALSE)</f>
        <v>None</v>
      </c>
    </row>
    <row r="20" spans="2:5" ht="14.25" customHeight="1" x14ac:dyDescent="0.25">
      <c r="B20" s="196" t="s">
        <v>332</v>
      </c>
      <c r="C20" s="197" t="str">
        <f>IF(VLOOKUP($C$7,'EPA Regional Contact Info'!$A$5:$N$49,8,FALSE)=0,"",VLOOKUP($C$7,'EPA Regional Contact Info'!$A$5:$N$49,8,FALSE))</f>
        <v/>
      </c>
      <c r="E20" s="93" t="s">
        <v>83</v>
      </c>
    </row>
    <row r="21" spans="2:5" ht="14.25" customHeight="1" x14ac:dyDescent="0.25">
      <c r="B21" s="196" t="s">
        <v>333</v>
      </c>
      <c r="C21" s="197" t="str">
        <f>IF(VLOOKUP($C$7,'EPA Regional Contact Info'!$A$5:$N$49,9,FALSE)=0,"",VLOOKUP($C$7,'EPA Regional Contact Info'!$A$5:$N$49,9,FALSE))</f>
        <v/>
      </c>
      <c r="E21" s="92" t="s">
        <v>85</v>
      </c>
    </row>
    <row r="22" spans="2:5" x14ac:dyDescent="0.25">
      <c r="B22" s="237" t="s">
        <v>7</v>
      </c>
      <c r="C22" s="238" t="str">
        <f>"U.S. Environmental Protection Agency Region "&amp;VLOOKUP($C$7,'EPA Regional Contact Info'!$A$5:$C$49,3,FALSE)</f>
        <v>U.S. Environmental Protection Agency Region 6</v>
      </c>
      <c r="E22" s="92" t="s">
        <v>84</v>
      </c>
    </row>
    <row r="23" spans="2:5" ht="15" customHeight="1" x14ac:dyDescent="0.25">
      <c r="B23" s="165"/>
      <c r="C23" s="238" t="str">
        <f>VLOOKUP($C$7,'EPA Regional Contact Info'!$A$5:$N$49,10,FALSE)</f>
        <v>1445 Ross Avenue, Suite 1200</v>
      </c>
      <c r="E23" s="96"/>
    </row>
    <row r="24" spans="2:5" x14ac:dyDescent="0.25">
      <c r="B24" s="165"/>
      <c r="C24" s="238" t="str">
        <f>VLOOKUP($C$7,'EPA Regional Contact Info'!$A$5:$N$49,11,FALSE)</f>
        <v>MC: 6PD</v>
      </c>
      <c r="E24" s="93" t="s">
        <v>93</v>
      </c>
    </row>
    <row r="25" spans="2:5" ht="13.8" thickBot="1" x14ac:dyDescent="0.3">
      <c r="B25" s="166"/>
      <c r="C25" s="239" t="str">
        <f>VLOOKUP($C$7,'EPA Regional Contact Info'!$A$5:$N$49,12,FALSE)&amp;", "&amp;VLOOKUP($C$7,'EPA Regional Contact Info'!$A$5:$N$49,13,FALSE)&amp;" "&amp;VLOOKUP($C$7,'EPA Regional Contact Info'!$A$5:$N$49,14,FALSE)</f>
        <v>Dallas, TX 75202-2733</v>
      </c>
      <c r="E25" s="33" t="s">
        <v>67</v>
      </c>
    </row>
    <row r="26" spans="2:5" ht="13.8" thickBot="1" x14ac:dyDescent="0.3">
      <c r="B26" s="167"/>
      <c r="C26" s="168"/>
      <c r="E26" s="33" t="s">
        <v>88</v>
      </c>
    </row>
    <row r="27" spans="2:5" ht="13.8" thickBot="1" x14ac:dyDescent="0.3">
      <c r="B27" s="383" t="s">
        <v>44</v>
      </c>
      <c r="C27" s="384"/>
      <c r="E27" s="33" t="s">
        <v>68</v>
      </c>
    </row>
    <row r="28" spans="2:5" x14ac:dyDescent="0.25">
      <c r="B28" s="198" t="s">
        <v>59</v>
      </c>
      <c r="C28" s="199" t="s">
        <v>11</v>
      </c>
      <c r="E28" s="33" t="s">
        <v>87</v>
      </c>
    </row>
    <row r="29" spans="2:5" ht="12.75" customHeight="1" x14ac:dyDescent="0.25">
      <c r="B29" s="182"/>
      <c r="C29" s="200"/>
      <c r="E29" s="33" t="s">
        <v>79</v>
      </c>
    </row>
    <row r="30" spans="2:5" ht="14.25" customHeight="1" x14ac:dyDescent="0.25">
      <c r="B30" s="182" t="s">
        <v>343</v>
      </c>
      <c r="C30" s="201" t="s">
        <v>11</v>
      </c>
    </row>
    <row r="31" spans="2:5" x14ac:dyDescent="0.25">
      <c r="B31" s="202"/>
      <c r="C31" s="203"/>
    </row>
    <row r="32" spans="2:5" ht="15.6" x14ac:dyDescent="0.25">
      <c r="B32" s="182" t="s">
        <v>60</v>
      </c>
      <c r="C32" s="201" t="s">
        <v>11</v>
      </c>
      <c r="E32" s="93" t="s">
        <v>94</v>
      </c>
    </row>
    <row r="33" spans="2:5" x14ac:dyDescent="0.25">
      <c r="B33" s="202"/>
      <c r="C33" s="203"/>
      <c r="E33" s="33" t="s">
        <v>67</v>
      </c>
    </row>
    <row r="34" spans="2:5" ht="15.6" x14ac:dyDescent="0.25">
      <c r="B34" s="182" t="s">
        <v>61</v>
      </c>
      <c r="C34" s="201" t="s">
        <v>11</v>
      </c>
      <c r="E34" s="33" t="s">
        <v>88</v>
      </c>
    </row>
    <row r="35" spans="2:5" ht="15" customHeight="1" x14ac:dyDescent="0.25">
      <c r="B35" s="202"/>
      <c r="C35" s="203"/>
      <c r="E35" s="33" t="s">
        <v>68</v>
      </c>
    </row>
    <row r="36" spans="2:5" ht="15.6" x14ac:dyDescent="0.25">
      <c r="B36" s="182" t="s">
        <v>393</v>
      </c>
      <c r="C36" s="201" t="s">
        <v>11</v>
      </c>
      <c r="D36" s="45"/>
      <c r="E36" s="33" t="s">
        <v>87</v>
      </c>
    </row>
    <row r="37" spans="2:5" ht="13.8" thickBot="1" x14ac:dyDescent="0.3">
      <c r="B37" s="204"/>
      <c r="C37" s="205"/>
      <c r="D37" s="45"/>
      <c r="E37" s="94"/>
    </row>
    <row r="38" spans="2:5" ht="16.5" customHeight="1" thickBot="1" x14ac:dyDescent="0.3">
      <c r="B38" s="15"/>
      <c r="C38" s="15"/>
      <c r="E38" s="93" t="str">
        <f>'EPA Regional Contact Info'!A4</f>
        <v>State</v>
      </c>
    </row>
    <row r="39" spans="2:5" ht="12.75" customHeight="1" x14ac:dyDescent="0.25">
      <c r="B39" s="385" t="s">
        <v>128</v>
      </c>
      <c r="C39" s="386"/>
      <c r="E39" s="127" t="str">
        <f>'EPA Regional Contact Info'!A5</f>
        <v>Alabama</v>
      </c>
    </row>
    <row r="40" spans="2:5" ht="27" customHeight="1" x14ac:dyDescent="0.25">
      <c r="B40" s="183" t="s">
        <v>419</v>
      </c>
      <c r="C40" s="280" t="s">
        <v>85</v>
      </c>
      <c r="E40" s="127" t="str">
        <f>'EPA Regional Contact Info'!A6</f>
        <v>Alaska</v>
      </c>
    </row>
    <row r="41" spans="2:5" ht="27" customHeight="1" x14ac:dyDescent="0.25">
      <c r="B41" s="183" t="s">
        <v>453</v>
      </c>
      <c r="C41" s="310">
        <v>0</v>
      </c>
      <c r="E41" s="127" t="str">
        <f>'EPA Regional Contact Info'!A7</f>
        <v>Arizona</v>
      </c>
    </row>
    <row r="42" spans="2:5" ht="33.75" customHeight="1" x14ac:dyDescent="0.25">
      <c r="B42" s="183" t="s">
        <v>454</v>
      </c>
      <c r="C42" s="310">
        <v>0</v>
      </c>
      <c r="E42" s="127" t="str">
        <f>'EPA Regional Contact Info'!A8</f>
        <v>Arkansas</v>
      </c>
    </row>
    <row r="43" spans="2:5" ht="27.75" customHeight="1" thickBot="1" x14ac:dyDescent="0.3">
      <c r="B43" s="184" t="s">
        <v>417</v>
      </c>
      <c r="C43" s="188">
        <v>0</v>
      </c>
      <c r="E43" s="127" t="str">
        <f>'EPA Regional Contact Info'!A9</f>
        <v>California</v>
      </c>
    </row>
    <row r="44" spans="2:5" ht="25.5" customHeight="1" thickBot="1" x14ac:dyDescent="0.3">
      <c r="B44" s="146"/>
      <c r="C44" s="108"/>
      <c r="E44" s="127" t="str">
        <f>'EPA Regional Contact Info'!A10</f>
        <v>Colorado</v>
      </c>
    </row>
    <row r="45" spans="2:5" ht="18.75" customHeight="1" x14ac:dyDescent="0.25">
      <c r="B45" s="378" t="s">
        <v>127</v>
      </c>
      <c r="C45" s="379"/>
      <c r="E45" s="127" t="str">
        <f>'EPA Regional Contact Info'!A11</f>
        <v>Connecticut</v>
      </c>
    </row>
    <row r="46" spans="2:5" ht="15.75" customHeight="1" thickBot="1" x14ac:dyDescent="0.3">
      <c r="B46" s="181" t="s">
        <v>420</v>
      </c>
      <c r="C46" s="188" t="s">
        <v>67</v>
      </c>
      <c r="E46" s="127" t="str">
        <f>'EPA Regional Contact Info'!A12</f>
        <v>Florida</v>
      </c>
    </row>
    <row r="47" spans="2:5" ht="15.75" customHeight="1" thickBot="1" x14ac:dyDescent="0.3">
      <c r="C47" s="95"/>
      <c r="E47" s="127" t="str">
        <f>'EPA Regional Contact Info'!A13</f>
        <v>Georgia</v>
      </c>
    </row>
    <row r="48" spans="2:5" ht="15.75" customHeight="1" x14ac:dyDescent="0.25">
      <c r="B48" s="378" t="s">
        <v>86</v>
      </c>
      <c r="C48" s="379"/>
      <c r="E48" s="127" t="str">
        <f>'EPA Regional Contact Info'!A14</f>
        <v>Hawaii</v>
      </c>
    </row>
    <row r="49" spans="2:5" ht="33.75" customHeight="1" x14ac:dyDescent="0.25">
      <c r="B49" s="376" t="s">
        <v>472</v>
      </c>
      <c r="C49" s="377"/>
      <c r="E49" s="127" t="str">
        <f>'EPA Regional Contact Info'!A15</f>
        <v>Idaho</v>
      </c>
    </row>
    <row r="50" spans="2:5" ht="31.5" customHeight="1" x14ac:dyDescent="0.25">
      <c r="B50" s="179" t="s">
        <v>421</v>
      </c>
      <c r="C50" s="280">
        <v>0</v>
      </c>
      <c r="E50" s="127" t="str">
        <f>'EPA Regional Contact Info'!A16</f>
        <v>Illinois</v>
      </c>
    </row>
    <row r="51" spans="2:5" ht="27" customHeight="1" x14ac:dyDescent="0.25">
      <c r="B51" s="180" t="s">
        <v>418</v>
      </c>
      <c r="C51" s="281" t="s">
        <v>67</v>
      </c>
      <c r="E51" s="127" t="str">
        <f>'EPA Regional Contact Info'!A17</f>
        <v>Indiana</v>
      </c>
    </row>
    <row r="52" spans="2:5" ht="32.25" customHeight="1" x14ac:dyDescent="0.25">
      <c r="B52" s="273" t="str">
        <f>IF(Heater_Fuel&lt;&gt;"Natural Gas","Enter the volume of oil combusted in your heater in calendar year 2012. (in 1000 gal; for example if you combusted 1,000 gallons of oil in your heater, you should enter 1)","Enter the volume of natural gas combusted in your heater in calendar year 2012. (in MMscf)")</f>
        <v>Enter the volume of natural gas combusted in your heater in calendar year 2012. (in MMscf)</v>
      </c>
      <c r="C52" s="281">
        <v>0</v>
      </c>
      <c r="E52" s="127" t="str">
        <f>'EPA Regional Contact Info'!A18</f>
        <v>Iowa</v>
      </c>
    </row>
    <row r="53" spans="2:5" ht="31.5" customHeight="1" x14ac:dyDescent="0.25">
      <c r="B53" s="179" t="str">
        <f>IF(Heater_Fuel&lt;&gt;"Natural Gas","What is the sulfur content (in %) of this fuel? (Enter 0 if unknown)","What is the sulfur content (grains/100 scf) of the natural gas? (Enter 0 if unknown)")</f>
        <v>What is the sulfur content (grains/100 scf) of the natural gas? (Enter 0 if unknown)</v>
      </c>
      <c r="C53" s="280">
        <v>0</v>
      </c>
      <c r="E53" s="127" t="str">
        <f>'EPA Regional Contact Info'!A19</f>
        <v>Kansas</v>
      </c>
    </row>
    <row r="54" spans="2:5" ht="23.25" customHeight="1" thickBot="1" x14ac:dyDescent="0.3">
      <c r="B54" s="274" t="str">
        <f>IF(Heater_Fuel&lt;&gt;"Natural Gas","Actual oil sulfur content (%wt):","Actual natural gas sulfur content (grains/100 scf):")</f>
        <v>Actual natural gas sulfur content (grains/100 scf):</v>
      </c>
      <c r="C54" s="309">
        <f>IF(Heater_Fuel_Sulfur_Content=0,IF(Heater_Fuel="Natural Gas",Natural_Gas_Unc_Sulfur_Content,IF(Heater_Fuel="Oil - Residual",Oil_Residual_Uncontrolled_Sulfur_Content,IF(Heater_Fuel="Oil - Distillate",Oil_Distillate_Registration_Sulfur_Content,IF(Heater_Fuel="Waste Oil",Waste_Oil_Unc_Sulfur_Content,Heater_Fuel_Sulfur_Content)))))</f>
        <v>0.2</v>
      </c>
      <c r="E54" s="127" t="str">
        <f>'EPA Regional Contact Info'!A20</f>
        <v>Kentucky</v>
      </c>
    </row>
    <row r="55" spans="2:5" ht="27" customHeight="1" x14ac:dyDescent="0.25">
      <c r="D55" s="45"/>
      <c r="E55" s="127" t="str">
        <f>'EPA Regional Contact Info'!A21</f>
        <v>Louisiana</v>
      </c>
    </row>
    <row r="56" spans="2:5" ht="20.25" customHeight="1" x14ac:dyDescent="0.25">
      <c r="D56" s="45"/>
      <c r="E56" s="127" t="str">
        <f>'EPA Regional Contact Info'!A22</f>
        <v>Maine</v>
      </c>
    </row>
    <row r="57" spans="2:5" ht="15.75" customHeight="1" x14ac:dyDescent="0.25">
      <c r="B57" s="185"/>
      <c r="C57" s="186"/>
      <c r="E57" s="127" t="str">
        <f>'EPA Regional Contact Info'!A23</f>
        <v>Massachusetts</v>
      </c>
    </row>
    <row r="58" spans="2:5" ht="16.5" customHeight="1" x14ac:dyDescent="0.25">
      <c r="B58" s="185"/>
      <c r="C58" s="186"/>
      <c r="E58" s="127" t="str">
        <f>'EPA Regional Contact Info'!A24</f>
        <v>Michigan</v>
      </c>
    </row>
    <row r="59" spans="2:5" ht="16.5" customHeight="1" x14ac:dyDescent="0.25">
      <c r="B59" s="187"/>
      <c r="C59" s="186"/>
      <c r="E59" s="127" t="str">
        <f>'EPA Regional Contact Info'!A25</f>
        <v>Minnesota</v>
      </c>
    </row>
    <row r="60" spans="2:5" ht="20.25" customHeight="1" x14ac:dyDescent="0.25">
      <c r="B60" s="187"/>
      <c r="C60" s="186"/>
      <c r="E60" s="127" t="str">
        <f>'EPA Regional Contact Info'!A26</f>
        <v>Mississippi</v>
      </c>
    </row>
    <row r="61" spans="2:5" x14ac:dyDescent="0.25">
      <c r="E61" s="127" t="str">
        <f>'EPA Regional Contact Info'!A27</f>
        <v>Missouri</v>
      </c>
    </row>
    <row r="62" spans="2:5" ht="25.5" customHeight="1" x14ac:dyDescent="0.25">
      <c r="E62" s="127" t="str">
        <f>'EPA Regional Contact Info'!A28</f>
        <v>Montana</v>
      </c>
    </row>
    <row r="63" spans="2:5" ht="20.25" customHeight="1" x14ac:dyDescent="0.25">
      <c r="E63" s="127" t="str">
        <f>'EPA Regional Contact Info'!A29</f>
        <v>Nebraska</v>
      </c>
    </row>
    <row r="64" spans="2:5" ht="25.5" customHeight="1" x14ac:dyDescent="0.25">
      <c r="E64" s="127" t="str">
        <f>'EPA Regional Contact Info'!A30</f>
        <v>Nevada</v>
      </c>
    </row>
    <row r="65" spans="4:5" ht="26.25" customHeight="1" x14ac:dyDescent="0.25">
      <c r="E65" s="127" t="str">
        <f>'EPA Regional Contact Info'!A31</f>
        <v>New Hampshire</v>
      </c>
    </row>
    <row r="66" spans="4:5" ht="24.75" customHeight="1" x14ac:dyDescent="0.25">
      <c r="E66" s="127" t="str">
        <f>'EPA Regional Contact Info'!A32</f>
        <v>New Jersey</v>
      </c>
    </row>
    <row r="67" spans="4:5" ht="27" customHeight="1" x14ac:dyDescent="0.25">
      <c r="E67" s="127" t="str">
        <f>'EPA Regional Contact Info'!A33</f>
        <v>New Mexico</v>
      </c>
    </row>
    <row r="68" spans="4:5" ht="28.5" customHeight="1" x14ac:dyDescent="0.25">
      <c r="E68" s="127" t="str">
        <f>'EPA Regional Contact Info'!A34</f>
        <v>New York</v>
      </c>
    </row>
    <row r="69" spans="4:5" ht="24.75" customHeight="1" x14ac:dyDescent="0.25">
      <c r="E69" s="127" t="str">
        <f>'EPA Regional Contact Info'!A35</f>
        <v>North Carolina</v>
      </c>
    </row>
    <row r="70" spans="4:5" ht="29.25" customHeight="1" x14ac:dyDescent="0.25">
      <c r="E70" s="127" t="str">
        <f>'EPA Regional Contact Info'!A36</f>
        <v>North Dakota</v>
      </c>
    </row>
    <row r="71" spans="4:5" ht="33" customHeight="1" x14ac:dyDescent="0.25">
      <c r="E71" s="127" t="str">
        <f>'EPA Regional Contact Info'!A37</f>
        <v>Ohio</v>
      </c>
    </row>
    <row r="72" spans="4:5" ht="37.5" customHeight="1" x14ac:dyDescent="0.25">
      <c r="E72" s="127" t="str">
        <f>'EPA Regional Contact Info'!A38</f>
        <v>Oklahoma</v>
      </c>
    </row>
    <row r="73" spans="4:5" ht="31.5" customHeight="1" x14ac:dyDescent="0.25">
      <c r="E73" s="127" t="str">
        <f>'EPA Regional Contact Info'!A39</f>
        <v>Oregon</v>
      </c>
    </row>
    <row r="74" spans="4:5" ht="34.5" customHeight="1" x14ac:dyDescent="0.25">
      <c r="E74" s="127" t="str">
        <f>'EPA Regional Contact Info'!A40</f>
        <v>Rhode Island</v>
      </c>
    </row>
    <row r="75" spans="4:5" ht="45.75" customHeight="1" x14ac:dyDescent="0.25">
      <c r="E75" s="127" t="str">
        <f>'EPA Regional Contact Info'!A41</f>
        <v>South Carolina</v>
      </c>
    </row>
    <row r="76" spans="4:5" ht="29.25" customHeight="1" x14ac:dyDescent="0.25">
      <c r="E76" s="127" t="str">
        <f>'EPA Regional Contact Info'!A42</f>
        <v>South Dakota</v>
      </c>
    </row>
    <row r="77" spans="4:5" ht="12.75" customHeight="1" x14ac:dyDescent="0.25">
      <c r="D77" s="96"/>
      <c r="E77" s="127" t="str">
        <f>'EPA Regional Contact Info'!A43</f>
        <v>Tennessee</v>
      </c>
    </row>
    <row r="78" spans="4:5" ht="30" customHeight="1" x14ac:dyDescent="0.25">
      <c r="D78" s="96"/>
      <c r="E78" s="127" t="str">
        <f>'EPA Regional Contact Info'!A44</f>
        <v>Texas</v>
      </c>
    </row>
    <row r="79" spans="4:5" ht="27" customHeight="1" x14ac:dyDescent="0.25">
      <c r="D79" s="96"/>
      <c r="E79" s="127" t="str">
        <f>'EPA Regional Contact Info'!A45</f>
        <v>Utah</v>
      </c>
    </row>
    <row r="80" spans="4:5" x14ac:dyDescent="0.25">
      <c r="D80" s="96"/>
      <c r="E80" s="127" t="str">
        <f>'EPA Regional Contact Info'!A46</f>
        <v>Vermont</v>
      </c>
    </row>
    <row r="81" spans="4:5" x14ac:dyDescent="0.25">
      <c r="D81" s="96"/>
      <c r="E81" s="127" t="str">
        <f>'EPA Regional Contact Info'!A47</f>
        <v>Washington</v>
      </c>
    </row>
    <row r="82" spans="4:5" x14ac:dyDescent="0.25">
      <c r="D82" s="96"/>
      <c r="E82" s="127" t="str">
        <f>'EPA Regional Contact Info'!A48</f>
        <v>Wisconsin</v>
      </c>
    </row>
    <row r="83" spans="4:5" ht="12.75" customHeight="1" x14ac:dyDescent="0.25">
      <c r="E83" s="127" t="str">
        <f>'EPA Regional Contact Info'!A49</f>
        <v>Wyoming</v>
      </c>
    </row>
  </sheetData>
  <sheetProtection password="C969" sheet="1" objects="1" scenarios="1"/>
  <dataConsolidate/>
  <mergeCells count="8">
    <mergeCell ref="B49:C49"/>
    <mergeCell ref="B48:C48"/>
    <mergeCell ref="B15:C15"/>
    <mergeCell ref="B45:C45"/>
    <mergeCell ref="B3:C3"/>
    <mergeCell ref="B10:C10"/>
    <mergeCell ref="B27:C27"/>
    <mergeCell ref="B39:C39"/>
  </mergeCells>
  <conditionalFormatting sqref="B52:C53">
    <cfRule type="expression" dxfId="10" priority="2">
      <formula>$C$51="Electricity"</formula>
    </cfRule>
  </conditionalFormatting>
  <conditionalFormatting sqref="B54:C54">
    <cfRule type="expression" dxfId="9" priority="1">
      <formula>$C$51="Electricity"</formula>
    </cfRule>
  </conditionalFormatting>
  <dataValidations xWindow="733" yWindow="480" count="17">
    <dataValidation type="list" allowBlank="1" showInputMessage="1" showErrorMessage="1" promptTitle="Mix Operation" prompt="If your facility used a continuously operating mix in 2012, select Drum Mix. If your facility measured out a specified amount  of material and then mixed it in 2012, select Batch Mix." sqref="C40">
      <formula1>Facility_Type_List</formula1>
    </dataValidation>
    <dataValidation type="decimal" allowBlank="1" showInputMessage="1" showErrorMessage="1" error="Sulfur content must be a percentage between 0 and 100." promptTitle="Fuel Sulfur Content" prompt="Sulfur content of the fuel. If 0 is entered in the field above, a default value will be used to estimate actual emissions." sqref="C54">
      <formula1>0</formula1>
      <formula2>100</formula2>
    </dataValidation>
    <dataValidation type="decimal" allowBlank="1" showInputMessage="1" showErrorMessage="1" error="Hours of operation per week must be a number between 0 and 168." prompt="Enter an estimate of the average number of hours per week that your facility mixes asphalt." sqref="C44">
      <formula1>0</formula1>
      <formula2>168</formula2>
    </dataValidation>
    <dataValidation type="list" allowBlank="1" showInputMessage="1" showErrorMessage="1" promptTitle="Heater Fuel" prompt="Use the drop-down list to select the fuel used for your facility's heater in 2012." sqref="C51">
      <formula1>Heater_Fuel_List</formula1>
    </dataValidation>
    <dataValidation allowBlank="1" showInputMessage="1" showErrorMessage="1" promptTitle="Average Asphalt Production Rate" prompt="Enter an estimate of the average tons of hot mix asphalt that your facility produced per hour in 2012." sqref="C41"/>
    <dataValidation type="decimal" allowBlank="1" showInputMessage="1" showErrorMessage="1" errorTitle="Value Out of Range" error="Sulfur content must be a percentage between 0 and 100." promptTitle="Fuel Sulfur Content" prompt="Enter the sulfur content of the fuel, if you have this information. If you do not, enter 0. " sqref="C53">
      <formula1>0</formula1>
      <formula2>100</formula2>
    </dataValidation>
    <dataValidation type="list" allowBlank="1" showInputMessage="1" showErrorMessage="1" promptTitle="Dryer Fuel" prompt="Use the drop-down list to select the fuel used for your facility's dryer in 2012." sqref="C46">
      <formula1>Dryer_Fuel_List</formula1>
    </dataValidation>
    <dataValidation type="list" allowBlank="1" showInputMessage="1" showErrorMessage="1" promptTitle="Ozone Attainment Status" prompt="Select the 1997 8-Hr ozone attainment status of the air basin in which your facility is located." sqref="C30">
      <formula1>Ozone_Attainment_List</formula1>
    </dataValidation>
    <dataValidation type="list" allowBlank="1" showInputMessage="1" showErrorMessage="1" promptTitle="CO Attainment Status" prompt="Select the CO attainment status of the air basin in which your facility is located." sqref="C28">
      <formula1>CO_PM10_Attainment_List</formula1>
    </dataValidation>
    <dataValidation type="list" allowBlank="1" showInputMessage="1" showErrorMessage="1" promptTitle="PM2.5 Attainment Status" prompt="Select the PM2.5 attainment status of the air basin in which your facility is located. If either the 1997 or 2006 PM2.5 standard is in nonattainment, select nonattainment." sqref="C36">
      <formula1>SO2_PM25_Attainment_List</formula1>
    </dataValidation>
    <dataValidation type="list" allowBlank="1" showInputMessage="1" showErrorMessage="1" promptTitle="PM10 Attainment Status" prompt="Select the PM10 attainment status of the air basin in which your facility is located." sqref="C34">
      <formula1>CO_PM10_Attainment_List</formula1>
    </dataValidation>
    <dataValidation type="list" allowBlank="1" showInputMessage="1" showErrorMessage="1" promptTitle="SO2 Attainment Status" prompt="Select the SO2 attainment status of the air basin in which your facility is located." sqref="C32">
      <formula1>SO2_PM25_Attainment_List</formula1>
    </dataValidation>
    <dataValidation allowBlank="1" showInputMessage="1" showErrorMessage="1" promptTitle="Heater Capacity" prompt="Enter the capacity of your heater in million British thermal units per hour (MMBtu/hr)." sqref="C50"/>
    <dataValidation type="list" allowBlank="1" showInputMessage="1" showErrorMessage="1" promptTitle="State Selection" prompt="Use the drop-down list to select the state in which your facility resides. To access the drop-down list, click on the small box to the right of the cell." sqref="C7">
      <formula1>State_List</formula1>
    </dataValidation>
    <dataValidation type="decimal" allowBlank="1" showInputMessage="1" showErrorMessage="1" error="Hours of operation per week must be a number between 0 and 168." promptTitle="Operational Hours in 2012" prompt="Enter an estimate of the average number of hours per week that your facility mixed asphalt in 2012." sqref="C43">
      <formula1>0</formula1>
      <formula2>168</formula2>
    </dataValidation>
    <dataValidation allowBlank="1" showInputMessage="1" showErrorMessage="1" promptTitle="Heater Fuel Consumption in 2012" prompt="Enter the quantity of fuel combusted in your heater in calendar year 2012. The units should match the units listed in cell B51._x000a__x000a_MMscf = million standard cubic feet_x000a_1000 gal = thousand gallons" sqref="C52"/>
    <dataValidation type="decimal" operator="greaterThanOrEqual" allowBlank="1" showInputMessage="1" showErrorMessage="1" errorTitle="Value Out of Range" error="Maximum hourly asphalt production capacity must be greater than or equal to the average hourly asphalt production rate entered above." promptTitle="Max Asphalt Production Capacity" prompt="Enter an estimate of the maximum tons of hot mix asphalt that your facility could have produced per hour in 2012." sqref="C42">
      <formula1>Hourly_Production_Average</formula1>
    </dataValidation>
  </dataValidations>
  <pageMargins left="0.7" right="0.7" top="0.75" bottom="0.75" header="0.3" footer="0.3"/>
  <pageSetup scale="67" orientation="landscape" r:id="rId1"/>
  <headerFooter>
    <oddFooter>&amp;LPage &amp;P of &amp;N&amp;C&amp;F&amp;RPrinted &amp;D</oddFooter>
  </headerFooter>
  <rowBreaks count="1" manualBreakCount="1">
    <brk id="47" max="2" man="1"/>
  </rowBreaks>
  <ignoredErrors>
    <ignoredError sqref="C54"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7"/>
  <sheetViews>
    <sheetView showGridLines="0" zoomScaleNormal="100" workbookViewId="0"/>
  </sheetViews>
  <sheetFormatPr defaultColWidth="9.109375" defaultRowHeight="13.2" x14ac:dyDescent="0.25"/>
  <cols>
    <col min="1" max="1" width="2.5546875" style="14" customWidth="1"/>
    <col min="2" max="2" width="48" style="14" customWidth="1"/>
    <col min="3" max="11" width="9.109375" style="14"/>
    <col min="12" max="12" width="26.109375" style="14" hidden="1" customWidth="1"/>
    <col min="13" max="16384" width="9.109375" style="14"/>
  </cols>
  <sheetData>
    <row r="1" spans="2:12" ht="17.399999999999999" x14ac:dyDescent="0.3">
      <c r="B1" s="178" t="s">
        <v>392</v>
      </c>
    </row>
    <row r="2" spans="2:12" ht="13.8" thickBot="1" x14ac:dyDescent="0.3"/>
    <row r="3" spans="2:12" s="279" customFormat="1" ht="13.8" thickBot="1" x14ac:dyDescent="0.3">
      <c r="B3" s="345" t="s">
        <v>455</v>
      </c>
      <c r="C3" s="346"/>
      <c r="D3" s="346"/>
      <c r="E3" s="346"/>
      <c r="F3" s="346"/>
      <c r="G3" s="346"/>
      <c r="H3" s="346"/>
      <c r="I3" s="347"/>
      <c r="L3" s="288" t="s">
        <v>457</v>
      </c>
    </row>
    <row r="4" spans="2:12" s="279" customFormat="1" ht="41.25" customHeight="1" x14ac:dyDescent="0.25">
      <c r="B4" s="395" t="s">
        <v>458</v>
      </c>
      <c r="C4" s="396"/>
      <c r="D4" s="396"/>
      <c r="E4" s="396"/>
      <c r="F4" s="397" t="s">
        <v>55</v>
      </c>
      <c r="G4" s="398"/>
      <c r="H4" s="398"/>
      <c r="I4" s="399"/>
      <c r="L4" s="283" t="s">
        <v>54</v>
      </c>
    </row>
    <row r="5" spans="2:12" s="279" customFormat="1" ht="42" customHeight="1" x14ac:dyDescent="0.25">
      <c r="B5" s="400" t="s">
        <v>466</v>
      </c>
      <c r="C5" s="401"/>
      <c r="D5" s="401"/>
      <c r="E5" s="402"/>
      <c r="F5" s="403">
        <v>0</v>
      </c>
      <c r="G5" s="403"/>
      <c r="H5" s="403"/>
      <c r="I5" s="404"/>
      <c r="L5" s="284" t="s">
        <v>55</v>
      </c>
    </row>
    <row r="6" spans="2:12" s="279" customFormat="1" ht="45.75" customHeight="1" thickBot="1" x14ac:dyDescent="0.3">
      <c r="B6" s="405" t="s">
        <v>465</v>
      </c>
      <c r="C6" s="406"/>
      <c r="D6" s="406"/>
      <c r="E6" s="407"/>
      <c r="F6" s="408">
        <v>0</v>
      </c>
      <c r="G6" s="409"/>
      <c r="H6" s="409"/>
      <c r="I6" s="410"/>
    </row>
    <row r="7" spans="2:12" s="279" customFormat="1" ht="15.6" x14ac:dyDescent="0.35">
      <c r="L7" s="288" t="s">
        <v>462</v>
      </c>
    </row>
    <row r="8" spans="2:12" s="279" customFormat="1" ht="13.8" thickBot="1" x14ac:dyDescent="0.3">
      <c r="L8" s="286">
        <f>1-(F6/100)</f>
        <v>1</v>
      </c>
    </row>
    <row r="9" spans="2:12" s="279" customFormat="1" ht="13.8" thickBot="1" x14ac:dyDescent="0.3">
      <c r="B9" s="285" t="s">
        <v>456</v>
      </c>
      <c r="C9" s="300"/>
      <c r="D9" s="301"/>
      <c r="E9" s="301"/>
      <c r="F9" s="301"/>
      <c r="G9" s="301"/>
      <c r="H9" s="301"/>
      <c r="I9" s="302"/>
      <c r="L9" s="289"/>
    </row>
    <row r="10" spans="2:12" s="279" customFormat="1" ht="55.5" customHeight="1" thickBot="1" x14ac:dyDescent="0.4">
      <c r="B10" s="387" t="s">
        <v>471</v>
      </c>
      <c r="C10" s="388"/>
      <c r="D10" s="388"/>
      <c r="E10" s="388"/>
      <c r="F10" s="388"/>
      <c r="G10" s="388"/>
      <c r="H10" s="388"/>
      <c r="I10" s="389"/>
      <c r="L10" s="288" t="s">
        <v>463</v>
      </c>
    </row>
    <row r="11" spans="2:12" ht="38.25" customHeight="1" thickBot="1" x14ac:dyDescent="0.3">
      <c r="B11" s="390" t="s">
        <v>459</v>
      </c>
      <c r="C11" s="391"/>
      <c r="D11" s="391"/>
      <c r="E11" s="392"/>
      <c r="F11" s="393">
        <v>0</v>
      </c>
      <c r="G11" s="393"/>
      <c r="H11" s="393"/>
      <c r="I11" s="394"/>
      <c r="L11" s="286">
        <f>1-F5/100</f>
        <v>1</v>
      </c>
    </row>
    <row r="12" spans="2:12" x14ac:dyDescent="0.25">
      <c r="L12" s="279"/>
    </row>
    <row r="13" spans="2:12" ht="39.6" x14ac:dyDescent="0.25">
      <c r="L13" s="287" t="s">
        <v>460</v>
      </c>
    </row>
    <row r="14" spans="2:12" x14ac:dyDescent="0.25">
      <c r="L14" s="286" t="str">
        <f>IF(F11=0,"not applicable",IF(Facility_Type="Drum Mix",90*F11*0.00000000110231*Production_Hours*52*'Emission Factors'!D10/'Emission Factors'!D9,90*F11*0.00000000110231*Production_Hours*52*'Emission Factors'!D39/'Emission Factors'!D38))</f>
        <v>not applicable</v>
      </c>
    </row>
    <row r="16" spans="2:12" ht="39.6" x14ac:dyDescent="0.25">
      <c r="L16" s="287" t="s">
        <v>461</v>
      </c>
    </row>
    <row r="17" spans="12:12" x14ac:dyDescent="0.25">
      <c r="L17" s="286" t="str">
        <f>IF(F11=0,"not applicable",IF(Facility_Type="Drum Mix",90*F11*0.00000000110231*8760*'Emission Factors'!D10/'Emission Factors'!D9,90*F11*0.00000000110231*8760*'Emission Factors'!D39/'Emission Factors'!D38))</f>
        <v>not applicable</v>
      </c>
    </row>
  </sheetData>
  <sheetProtection password="C969" sheet="1" objects="1" scenarios="1"/>
  <mergeCells count="10">
    <mergeCell ref="B10:I10"/>
    <mergeCell ref="B11:E11"/>
    <mergeCell ref="F11:I11"/>
    <mergeCell ref="B3:I3"/>
    <mergeCell ref="B4:E4"/>
    <mergeCell ref="F4:I4"/>
    <mergeCell ref="B5:E5"/>
    <mergeCell ref="F5:I5"/>
    <mergeCell ref="B6:E6"/>
    <mergeCell ref="F6:I6"/>
  </mergeCells>
  <conditionalFormatting sqref="B5:I6">
    <cfRule type="expression" dxfId="8" priority="17">
      <formula>#REF!="None"</formula>
    </cfRule>
  </conditionalFormatting>
  <dataValidations count="4">
    <dataValidation type="decimal" allowBlank="1" showInputMessage="1" showErrorMessage="1" errorTitle="Value Out of Range" error="Control efficiency must be between 0 and 100." promptTitle="SO2 Control Efficiency" prompt="If your heater was equipped with a SO2 control device in calendar year 2012, enter the control efficiency (% reduction) of the device. If your heater did not have a SO2 control device, enter 0." sqref="F6:I6">
      <formula1>0</formula1>
      <formula2>100</formula2>
    </dataValidation>
    <dataValidation type="decimal" allowBlank="1" showInputMessage="1" showErrorMessage="1" errorTitle="Value Out of Range" error="Control efficiency must be between 0 and 100." promptTitle="NOx Control Efficiency" prompt="If your heater was equipped with a NOx control device in calendar year 2012, enter the control efficiency (% reduction) of the device. If your heater did not have a NOx control device, enter 0." sqref="F5:I5">
      <formula1>0</formula1>
      <formula2>100</formula2>
    </dataValidation>
    <dataValidation type="list" allowBlank="1" showInputMessage="1" showErrorMessage="1" promptTitle="PM Controls" prompt="Select whether your facility used particulate matter control devices on exhaust vents at your facility in calendar year 2012. " sqref="F4:I4">
      <formula1>PM_Control_Yes_No_List</formula1>
    </dataValidation>
    <dataValidation allowBlank="1" showInputMessage="1" showErrorMessage="1" promptTitle="Exhaust Gas Flow Rate" prompt="Enter the flow rate of gas per hour in dry standard cubic meters from your drum or batch mix operations. Enter 0 if unknown or not applicable." sqref="F11:I11"/>
  </dataValidations>
  <pageMargins left="0.7" right="0.7" top="0.75" bottom="0.75" header="0.3" footer="0.3"/>
  <pageSetup scale="85" orientation="landscape" r:id="rId1"/>
  <headerFooter>
    <oddFooter>&amp;LPage &amp;P of &amp;N&amp;C&amp;F&amp;RPrinted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4"/>
  <sheetViews>
    <sheetView showGridLines="0" zoomScaleNormal="100" workbookViewId="0"/>
  </sheetViews>
  <sheetFormatPr defaultColWidth="9.109375" defaultRowHeight="13.2" x14ac:dyDescent="0.25"/>
  <cols>
    <col min="1" max="1" width="3.33203125" style="14" customWidth="1"/>
    <col min="2" max="2" width="33.44140625" style="14" bestFit="1" customWidth="1"/>
    <col min="3" max="3" width="16.33203125" style="14" customWidth="1"/>
    <col min="4" max="4" width="15.33203125" style="14" customWidth="1"/>
    <col min="5" max="5" width="15.6640625" style="14" customWidth="1"/>
    <col min="6" max="6" width="15.5546875" style="14" customWidth="1"/>
    <col min="7" max="7" width="15.44140625" style="14" customWidth="1"/>
    <col min="8" max="8" width="16.88671875" style="14" customWidth="1"/>
    <col min="9" max="16384" width="9.109375" style="14"/>
  </cols>
  <sheetData>
    <row r="1" spans="2:11" ht="17.399999999999999" x14ac:dyDescent="0.3">
      <c r="B1" s="178" t="s">
        <v>150</v>
      </c>
    </row>
    <row r="2" spans="2:11" ht="13.8" thickBot="1" x14ac:dyDescent="0.3"/>
    <row r="3" spans="2:11" ht="13.8" thickBot="1" x14ac:dyDescent="0.3">
      <c r="B3" s="411" t="s">
        <v>400</v>
      </c>
      <c r="C3" s="412"/>
      <c r="D3" s="412"/>
      <c r="E3" s="412"/>
      <c r="F3" s="412"/>
      <c r="G3" s="412"/>
      <c r="H3" s="413"/>
    </row>
    <row r="4" spans="2:11" ht="16.2" thickBot="1" x14ac:dyDescent="0.4">
      <c r="B4" s="210" t="s">
        <v>345</v>
      </c>
      <c r="C4" s="211" t="s">
        <v>62</v>
      </c>
      <c r="D4" s="212" t="s">
        <v>63</v>
      </c>
      <c r="E4" s="212" t="s">
        <v>64</v>
      </c>
      <c r="F4" s="212" t="s">
        <v>3</v>
      </c>
      <c r="G4" s="212" t="s">
        <v>65</v>
      </c>
      <c r="H4" s="213" t="s">
        <v>66</v>
      </c>
    </row>
    <row r="5" spans="2:11" x14ac:dyDescent="0.25">
      <c r="B5" s="208" t="s">
        <v>96</v>
      </c>
      <c r="C5" s="214">
        <f>IF(Heater_Fuel = "Electricity",0,Heater_Fuel_Combusted*VLOOKUP(Heater_Fuel&amp;"CO",'Emission Factors'!$C$63:$E$97,2,0)*Production_Hours*52*(1/2000))</f>
        <v>0</v>
      </c>
      <c r="D5" s="214">
        <f>IF(Heater_Fuel = "Electricity", 0, Heater_Fuel_Combusted*VLOOKUP(Heater_Fuel&amp;"NOx",'Emission Factors'!$C$63:$E$97,2,0)*Production_Hours*52*(1/2000))*NOx_Control_Multiplier</f>
        <v>0</v>
      </c>
      <c r="E5" s="214">
        <f>IF(Heater_Fuel = "Electricity", 0, Heater_Fuel_Combusted*VLOOKUP(Heater_Fuel&amp;"SO2",'Emission Factors'!$C$63:$E$97,2,0)*Production_Hours*52*(1/2000))*SO2_Control_Multiplier</f>
        <v>0</v>
      </c>
      <c r="F5" s="214">
        <f>IF(Heater_Fuel = "Electricity", 0, Heater_Fuel_Combusted*VLOOKUP(Heater_Fuel&amp;"VOC",'Emission Factors'!$C$63:$E$97,2,0)*Production_Hours*52*(1/2000))</f>
        <v>0</v>
      </c>
      <c r="G5" s="214">
        <f>IF(Heater_Fuel = "Electricity", 0, Heater_Fuel_Combusted*VLOOKUP(Heater_Fuel&amp;"PM10",'Emission Factors'!$C$63:$E$97,2,0)*Production_Hours*52*(1/2000))</f>
        <v>0</v>
      </c>
      <c r="H5" s="215">
        <f>IF(Heater_Fuel = "Electricity", 0, Heater_Fuel_Combusted*VLOOKUP(Heater_Fuel&amp;"PM2.5",'Emission Factors'!$C$63:$E$97,2,0)*Production_Hours*52*(1/2000))</f>
        <v>0</v>
      </c>
    </row>
    <row r="6" spans="2:11" ht="13.8" thickBot="1" x14ac:dyDescent="0.3">
      <c r="B6" s="209" t="s">
        <v>130</v>
      </c>
      <c r="C6" s="216">
        <f>IF(Facility_Type="Drum Mix",VLOOKUP(Dryer_Fuel&amp;"CO",'Emission Factors'!$C$5:$E$32,2,0)*Hourly_Production_Average*Production_Hours*52*(1/2000),VLOOKUP(Dryer_Fuel&amp;"CO",'Emission Factors'!$C$34:$E$61,2,0)*Hourly_Production_Average*Production_Hours*52*(1/2000))</f>
        <v>0</v>
      </c>
      <c r="D6" s="216">
        <f>IF(Facility_Type="Drum Mix",VLOOKUP(Dryer_Fuel&amp;"NOx",'Emission Factors'!$C$5:$E$32,2,0)*Hourly_Production_Average*Production_Hours*52*(1/2000),VLOOKUP(Dryer_Fuel&amp;"NOx",'Emission Factors'!$C$34:$E$61,2,0)*Hourly_Production_Average*Production_Hours*52*(1/2000))</f>
        <v>0</v>
      </c>
      <c r="E6" s="216">
        <f>IF(Facility_Type="Drum Mix",VLOOKUP(Dryer_Fuel&amp;"SO2",'Emission Factors'!$C$5:$E$32,2,0)*Hourly_Production_Average*Production_Hours*52*(1/2000),VLOOKUP(Dryer_Fuel&amp;"SO2",'Emission Factors'!$C$34:$E$61,2,0)*Hourly_Production_Average*Production_Hours*52*(1/2000))</f>
        <v>0</v>
      </c>
      <c r="F6" s="216">
        <f>IF(Facility_Type="Drum Mix",VLOOKUP(Dryer_Fuel&amp;"VOC",'Emission Factors'!$C$5:$E$32,2,0)*Hourly_Production_Average*Production_Hours*52*(1/2000),VLOOKUP(Dryer_Fuel&amp;"VOC",'Emission Factors'!$C$34:$E$61,2,0)*Hourly_Production_Average*Production_Hours*52*(1/2000))</f>
        <v>0</v>
      </c>
      <c r="G6" s="216">
        <f>IF(G13&lt;IF('Controls and Restrictions'!F4="No",IF(Facility_Type="Drum Mix",VLOOKUP(Dryer_Fuel&amp;"PM10",'Emission Factors'!$C$5:$E$32,2,0)*Hourly_Production_Average*Production_Hours*52*(1/2000),VLOOKUP(Dryer_Fuel&amp;"PM10",'Emission Factors'!$C$34:$E$61,2,0)*Hourly_Production_Average*Production_Hours*52*(1/2000)),IF(Facility_Type="Drum Mix",VLOOKUP(Dryer_Fuel&amp;"PM10",'Emission Factors'!$C$5:$F$32,4,0)*Hourly_Production_Average*Production_Hours*52*(1/2000),VLOOKUP(Dryer_Fuel&amp;"PM10",'Emission Factors'!$C$34:$F$61,4,0)*Hourly_Production_Average*Production_Hours*52*(1/2000))),G13,IF('Controls and Restrictions'!F4="No",IF(Facility_Type="Drum Mix",VLOOKUP(Dryer_Fuel&amp;"PM10",'Emission Factors'!$C$5:$E$32,2,0)*Hourly_Production_Average*Production_Hours*52*(1/2000),VLOOKUP(Dryer_Fuel&amp;"PM10",'Emission Factors'!$C$34:$E$61,2,0)*Hourly_Production_Average*Production_Hours*52*(1/2000)),IF(Facility_Type="Drum Mix",VLOOKUP(Dryer_Fuel&amp;"PM10",'Emission Factors'!$C$5:$F$32,4,0)*Hourly_Production_Average*Production_Hours*52*(1/2000),VLOOKUP(Dryer_Fuel&amp;"PM10",'Emission Factors'!$C$34:$F$61,4,0)*Hourly_Production_Average*Production_Hours*52*(1/2000))))</f>
        <v>0</v>
      </c>
      <c r="H6" s="217">
        <f>IF(H13&lt;IF('Controls and Restrictions'!F4="No",IF(Facility_Type="Drum Mix",VLOOKUP(Dryer_Fuel&amp;"PM2.5",'Emission Factors'!$C$5:$E$32,2,0)*Hourly_Production_Average*Production_Hours*52*(1/2000),VLOOKUP(Dryer_Fuel&amp;"PM2.5",'Emission Factors'!$C$34:$E$61,2,0)*Hourly_Production_Average*Production_Hours*52*(1/2000)),IF(Facility_Type="Drum Mix",VLOOKUP(Dryer_Fuel&amp;"PM2.5",'Emission Factors'!$C$5:$F$32,4,0)*Hourly_Production_Average*Production_Hours*52*(1/2000),VLOOKUP(Dryer_Fuel&amp;"PM2.5",'Emission Factors'!$C$34:$F$61,4,0)*Hourly_Production_Average*Production_Hours*52*(1/2000))),H13,IF('Controls and Restrictions'!F4="No",IF(Facility_Type="Drum Mix",VLOOKUP(Dryer_Fuel&amp;"PM2.5",'Emission Factors'!$C$5:$E$32,2,0)*Hourly_Production_Average*Production_Hours*52*(1/2000),VLOOKUP(Dryer_Fuel&amp;"PM2.5",'Emission Factors'!$C$34:$E$61,2,0)*Hourly_Production_Average*Production_Hours*52*(1/2000)),IF(Facility_Type="Drum Mix",VLOOKUP(Dryer_Fuel&amp;"PM2.5",'Emission Factors'!$C$5:$F$32,4,0)*Hourly_Production_Average*Production_Hours*52*(1/2000),VLOOKUP(Dryer_Fuel&amp;"PM2.5",'Emission Factors'!$C$34:$F$61,4,0)*Hourly_Production_Average*Production_Hours*52*(1/2000))))</f>
        <v>0</v>
      </c>
      <c r="K6" s="271"/>
    </row>
    <row r="7" spans="2:11" ht="13.8" thickBot="1" x14ac:dyDescent="0.3">
      <c r="B7" s="207" t="s">
        <v>358</v>
      </c>
      <c r="C7" s="220">
        <f t="shared" ref="C7:H7" si="0">SUM(C5:C6)</f>
        <v>0</v>
      </c>
      <c r="D7" s="220">
        <f t="shared" si="0"/>
        <v>0</v>
      </c>
      <c r="E7" s="220">
        <f t="shared" si="0"/>
        <v>0</v>
      </c>
      <c r="F7" s="220">
        <f t="shared" si="0"/>
        <v>0</v>
      </c>
      <c r="G7" s="220">
        <f t="shared" si="0"/>
        <v>0</v>
      </c>
      <c r="H7" s="221">
        <f t="shared" si="0"/>
        <v>0</v>
      </c>
    </row>
    <row r="9" spans="2:11" ht="13.8" thickBot="1" x14ac:dyDescent="0.3"/>
    <row r="10" spans="2:11" ht="13.8" thickBot="1" x14ac:dyDescent="0.3">
      <c r="B10" s="411" t="s">
        <v>401</v>
      </c>
      <c r="C10" s="412"/>
      <c r="D10" s="412"/>
      <c r="E10" s="412"/>
      <c r="F10" s="412"/>
      <c r="G10" s="412"/>
      <c r="H10" s="413"/>
    </row>
    <row r="11" spans="2:11" ht="16.2" thickBot="1" x14ac:dyDescent="0.4">
      <c r="B11" s="210" t="s">
        <v>345</v>
      </c>
      <c r="C11" s="212" t="s">
        <v>62</v>
      </c>
      <c r="D11" s="212" t="s">
        <v>63</v>
      </c>
      <c r="E11" s="212" t="s">
        <v>64</v>
      </c>
      <c r="F11" s="212" t="s">
        <v>3</v>
      </c>
      <c r="G11" s="212" t="s">
        <v>65</v>
      </c>
      <c r="H11" s="213" t="s">
        <v>66</v>
      </c>
    </row>
    <row r="12" spans="2:11" x14ac:dyDescent="0.25">
      <c r="B12" s="208" t="s">
        <v>96</v>
      </c>
      <c r="C12" s="214">
        <f>IF(Heater_Fuel = "Electricity", 0, Heater_Capacity*VLOOKUP(Heater_Fuel&amp;"CO",'Emission Factors'!$C$63:$E$97,3,0)*(1/VLOOKUP(Heater_Fuel,'Fuel Energy Content'!$A$12:$B$15,2,0))*8760*(1/2000))</f>
        <v>0</v>
      </c>
      <c r="D12" s="214">
        <f>IF(Heater_Fuel = "Electricity", 0, Heater_Capacity*VLOOKUP(Heater_Fuel&amp;"NOx",'Emission Factors'!$C$63:$E$97,3,0)*(1/VLOOKUP(Heater_Fuel,'Fuel Energy Content'!$A$12:$B$15,2,0))*8760*(1/2000))</f>
        <v>0</v>
      </c>
      <c r="E12" s="214">
        <f>IF(Heater_Fuel = "Electricity", 0, Heater_Capacity*VLOOKUP(Heater_Fuel&amp;"SO2",'Emission Factors'!$C$63:$E$97,3,0)*(1/VLOOKUP(Heater_Fuel,'Fuel Energy Content'!$A$12:$B$15,2,0))*8760*(1/2000))</f>
        <v>0</v>
      </c>
      <c r="F12" s="214">
        <f>IF(Heater_Fuel = "Electricity", 0, Heater_Capacity*VLOOKUP(Heater_Fuel&amp;"VOC",'Emission Factors'!$C$63:$E$97,3,0)*(1/VLOOKUP(Heater_Fuel,'Fuel Energy Content'!$A$12:$B$15,2,0))*8760*(1/2000))</f>
        <v>0</v>
      </c>
      <c r="G12" s="214">
        <f>IF(Heater_Fuel = "Electricity", 0, Heater_Capacity*VLOOKUP(Heater_Fuel&amp;"PM10",'Emission Factors'!$C$63:$E$97,3,0)*(1/VLOOKUP(Heater_Fuel,'Fuel Energy Content'!$A$12:$B$15,2,0))*8760*(1/2000))</f>
        <v>0</v>
      </c>
      <c r="H12" s="215">
        <f>IF(Heater_Fuel = "Electricity", 0, Heater_Capacity*VLOOKUP(Heater_Fuel&amp;"PM2.5",'Emission Factors'!$C$63:$E$97,3,0)*(1/VLOOKUP(Heater_Fuel,'Fuel Energy Content'!$A$12:$B$15,2,0))*8760*(1/2000))</f>
        <v>0</v>
      </c>
    </row>
    <row r="13" spans="2:11" ht="13.8" thickBot="1" x14ac:dyDescent="0.3">
      <c r="B13" s="209" t="s">
        <v>131</v>
      </c>
      <c r="C13" s="216">
        <f>IF(Facility_Type="Drum Mix",VLOOKUP(Dryer_Fuel&amp;"CO",'Emission Factors'!$C$5:$E$32,3,0)*Hourly_Production_Max*8760*(1/2000),VLOOKUP(Dryer_Fuel&amp;"CO",'Emission Factors'!$C$34:$E$61,3,0)*Hourly_Production_Max*8760*(1/2000))</f>
        <v>0</v>
      </c>
      <c r="D13" s="216">
        <f>IF(Facility_Type="Drum Mix",VLOOKUP(Dryer_Fuel&amp;"NOx",'Emission Factors'!$C$5:$E$32,3,0)*Hourly_Production_Max*8760*(1/2000),VLOOKUP(Dryer_Fuel&amp;"NOx",'Emission Factors'!$C$34:$E$61,3,0)*Hourly_Production_Max*8760*(1/2000))</f>
        <v>0</v>
      </c>
      <c r="E13" s="216">
        <f>IF(Facility_Type="Drum Mix",VLOOKUP(Dryer_Fuel&amp;"SO2",'Emission Factors'!$C$5:$E$32,3,0)*Hourly_Production_Max*8760*(1/2000),VLOOKUP(Dryer_Fuel&amp;"SO2",'Emission Factors'!$C$34:$E$61,3,0)*Hourly_Production_Max*8760*(1/2000))</f>
        <v>0</v>
      </c>
      <c r="F13" s="216">
        <f>IF(Facility_Type="Drum Mix",VLOOKUP(Dryer_Fuel&amp;"VOC",'Emission Factors'!$C$5:$E$32,3,0)*Hourly_Production_Max*8760*(1/2000),VLOOKUP(Dryer_Fuel&amp;"VOC",'Emission Factors'!$C$34:$E$61,3,0)*Hourly_Production_Max*8760*(1/2000))</f>
        <v>0</v>
      </c>
      <c r="G13" s="216">
        <f>IF(Allowable_Emission_Restriction="not applicable",IF(Facility_Type="Drum Mix",VLOOKUP(Dryer_Fuel&amp;"PM10",'Emission Factors'!$C$5:$E$32,3,0)*Hourly_Production_Max*8760*(1/2000),VLOOKUP(Dryer_Fuel&amp;"PM10",'Emission Factors'!$C$34:$E$61,3,0)*Hourly_Production_Max*8760*(1/2000)),Allowable_Emission_Restriction)</f>
        <v>0</v>
      </c>
      <c r="H13" s="217">
        <f>IF('Controls and Restrictions'!L17="not applicable",IF(Facility_Type="Drum Mix",VLOOKUP(Dryer_Fuel&amp;"PM2.5",'Emission Factors'!$C$5:$E$32,3,0)*Hourly_Production_Max*8760*(1/2000),VLOOKUP(Dryer_Fuel&amp;"PM2.5",'Emission Factors'!$C$34:$E$61,3,0)*Hourly_Production_Max*8760*(1/2000)),Allowable_Emission_Restriction)</f>
        <v>0</v>
      </c>
    </row>
    <row r="14" spans="2:11" ht="13.8" thickBot="1" x14ac:dyDescent="0.3">
      <c r="B14" s="207" t="s">
        <v>358</v>
      </c>
      <c r="C14" s="218">
        <f t="shared" ref="C14:H14" si="1">SUM(C12:C13)</f>
        <v>0</v>
      </c>
      <c r="D14" s="218">
        <f t="shared" si="1"/>
        <v>0</v>
      </c>
      <c r="E14" s="218">
        <f t="shared" si="1"/>
        <v>0</v>
      </c>
      <c r="F14" s="218">
        <f t="shared" si="1"/>
        <v>0</v>
      </c>
      <c r="G14" s="218">
        <f t="shared" si="1"/>
        <v>0</v>
      </c>
      <c r="H14" s="219">
        <f t="shared" si="1"/>
        <v>0</v>
      </c>
    </row>
  </sheetData>
  <sheetProtection password="C969" sheet="1" objects="1" scenarios="1"/>
  <mergeCells count="2">
    <mergeCell ref="B3:H3"/>
    <mergeCell ref="B10:H10"/>
  </mergeCells>
  <dataValidations xWindow="1110" yWindow="745" count="1">
    <dataValidation allowBlank="1" showInputMessage="1" showErrorMessage="1" prompt="This sheet is intended to summarize the components of your facility's emissions. A summary of total emissions and your registration status is located on the Output-Summary Printout sheet." sqref="B10 B3"/>
  </dataValidations>
  <pageMargins left="0.7" right="0.7" top="0.75" bottom="0.75" header="0.3" footer="0.3"/>
  <pageSetup scale="85" orientation="landscape" r:id="rId1"/>
  <headerFooter>
    <oddFooter>&amp;LPage &amp;P of &amp;N&amp;C&amp;F&amp;RPrinted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zoomScaleNormal="100" workbookViewId="0">
      <selection sqref="A1:XFD1"/>
    </sheetView>
  </sheetViews>
  <sheetFormatPr defaultColWidth="3.33203125" defaultRowHeight="13.2" x14ac:dyDescent="0.25"/>
  <cols>
    <col min="1" max="1" width="16.109375" style="14" customWidth="1"/>
    <col min="2" max="2" width="4.6640625" style="14" customWidth="1"/>
    <col min="3" max="3" width="24.6640625" style="14" customWidth="1"/>
    <col min="4" max="4" width="5.5546875" style="14" customWidth="1"/>
    <col min="5" max="5" width="25.44140625" style="14" customWidth="1"/>
    <col min="6" max="6" width="32.44140625" style="14" customWidth="1"/>
    <col min="7" max="9" width="1.88671875" style="14" customWidth="1"/>
    <col min="10" max="10" width="3.109375" style="14" customWidth="1"/>
    <col min="11" max="11" width="16.6640625" style="46" hidden="1" customWidth="1"/>
    <col min="12" max="12" width="16.6640625" style="241" hidden="1" customWidth="1"/>
    <col min="13" max="13" width="18" style="241" hidden="1" customWidth="1"/>
    <col min="14" max="14" width="20.44140625" style="14" customWidth="1"/>
    <col min="15" max="58" width="1.88671875" style="14" customWidth="1"/>
    <col min="59" max="16384" width="3.33203125" style="14"/>
  </cols>
  <sheetData>
    <row r="1" spans="1:13" ht="24.75" customHeight="1" thickBot="1" x14ac:dyDescent="0.3"/>
    <row r="2" spans="1:13" ht="14.25" customHeight="1" x14ac:dyDescent="0.25">
      <c r="A2" s="16"/>
      <c r="B2" s="17"/>
      <c r="C2" s="17"/>
      <c r="D2" s="17"/>
      <c r="E2" s="17"/>
      <c r="F2" s="18"/>
    </row>
    <row r="3" spans="1:13" x14ac:dyDescent="0.25">
      <c r="A3" s="19" t="s">
        <v>31</v>
      </c>
      <c r="B3" s="148" t="str">
        <f>"  "&amp;Inputs!C4</f>
        <v xml:space="preserve">  Acme Hot Mix Asphalt</v>
      </c>
      <c r="C3" s="148"/>
      <c r="E3" s="242" t="str">
        <f>"Facility Contact:"&amp;"  "&amp;Inputs!C11</f>
        <v>Facility Contact:  John Doe</v>
      </c>
      <c r="F3" s="20"/>
    </row>
    <row r="4" spans="1:13" ht="14.25" customHeight="1" x14ac:dyDescent="0.25">
      <c r="A4" s="19" t="s">
        <v>32</v>
      </c>
      <c r="B4" s="148" t="str">
        <f>"  "&amp;Inputs!C5</f>
        <v xml:space="preserve">  101 Acme Way</v>
      </c>
      <c r="C4" s="148"/>
      <c r="E4" s="242" t="str">
        <f>"              Phone:"&amp;"  "&amp;Inputs!C12</f>
        <v xml:space="preserve">              Phone:  555-555-5555</v>
      </c>
      <c r="F4" s="20"/>
    </row>
    <row r="5" spans="1:13" x14ac:dyDescent="0.25">
      <c r="A5" s="21"/>
      <c r="B5" s="148" t="str">
        <f>"  "&amp;Inputs!C6&amp;", "&amp;VLOOKUP(Inputs!C7,'EPA Regional Contact Info'!$A$5:$B$49,2,FALSE)&amp;" "&amp;Inputs!C8</f>
        <v xml:space="preserve">  Albuquerque, NM 87101</v>
      </c>
      <c r="C5" s="148"/>
      <c r="E5" s="242" t="str">
        <f>"               Email:"&amp;"  "&amp;Inputs!C13</f>
        <v xml:space="preserve">               Email:  john.doe@acme.com</v>
      </c>
      <c r="F5" s="20"/>
    </row>
    <row r="6" spans="1:13" ht="13.8" thickBot="1" x14ac:dyDescent="0.3">
      <c r="A6" s="27"/>
      <c r="B6" s="28"/>
      <c r="C6" s="28"/>
      <c r="D6" s="28"/>
      <c r="E6" s="28"/>
      <c r="F6" s="29"/>
    </row>
    <row r="7" spans="1:13" ht="18" customHeight="1" thickBot="1" x14ac:dyDescent="0.3">
      <c r="A7" s="426" t="s">
        <v>133</v>
      </c>
      <c r="B7" s="427"/>
      <c r="C7" s="427"/>
      <c r="D7" s="427"/>
      <c r="E7" s="427"/>
      <c r="F7" s="428"/>
    </row>
    <row r="8" spans="1:13" ht="15.75" customHeight="1" x14ac:dyDescent="0.25">
      <c r="A8" s="429" t="s">
        <v>0</v>
      </c>
      <c r="B8" s="432" t="s">
        <v>396</v>
      </c>
      <c r="C8" s="433"/>
      <c r="D8" s="50"/>
      <c r="E8" s="308"/>
      <c r="F8" s="30" t="s">
        <v>14</v>
      </c>
      <c r="K8" s="434" t="s">
        <v>397</v>
      </c>
      <c r="L8" s="25" t="s">
        <v>13</v>
      </c>
      <c r="M8" s="435" t="s">
        <v>398</v>
      </c>
    </row>
    <row r="9" spans="1:13" x14ac:dyDescent="0.25">
      <c r="A9" s="430"/>
      <c r="B9" s="432"/>
      <c r="C9" s="433"/>
      <c r="D9" s="436" t="s">
        <v>399</v>
      </c>
      <c r="E9" s="437"/>
      <c r="F9" s="30" t="s">
        <v>151</v>
      </c>
      <c r="K9" s="434"/>
      <c r="L9" s="25" t="s">
        <v>151</v>
      </c>
      <c r="M9" s="435"/>
    </row>
    <row r="10" spans="1:13" ht="13.8" thickBot="1" x14ac:dyDescent="0.3">
      <c r="A10" s="431"/>
      <c r="B10" s="438" t="s">
        <v>1</v>
      </c>
      <c r="C10" s="439"/>
      <c r="D10" s="440" t="s">
        <v>1</v>
      </c>
      <c r="E10" s="441"/>
      <c r="F10" s="22" t="s">
        <v>1</v>
      </c>
      <c r="K10" s="434"/>
      <c r="L10" s="243" t="s">
        <v>1</v>
      </c>
      <c r="M10" s="435"/>
    </row>
    <row r="11" spans="1:13" ht="5.25" customHeight="1" x14ac:dyDescent="0.25">
      <c r="A11" s="65"/>
      <c r="B11" s="66"/>
      <c r="C11" s="244"/>
      <c r="D11" s="67"/>
      <c r="E11" s="245"/>
      <c r="F11" s="68"/>
      <c r="L11" s="246"/>
    </row>
    <row r="12" spans="1:13" x14ac:dyDescent="0.25">
      <c r="A12" s="247" t="s">
        <v>62</v>
      </c>
      <c r="B12" s="47"/>
      <c r="C12" s="248">
        <f>'Total Emissions'!$C$7</f>
        <v>0</v>
      </c>
      <c r="D12" s="15"/>
      <c r="E12" s="249">
        <f>'Total Emissions'!$C$14</f>
        <v>0</v>
      </c>
      <c r="F12" s="250">
        <f>IF(Inputs!$C$28="Attainment",10,5)</f>
        <v>10</v>
      </c>
      <c r="K12" s="46">
        <f>IF(E12&gt;=F12,1,0)</f>
        <v>0</v>
      </c>
      <c r="L12" s="251">
        <f>IF(Inputs!$C$28="Attainment",250,IF(Inputs!$C$28="Nonattainment - moderate",100,50))</f>
        <v>250</v>
      </c>
      <c r="M12" s="241">
        <f>IF(E12&gt;=L12,1,0)</f>
        <v>0</v>
      </c>
    </row>
    <row r="13" spans="1:13" ht="5.25" customHeight="1" x14ac:dyDescent="0.25">
      <c r="A13" s="252"/>
      <c r="B13" s="69"/>
      <c r="C13" s="248"/>
      <c r="D13" s="253"/>
      <c r="E13" s="254"/>
      <c r="F13" s="250"/>
      <c r="L13" s="251"/>
    </row>
    <row r="14" spans="1:13" ht="15.75" customHeight="1" x14ac:dyDescent="0.35">
      <c r="A14" s="247" t="s">
        <v>63</v>
      </c>
      <c r="B14" s="47"/>
      <c r="C14" s="248">
        <f>'Total Emissions'!$D$7</f>
        <v>0</v>
      </c>
      <c r="D14" s="15"/>
      <c r="E14" s="249">
        <f>'Total Emissions'!$D$14</f>
        <v>0</v>
      </c>
      <c r="F14" s="250">
        <f>IF(Inputs!$C$30="Attainment",10,5)</f>
        <v>10</v>
      </c>
      <c r="K14" s="46">
        <f t="shared" ref="K14:K22" si="0">IF(E14&gt;=F14,1,0)</f>
        <v>0</v>
      </c>
      <c r="L14" s="251">
        <f>IF(Inputs!$C$30="Attainment",250,IF(Inputs!$C$30="Nonattainment - marginal",100,IF(Inputs!$C$30="Nonattainment - moderate",100,IF(Inputs!$C$30="Nonattainment - serious",50,IF(Inputs!$C$30="Nonattainment - severe",25,10)))))</f>
        <v>250</v>
      </c>
      <c r="M14" s="241">
        <f t="shared" ref="M14:M22" si="1">IF(E14&gt;=L14,1,0)</f>
        <v>0</v>
      </c>
    </row>
    <row r="15" spans="1:13" ht="5.25" customHeight="1" x14ac:dyDescent="0.25">
      <c r="A15" s="252"/>
      <c r="B15" s="69"/>
      <c r="C15" s="248"/>
      <c r="D15" s="15"/>
      <c r="E15" s="255"/>
      <c r="F15" s="250"/>
      <c r="L15" s="251"/>
    </row>
    <row r="16" spans="1:13" ht="15.6" x14ac:dyDescent="0.35">
      <c r="A16" s="247" t="s">
        <v>64</v>
      </c>
      <c r="B16" s="47"/>
      <c r="C16" s="248">
        <f>'Total Emissions'!$E$7</f>
        <v>0</v>
      </c>
      <c r="D16" s="15"/>
      <c r="E16" s="249">
        <f>'Total Emissions'!$E$14</f>
        <v>0</v>
      </c>
      <c r="F16" s="250">
        <f>IF(Inputs!$C$32="Attainment",10,5)</f>
        <v>10</v>
      </c>
      <c r="K16" s="46">
        <f t="shared" si="0"/>
        <v>0</v>
      </c>
      <c r="L16" s="251">
        <f>IF(Inputs!$C$32="Attainment",250,100)</f>
        <v>250</v>
      </c>
      <c r="M16" s="241">
        <f t="shared" si="1"/>
        <v>0</v>
      </c>
    </row>
    <row r="17" spans="1:13" ht="5.25" customHeight="1" x14ac:dyDescent="0.25">
      <c r="A17" s="256"/>
      <c r="B17" s="48"/>
      <c r="C17" s="248"/>
      <c r="D17" s="15"/>
      <c r="E17" s="255"/>
      <c r="F17" s="250"/>
      <c r="L17" s="251"/>
    </row>
    <row r="18" spans="1:13" x14ac:dyDescent="0.25">
      <c r="A18" s="247" t="s">
        <v>3</v>
      </c>
      <c r="B18" s="47"/>
      <c r="C18" s="248">
        <f>'Total Emissions'!$F$7</f>
        <v>0</v>
      </c>
      <c r="D18" s="15"/>
      <c r="E18" s="249">
        <f>'Total Emissions'!$F$14</f>
        <v>0</v>
      </c>
      <c r="F18" s="250">
        <f>IF(Inputs!$C$30="Attainment",5,2)</f>
        <v>5</v>
      </c>
      <c r="K18" s="46">
        <f t="shared" si="0"/>
        <v>0</v>
      </c>
      <c r="L18" s="251">
        <f>IF(Inputs!$C$30="Attainment",250,IF(Inputs!$C$30="Nonattainment - marginal",100,IF(Inputs!$C$30="Nonattainment - moderate",100,IF(Inputs!$C$30="Nonattainment - serious",50,IF(Inputs!$C$30="Nonattainment - severe",25,10)))))</f>
        <v>250</v>
      </c>
      <c r="M18" s="241">
        <f t="shared" si="1"/>
        <v>0</v>
      </c>
    </row>
    <row r="19" spans="1:13" ht="5.25" customHeight="1" x14ac:dyDescent="0.25">
      <c r="A19" s="257"/>
      <c r="B19" s="70"/>
      <c r="C19" s="248"/>
      <c r="D19" s="15"/>
      <c r="E19" s="255"/>
      <c r="F19" s="250"/>
      <c r="L19" s="251"/>
    </row>
    <row r="20" spans="1:13" ht="15.6" x14ac:dyDescent="0.35">
      <c r="A20" s="247" t="s">
        <v>65</v>
      </c>
      <c r="B20" s="47"/>
      <c r="C20" s="248">
        <f>'Total Emissions'!$G$7</f>
        <v>0</v>
      </c>
      <c r="D20" s="15"/>
      <c r="E20" s="249">
        <f>'Total Emissions'!$G$14</f>
        <v>0</v>
      </c>
      <c r="F20" s="250">
        <f>IF(Inputs!$C$34="Attainment",5,1)</f>
        <v>5</v>
      </c>
      <c r="K20" s="46">
        <f t="shared" si="0"/>
        <v>0</v>
      </c>
      <c r="L20" s="251">
        <f>IF(Inputs!$C$34="Attainment",250,IF(Inputs!$C$34="Nonattainment - moderate",100,70))</f>
        <v>250</v>
      </c>
      <c r="M20" s="241">
        <f t="shared" si="1"/>
        <v>0</v>
      </c>
    </row>
    <row r="21" spans="1:13" ht="5.25" customHeight="1" x14ac:dyDescent="0.25">
      <c r="A21" s="252"/>
      <c r="B21" s="69"/>
      <c r="C21" s="248"/>
      <c r="D21" s="15"/>
      <c r="E21" s="255"/>
      <c r="F21" s="258"/>
      <c r="L21" s="259"/>
    </row>
    <row r="22" spans="1:13" ht="15.6" x14ac:dyDescent="0.35">
      <c r="A22" s="260" t="s">
        <v>66</v>
      </c>
      <c r="B22" s="71"/>
      <c r="C22" s="248">
        <f>'Total Emissions'!$H$7</f>
        <v>0</v>
      </c>
      <c r="D22" s="15"/>
      <c r="E22" s="249">
        <f>'Total Emissions'!$H$14</f>
        <v>0</v>
      </c>
      <c r="F22" s="250">
        <f>IF(Inputs!$C$36="Attainment",3,0.6)</f>
        <v>3</v>
      </c>
      <c r="K22" s="46">
        <f t="shared" si="0"/>
        <v>0</v>
      </c>
      <c r="L22" s="251">
        <f>IF(Inputs!$C$36="Attainment",250,100)</f>
        <v>250</v>
      </c>
      <c r="M22" s="241">
        <f t="shared" si="1"/>
        <v>0</v>
      </c>
    </row>
    <row r="23" spans="1:13" ht="5.25" customHeight="1" x14ac:dyDescent="0.25">
      <c r="A23" s="23"/>
      <c r="B23" s="49"/>
      <c r="C23" s="261"/>
      <c r="D23" s="15"/>
      <c r="E23" s="52"/>
      <c r="F23" s="24"/>
      <c r="L23" s="262"/>
    </row>
    <row r="24" spans="1:13" x14ac:dyDescent="0.25">
      <c r="A24" s="414" t="s">
        <v>30</v>
      </c>
      <c r="B24" s="415"/>
      <c r="C24" s="415"/>
      <c r="D24" s="415"/>
      <c r="E24" s="415"/>
      <c r="F24" s="416"/>
      <c r="L24" s="263"/>
    </row>
    <row r="25" spans="1:13" x14ac:dyDescent="0.25">
      <c r="A25" s="206"/>
      <c r="B25" s="25"/>
      <c r="C25" s="25"/>
      <c r="D25" s="25"/>
      <c r="E25" s="25"/>
      <c r="F25" s="72"/>
      <c r="L25" s="246"/>
    </row>
    <row r="26" spans="1:13" x14ac:dyDescent="0.25">
      <c r="A26" s="21"/>
      <c r="B26" s="15"/>
      <c r="C26" s="73">
        <v>100</v>
      </c>
      <c r="D26" s="13" t="s">
        <v>50</v>
      </c>
      <c r="E26" s="15"/>
      <c r="F26" s="72"/>
      <c r="G26" s="25"/>
      <c r="K26" s="14"/>
      <c r="L26" s="46"/>
    </row>
    <row r="27" spans="1:13" x14ac:dyDescent="0.25">
      <c r="A27" s="21"/>
      <c r="B27" s="15"/>
      <c r="C27" s="26">
        <v>50</v>
      </c>
      <c r="D27" s="13" t="s">
        <v>28</v>
      </c>
      <c r="E27" s="15"/>
      <c r="F27" s="20"/>
      <c r="L27" s="246"/>
    </row>
    <row r="28" spans="1:13" x14ac:dyDescent="0.25">
      <c r="A28" s="21"/>
      <c r="B28" s="15"/>
      <c r="C28" s="26">
        <v>0</v>
      </c>
      <c r="D28" s="13" t="s">
        <v>29</v>
      </c>
      <c r="E28" s="15"/>
      <c r="F28" s="20"/>
    </row>
    <row r="29" spans="1:13" ht="13.8" thickBot="1" x14ac:dyDescent="0.3">
      <c r="A29" s="27"/>
      <c r="B29" s="28"/>
      <c r="C29" s="28"/>
      <c r="D29" s="28"/>
      <c r="E29" s="28"/>
      <c r="F29" s="29"/>
    </row>
    <row r="30" spans="1:13" ht="22.5" customHeight="1" thickBot="1" x14ac:dyDescent="0.3">
      <c r="A30" s="417" t="str">
        <f>IF(OR($M$12=1,$M$14=1,$M$16=1,$M$18=1,$M$20=1,$M$22=1),"PLEASE CONSULT WITH YOUR EPA REGIONAL CONTACT LISTED BELOW",IF(OR(K12=1,K14=1,K16=1,K18=1,K20=1,K22=1),"YOU ARE REQUIRED TO REGISTER YOUR FACILITY UNDER THE TRIBAL NEW SOURCE REVIEW RULE","PLEASE SEE NOTE BELOW"))</f>
        <v>PLEASE SEE NOTE BELOW</v>
      </c>
      <c r="B30" s="418"/>
      <c r="C30" s="418"/>
      <c r="D30" s="418"/>
      <c r="E30" s="418"/>
      <c r="F30" s="419"/>
    </row>
    <row r="31" spans="1:13" x14ac:dyDescent="0.25">
      <c r="A31" s="16"/>
      <c r="B31" s="17"/>
      <c r="C31" s="17"/>
      <c r="D31" s="17"/>
      <c r="E31" s="17"/>
      <c r="F31" s="18"/>
    </row>
    <row r="32" spans="1:13" ht="164.25" customHeight="1" thickBot="1" x14ac:dyDescent="0.3">
      <c r="A32" s="420" t="str">
        <f>IF(OR($M$12=1,$M$14=1,$M$16=1,$M$18=1,$M$20=1,$M$22=1),"The allowable emissions at your facility exceed the major source threshold for one or more pollutants. Please consult with your EPA Regional contact listed below to determine applicable permitting requirements.",IF($A$30="You are required to register your facility under the Tribal New Source Review Rule","Please print and mail this page to your EPA Regional contact listed below. Alternatively, you may scan the printed page and email it to your EPA Regional contact.","If your facility"&amp;" has additional sources of emissions, such as emergency generators, you are required to complete all applicable registration calculators and sum the total emissions from"&amp;" each calculator to determine your registration requirement.  If the sum of total emissions from all applicable calculators is below the minor source threshold for every"&amp;" pollutant, then you are not required to register your facility and no further action is required. If the sum of total emissions from all applicable calculators"&amp;" exceeds the minor source threshold for any pollutant, then you are required to register your facility under the"&amp;" Tribal New Source Review Rule. If you are required to register, please contact your EPA Regional Office listed below."))</f>
        <v>If your facility has additional sources of emissions, such as emergency generators, you are required to complete all applicable registration calculators and sum the total emissions from each calculator to determine your registration requirement.  If the sum of total emissions from all applicable calculators is below the minor source threshold for every pollutant, then you are not required to register your facility and no further action is required. If the sum of total emissions from all applicable calculators exceeds the minor source threshold for any pollutant, then you are required to register your facility under the Tribal New Source Review Rule. If you are required to register, please contact your EPA Regional Office listed below.</v>
      </c>
      <c r="B32" s="421"/>
      <c r="C32" s="421"/>
      <c r="D32" s="421"/>
      <c r="E32" s="421"/>
      <c r="F32" s="422"/>
    </row>
    <row r="33" spans="1:6" ht="15.75" customHeight="1" thickBot="1" x14ac:dyDescent="0.3">
      <c r="A33" s="423" t="str">
        <f>"U.S. Environmental Protection Agency Region "&amp;VLOOKUP(Inputs!$C$7,'EPA Regional Contact Info'!$A$5:$C$49,3,FALSE)&amp;" Contact"</f>
        <v>U.S. Environmental Protection Agency Region 6 Contact</v>
      </c>
      <c r="B33" s="424"/>
      <c r="C33" s="424"/>
      <c r="D33" s="424"/>
      <c r="E33" s="424"/>
      <c r="F33" s="425"/>
    </row>
    <row r="34" spans="1:6" ht="15.6" x14ac:dyDescent="0.3">
      <c r="A34" s="171"/>
      <c r="B34" s="173" t="s">
        <v>340</v>
      </c>
      <c r="C34" s="264"/>
      <c r="D34" s="265" t="str">
        <f>Inputs!C16</f>
        <v>Bonnie Braganza</v>
      </c>
      <c r="E34" s="264"/>
      <c r="F34" s="172"/>
    </row>
    <row r="35" spans="1:6" ht="15.6" x14ac:dyDescent="0.3">
      <c r="A35" s="165"/>
      <c r="B35" s="174" t="s">
        <v>341</v>
      </c>
      <c r="C35" s="266"/>
      <c r="D35" s="267" t="str">
        <f>Inputs!C22</f>
        <v>U.S. Environmental Protection Agency Region 6</v>
      </c>
      <c r="E35" s="266"/>
      <c r="F35" s="175"/>
    </row>
    <row r="36" spans="1:6" ht="15.6" x14ac:dyDescent="0.3">
      <c r="A36" s="165"/>
      <c r="B36" s="174"/>
      <c r="C36" s="266"/>
      <c r="D36" s="267" t="str">
        <f>Inputs!C23</f>
        <v>1445 Ross Avenue, Suite 1200</v>
      </c>
      <c r="E36" s="266"/>
      <c r="F36" s="175"/>
    </row>
    <row r="37" spans="1:6" ht="15.6" x14ac:dyDescent="0.3">
      <c r="A37" s="165"/>
      <c r="B37" s="174"/>
      <c r="C37" s="266"/>
      <c r="D37" s="267" t="str">
        <f>Inputs!C24</f>
        <v>MC: 6PD</v>
      </c>
      <c r="E37" s="266"/>
      <c r="F37" s="175"/>
    </row>
    <row r="38" spans="1:6" ht="15.6" x14ac:dyDescent="0.3">
      <c r="A38" s="165"/>
      <c r="B38" s="174"/>
      <c r="C38" s="266"/>
      <c r="D38" s="267" t="str">
        <f>Inputs!C25</f>
        <v>Dallas, TX 75202-2733</v>
      </c>
      <c r="E38" s="266"/>
      <c r="F38" s="175"/>
    </row>
    <row r="39" spans="1:6" ht="15.6" x14ac:dyDescent="0.3">
      <c r="A39" s="165"/>
      <c r="B39" s="174"/>
      <c r="C39" s="266"/>
      <c r="D39" s="267"/>
      <c r="E39" s="266"/>
      <c r="F39" s="175"/>
    </row>
    <row r="40" spans="1:6" ht="15.6" x14ac:dyDescent="0.3">
      <c r="A40" s="165"/>
      <c r="B40" s="174" t="s">
        <v>342</v>
      </c>
      <c r="C40" s="266"/>
      <c r="D40" s="267" t="str">
        <f>Inputs!C17</f>
        <v>214-665-7340</v>
      </c>
      <c r="E40" s="266"/>
      <c r="F40" s="175"/>
    </row>
    <row r="41" spans="1:6" ht="15.6" x14ac:dyDescent="0.3">
      <c r="A41" s="165"/>
      <c r="B41" s="174" t="s">
        <v>33</v>
      </c>
      <c r="C41" s="266"/>
      <c r="D41" s="267" t="str">
        <f>Inputs!C18</f>
        <v>braganza.bonnie@epa.gov</v>
      </c>
      <c r="E41" s="266"/>
      <c r="F41" s="175"/>
    </row>
    <row r="42" spans="1:6" ht="13.8" thickBot="1" x14ac:dyDescent="0.3">
      <c r="A42" s="166"/>
      <c r="B42" s="176"/>
      <c r="C42" s="176"/>
      <c r="D42" s="176"/>
      <c r="E42" s="176"/>
      <c r="F42" s="177"/>
    </row>
  </sheetData>
  <sheetProtection password="C969" sheet="1" objects="1" scenarios="1"/>
  <mergeCells count="12">
    <mergeCell ref="K8:K10"/>
    <mergeCell ref="M8:M10"/>
    <mergeCell ref="D9:E9"/>
    <mergeCell ref="B10:C10"/>
    <mergeCell ref="D10:E10"/>
    <mergeCell ref="A24:F24"/>
    <mergeCell ref="A30:F30"/>
    <mergeCell ref="A32:F32"/>
    <mergeCell ref="A33:F33"/>
    <mergeCell ref="A7:F7"/>
    <mergeCell ref="A8:A10"/>
    <mergeCell ref="B8:C9"/>
  </mergeCells>
  <conditionalFormatting sqref="A33 A32:F32">
    <cfRule type="expression" dxfId="7" priority="3">
      <formula>$A$30="PLEASE SEE NOTE BELOW"</formula>
    </cfRule>
  </conditionalFormatting>
  <conditionalFormatting sqref="A30:F30">
    <cfRule type="expression" dxfId="6" priority="2">
      <formula>$A$30="You are required to register your facility under the tribal new source review rule"</formula>
    </cfRule>
  </conditionalFormatting>
  <conditionalFormatting sqref="C27:C28">
    <cfRule type="iconSet" priority="4">
      <iconSet iconSet="3Symbols" showValue="0" reverse="1">
        <cfvo type="percent" val="0"/>
        <cfvo type="num" val="0" gte="0"/>
        <cfvo type="num" val="100"/>
      </iconSet>
    </cfRule>
  </conditionalFormatting>
  <conditionalFormatting sqref="C12 E12">
    <cfRule type="cellIs" dxfId="5" priority="5" operator="greaterThanOrEqual">
      <formula>$F$12</formula>
    </cfRule>
  </conditionalFormatting>
  <conditionalFormatting sqref="C14 E14">
    <cfRule type="cellIs" dxfId="4" priority="7" operator="greaterThanOrEqual">
      <formula>$F$14</formula>
    </cfRule>
  </conditionalFormatting>
  <conditionalFormatting sqref="C16 E16">
    <cfRule type="cellIs" dxfId="3" priority="9" operator="greaterThanOrEqual">
      <formula>$F$16</formula>
    </cfRule>
  </conditionalFormatting>
  <conditionalFormatting sqref="C18 E18">
    <cfRule type="cellIs" dxfId="2" priority="11" operator="greaterThanOrEqual">
      <formula>$F$18</formula>
    </cfRule>
  </conditionalFormatting>
  <conditionalFormatting sqref="C20 E20">
    <cfRule type="cellIs" dxfId="1" priority="13" operator="greaterThanOrEqual">
      <formula>$F$20</formula>
    </cfRule>
  </conditionalFormatting>
  <conditionalFormatting sqref="C22 E22">
    <cfRule type="cellIs" dxfId="0" priority="15" operator="greaterThanOrEqual">
      <formula>$F$22</formula>
    </cfRule>
  </conditionalFormatting>
  <conditionalFormatting sqref="C26">
    <cfRule type="iconSet" priority="1">
      <iconSet iconSet="3Symbols" showValue="0" reverse="1">
        <cfvo type="percent" val="0"/>
        <cfvo type="num" val="0" gte="0"/>
        <cfvo type="num" val="100"/>
      </iconSet>
    </cfRule>
  </conditionalFormatting>
  <conditionalFormatting sqref="E12">
    <cfRule type="iconSet" priority="6">
      <iconSet iconSet="3Symbols" reverse="1">
        <cfvo type="percent" val="0"/>
        <cfvo type="formula" val="$F$12"/>
        <cfvo type="formula" val="$L$12"/>
      </iconSet>
    </cfRule>
  </conditionalFormatting>
  <conditionalFormatting sqref="E14">
    <cfRule type="iconSet" priority="8">
      <iconSet iconSet="3Symbols" reverse="1">
        <cfvo type="percent" val="0"/>
        <cfvo type="formula" val="$F$14"/>
        <cfvo type="formula" val="$L$14"/>
      </iconSet>
    </cfRule>
  </conditionalFormatting>
  <conditionalFormatting sqref="E16">
    <cfRule type="iconSet" priority="10">
      <iconSet iconSet="3Symbols" reverse="1">
        <cfvo type="percent" val="0"/>
        <cfvo type="formula" val="$F$16"/>
        <cfvo type="formula" val="$L$16"/>
      </iconSet>
    </cfRule>
  </conditionalFormatting>
  <conditionalFormatting sqref="E18">
    <cfRule type="iconSet" priority="12">
      <iconSet iconSet="3Symbols" reverse="1">
        <cfvo type="percent" val="0"/>
        <cfvo type="formula" val="$F$18"/>
        <cfvo type="formula" val="$L$18"/>
      </iconSet>
    </cfRule>
  </conditionalFormatting>
  <conditionalFormatting sqref="E20">
    <cfRule type="iconSet" priority="14">
      <iconSet iconSet="3Symbols" reverse="1">
        <cfvo type="percent" val="0"/>
        <cfvo type="formula" val="$F$20"/>
        <cfvo type="formula" val="$L$20"/>
      </iconSet>
    </cfRule>
  </conditionalFormatting>
  <conditionalFormatting sqref="E22">
    <cfRule type="iconSet" priority="16">
      <iconSet iconSet="3Symbols" reverse="1">
        <cfvo type="percent" val="0"/>
        <cfvo type="formula" val="$F$22"/>
        <cfvo type="formula" val="$L$22"/>
      </iconSet>
    </cfRule>
  </conditionalFormatting>
  <printOptions horizontalCentered="1" gridLinesSet="0"/>
  <pageMargins left="0.4" right="0.4" top="0.7" bottom="0.3" header="0.25" footer="0.25"/>
  <pageSetup scale="75" orientation="portrait" r:id="rId1"/>
  <headerFooter alignWithMargins="0">
    <oddHeader xml:space="preserve">&amp;C&amp;"Arial,Bold"&amp;14
Hot Mix Asphalt Registration&amp;"Arial,Regular"&amp;10
Summary Printout
</oddHeader>
    <oddFooter>&amp;L&amp;F&amp;RPrinted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G26"/>
  <sheetViews>
    <sheetView workbookViewId="0">
      <selection sqref="A1:F1"/>
    </sheetView>
  </sheetViews>
  <sheetFormatPr defaultRowHeight="13.2" x14ac:dyDescent="0.25"/>
  <cols>
    <col min="1" max="1" width="17.88671875" style="11" bestFit="1" customWidth="1"/>
    <col min="2" max="2" width="17.5546875" style="6" customWidth="1"/>
    <col min="3" max="3" width="30.109375" customWidth="1"/>
    <col min="4" max="5" width="20" style="6" customWidth="1"/>
    <col min="6" max="6" width="25" style="6" customWidth="1"/>
    <col min="7" max="7" width="26.6640625" bestFit="1" customWidth="1"/>
  </cols>
  <sheetData>
    <row r="1" spans="1:7" ht="17.399999999999999" x14ac:dyDescent="0.3">
      <c r="A1" s="443" t="s">
        <v>82</v>
      </c>
      <c r="B1" s="443"/>
      <c r="C1" s="443"/>
      <c r="D1" s="443"/>
      <c r="E1" s="443"/>
      <c r="F1" s="443"/>
    </row>
    <row r="2" spans="1:7" x14ac:dyDescent="0.25">
      <c r="A2" s="442" t="s">
        <v>477</v>
      </c>
      <c r="B2" s="442"/>
      <c r="C2" s="442"/>
      <c r="D2" s="442"/>
      <c r="E2" s="442"/>
      <c r="F2" s="442"/>
    </row>
    <row r="4" spans="1:7" x14ac:dyDescent="0.25">
      <c r="A4" s="10" t="s">
        <v>26</v>
      </c>
      <c r="B4" s="3" t="s">
        <v>22</v>
      </c>
      <c r="C4" s="3" t="s">
        <v>24</v>
      </c>
      <c r="D4" s="3" t="s">
        <v>23</v>
      </c>
      <c r="E4" s="8" t="s">
        <v>41</v>
      </c>
      <c r="F4" s="8" t="s">
        <v>43</v>
      </c>
      <c r="G4" s="3" t="s">
        <v>25</v>
      </c>
    </row>
    <row r="5" spans="1:7" ht="27" customHeight="1" x14ac:dyDescent="0.25">
      <c r="A5" s="35">
        <v>1</v>
      </c>
      <c r="B5" s="36" t="s">
        <v>344</v>
      </c>
      <c r="C5" s="37" t="s">
        <v>40</v>
      </c>
      <c r="D5" s="149" t="s">
        <v>135</v>
      </c>
      <c r="E5" s="5" t="s">
        <v>42</v>
      </c>
      <c r="F5" s="58" t="s">
        <v>136</v>
      </c>
      <c r="G5" s="38" t="s">
        <v>137</v>
      </c>
    </row>
    <row r="6" spans="1:7" ht="135.75" customHeight="1" x14ac:dyDescent="0.25">
      <c r="A6" s="39">
        <v>1.1000000000000001</v>
      </c>
      <c r="B6" s="277" t="s">
        <v>468</v>
      </c>
      <c r="C6" s="40" t="s">
        <v>441</v>
      </c>
      <c r="D6" s="272" t="s">
        <v>469</v>
      </c>
      <c r="E6" s="5" t="s">
        <v>42</v>
      </c>
      <c r="F6" s="59" t="s">
        <v>136</v>
      </c>
      <c r="G6" s="38" t="s">
        <v>137</v>
      </c>
    </row>
    <row r="7" spans="1:7" ht="30.75" customHeight="1" x14ac:dyDescent="0.25">
      <c r="A7" s="43">
        <v>1.2</v>
      </c>
      <c r="B7" s="312" t="s">
        <v>473</v>
      </c>
      <c r="C7" s="40" t="s">
        <v>474</v>
      </c>
      <c r="D7" s="59" t="s">
        <v>469</v>
      </c>
      <c r="E7" s="59" t="s">
        <v>42</v>
      </c>
      <c r="F7" s="59" t="s">
        <v>136</v>
      </c>
      <c r="G7" s="313" t="s">
        <v>137</v>
      </c>
    </row>
    <row r="8" spans="1:7" ht="25.5" customHeight="1" x14ac:dyDescent="0.25">
      <c r="A8" s="43">
        <v>1.3</v>
      </c>
      <c r="B8" s="314" t="s">
        <v>475</v>
      </c>
      <c r="C8" s="44" t="s">
        <v>476</v>
      </c>
      <c r="D8" s="41" t="s">
        <v>469</v>
      </c>
      <c r="E8" s="41" t="s">
        <v>42</v>
      </c>
      <c r="F8" s="41" t="s">
        <v>136</v>
      </c>
      <c r="G8" s="313" t="s">
        <v>137</v>
      </c>
    </row>
    <row r="9" spans="1:7" ht="16.5" customHeight="1" x14ac:dyDescent="0.25">
      <c r="A9" s="43"/>
      <c r="B9" s="41"/>
      <c r="C9" s="44"/>
      <c r="D9" s="41"/>
      <c r="E9" s="41"/>
      <c r="F9" s="41"/>
      <c r="G9" s="42"/>
    </row>
    <row r="10" spans="1:7" ht="16.5" customHeight="1" x14ac:dyDescent="0.25">
      <c r="A10" s="43"/>
      <c r="B10" s="41"/>
      <c r="C10" s="44"/>
      <c r="D10" s="41"/>
      <c r="E10" s="41"/>
      <c r="F10" s="41"/>
      <c r="G10" s="42"/>
    </row>
    <row r="11" spans="1:7" ht="16.5" customHeight="1" x14ac:dyDescent="0.25">
      <c r="A11" s="43"/>
      <c r="B11" s="41"/>
      <c r="C11" s="44"/>
      <c r="D11" s="41"/>
      <c r="E11" s="41"/>
      <c r="F11" s="41"/>
      <c r="G11" s="42"/>
    </row>
    <row r="12" spans="1:7" ht="16.5" customHeight="1" x14ac:dyDescent="0.25">
      <c r="A12" s="43"/>
      <c r="B12" s="41"/>
      <c r="C12" s="44"/>
      <c r="D12" s="41"/>
      <c r="E12" s="41"/>
      <c r="F12" s="41"/>
      <c r="G12" s="42"/>
    </row>
    <row r="13" spans="1:7" ht="16.5" customHeight="1" x14ac:dyDescent="0.25">
      <c r="A13" s="43"/>
      <c r="B13" s="41"/>
      <c r="C13" s="44"/>
      <c r="D13" s="41"/>
      <c r="E13" s="41"/>
      <c r="F13" s="41"/>
      <c r="G13" s="42"/>
    </row>
    <row r="14" spans="1:7" ht="16.5" customHeight="1" x14ac:dyDescent="0.25">
      <c r="A14" s="43"/>
      <c r="B14" s="41"/>
      <c r="C14" s="44"/>
      <c r="D14" s="41"/>
      <c r="E14" s="41"/>
      <c r="F14" s="41"/>
      <c r="G14" s="42"/>
    </row>
    <row r="15" spans="1:7" ht="16.5" customHeight="1" x14ac:dyDescent="0.25">
      <c r="A15" s="43"/>
      <c r="B15" s="41"/>
      <c r="C15" s="44"/>
      <c r="D15" s="41"/>
      <c r="E15" s="41"/>
      <c r="F15" s="41"/>
      <c r="G15" s="42"/>
    </row>
    <row r="16" spans="1:7" ht="16.5" customHeight="1" x14ac:dyDescent="0.25">
      <c r="A16" s="43"/>
      <c r="B16" s="41"/>
      <c r="C16" s="44"/>
      <c r="D16" s="41"/>
      <c r="E16" s="41"/>
      <c r="F16" s="41"/>
      <c r="G16" s="42"/>
    </row>
    <row r="17" spans="1:7" ht="16.5" customHeight="1" x14ac:dyDescent="0.25">
      <c r="A17" s="43"/>
      <c r="B17" s="41"/>
      <c r="C17" s="44"/>
      <c r="D17" s="41"/>
      <c r="E17" s="41"/>
      <c r="F17" s="41"/>
      <c r="G17" s="42"/>
    </row>
    <row r="18" spans="1:7" ht="16.5" customHeight="1" x14ac:dyDescent="0.25">
      <c r="A18" s="43"/>
      <c r="B18" s="41"/>
      <c r="C18" s="44"/>
      <c r="D18" s="41"/>
      <c r="E18" s="41"/>
      <c r="F18" s="41"/>
      <c r="G18" s="42"/>
    </row>
    <row r="19" spans="1:7" ht="16.5" customHeight="1" x14ac:dyDescent="0.25">
      <c r="A19" s="43"/>
      <c r="B19" s="41"/>
      <c r="C19" s="44"/>
      <c r="D19" s="41"/>
      <c r="E19" s="41"/>
      <c r="F19" s="41"/>
      <c r="G19" s="42"/>
    </row>
    <row r="20" spans="1:7" ht="16.5" customHeight="1" x14ac:dyDescent="0.25">
      <c r="A20" s="43"/>
      <c r="B20" s="41"/>
      <c r="C20" s="44"/>
      <c r="D20" s="41"/>
      <c r="E20" s="41"/>
      <c r="F20" s="41"/>
      <c r="G20" s="42"/>
    </row>
    <row r="21" spans="1:7" ht="16.5" customHeight="1" x14ac:dyDescent="0.25">
      <c r="A21" s="43"/>
      <c r="B21" s="41"/>
      <c r="C21" s="44"/>
      <c r="D21" s="41"/>
      <c r="E21" s="41"/>
      <c r="F21" s="41"/>
      <c r="G21" s="42"/>
    </row>
    <row r="22" spans="1:7" ht="16.5" customHeight="1" x14ac:dyDescent="0.25">
      <c r="A22" s="43"/>
      <c r="B22" s="41"/>
      <c r="C22" s="44"/>
      <c r="D22" s="41"/>
      <c r="E22" s="41"/>
      <c r="F22" s="41"/>
      <c r="G22" s="42"/>
    </row>
    <row r="23" spans="1:7" ht="16.5" customHeight="1" x14ac:dyDescent="0.25">
      <c r="A23" s="43"/>
      <c r="B23" s="41"/>
      <c r="C23" s="44"/>
      <c r="D23" s="41"/>
      <c r="E23" s="41"/>
      <c r="F23" s="41"/>
      <c r="G23" s="42"/>
    </row>
    <row r="24" spans="1:7" ht="16.5" customHeight="1" x14ac:dyDescent="0.25">
      <c r="A24" s="43"/>
      <c r="B24" s="41"/>
      <c r="C24" s="44"/>
      <c r="D24" s="41"/>
      <c r="E24" s="41"/>
      <c r="F24" s="41"/>
      <c r="G24" s="42"/>
    </row>
    <row r="25" spans="1:7" ht="16.5" customHeight="1" x14ac:dyDescent="0.25">
      <c r="A25" s="43"/>
      <c r="B25" s="41"/>
      <c r="C25" s="44"/>
      <c r="D25" s="41"/>
      <c r="E25" s="41"/>
      <c r="F25" s="41"/>
      <c r="G25" s="42"/>
    </row>
    <row r="26" spans="1:7" ht="16.5" customHeight="1" x14ac:dyDescent="0.25">
      <c r="A26" s="43"/>
      <c r="B26" s="41"/>
      <c r="C26" s="44"/>
      <c r="D26" s="41"/>
      <c r="E26" s="41"/>
      <c r="F26" s="41"/>
      <c r="G26" s="42"/>
    </row>
  </sheetData>
  <mergeCells count="2">
    <mergeCell ref="A2:F2"/>
    <mergeCell ref="A1:F1"/>
  </mergeCells>
  <hyperlinks>
    <hyperlink ref="G5" r:id="rId1"/>
    <hyperlink ref="G6" r:id="rId2"/>
    <hyperlink ref="G7" r:id="rId3"/>
    <hyperlink ref="G8" r:id="rId4"/>
  </hyperlinks>
  <pageMargins left="0.7" right="0.7" top="0.75" bottom="0.75" header="0.3" footer="0.3"/>
  <pageSetup scale="79" orientation="landscape"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97"/>
  <sheetViews>
    <sheetView zoomScaleNormal="100" workbookViewId="0">
      <pane ySplit="3" topLeftCell="A4" activePane="bottomLeft" state="frozen"/>
      <selection pane="bottomLeft"/>
    </sheetView>
  </sheetViews>
  <sheetFormatPr defaultRowHeight="13.2" x14ac:dyDescent="0.25"/>
  <cols>
    <col min="1" max="1" width="34.44140625" style="4" customWidth="1"/>
    <col min="2" max="2" width="17" customWidth="1"/>
    <col min="3" max="3" width="34.33203125" customWidth="1"/>
    <col min="4" max="4" width="26.88671875" style="7" customWidth="1"/>
    <col min="5" max="5" width="28.109375" style="7" bestFit="1" customWidth="1"/>
    <col min="6" max="6" width="32.88671875" style="276" customWidth="1"/>
    <col min="7" max="7" width="17" customWidth="1"/>
    <col min="8" max="8" width="19.6640625" customWidth="1"/>
    <col min="9" max="9" width="40.6640625" customWidth="1"/>
  </cols>
  <sheetData>
    <row r="1" spans="1:9" ht="17.399999999999999" x14ac:dyDescent="0.3">
      <c r="A1" s="1" t="s">
        <v>34</v>
      </c>
      <c r="B1" s="2"/>
    </row>
    <row r="2" spans="1:9" ht="13.8" thickBot="1" x14ac:dyDescent="0.3">
      <c r="A2" s="444"/>
      <c r="B2" s="444"/>
      <c r="C2" s="444"/>
      <c r="D2" s="444"/>
      <c r="E2" s="444"/>
      <c r="F2" s="444"/>
      <c r="G2" s="444"/>
      <c r="H2" s="444"/>
      <c r="I2" s="444"/>
    </row>
    <row r="3" spans="1:9" ht="13.8" thickBot="1" x14ac:dyDescent="0.3">
      <c r="A3" s="98" t="s">
        <v>56</v>
      </c>
      <c r="B3" s="99" t="s">
        <v>0</v>
      </c>
      <c r="C3" s="99" t="s">
        <v>35</v>
      </c>
      <c r="D3" s="100" t="s">
        <v>429</v>
      </c>
      <c r="E3" s="100" t="s">
        <v>428</v>
      </c>
      <c r="F3" s="100" t="s">
        <v>464</v>
      </c>
      <c r="G3" s="99" t="s">
        <v>37</v>
      </c>
      <c r="H3" s="102" t="s">
        <v>36</v>
      </c>
      <c r="I3" s="103" t="s">
        <v>38</v>
      </c>
    </row>
    <row r="4" spans="1:9" s="101" customFormat="1" x14ac:dyDescent="0.25">
      <c r="A4" s="445" t="s">
        <v>118</v>
      </c>
      <c r="B4" s="445"/>
      <c r="C4" s="445"/>
      <c r="D4" s="445"/>
      <c r="E4" s="445"/>
      <c r="F4" s="445"/>
      <c r="G4" s="445"/>
      <c r="H4" s="445"/>
      <c r="I4" s="446"/>
    </row>
    <row r="5" spans="1:9" s="101" customFormat="1" x14ac:dyDescent="0.25">
      <c r="A5" s="97" t="s">
        <v>67</v>
      </c>
      <c r="B5" s="57" t="s">
        <v>62</v>
      </c>
      <c r="C5" s="74" t="str">
        <f>A5&amp;B5</f>
        <v>Natural GasCO</v>
      </c>
      <c r="D5" s="128">
        <v>0.13</v>
      </c>
      <c r="E5" s="128">
        <f>D5</f>
        <v>0.13</v>
      </c>
      <c r="F5" s="128">
        <f>E5</f>
        <v>0.13</v>
      </c>
      <c r="G5" s="57" t="s">
        <v>39</v>
      </c>
      <c r="H5" s="57" t="s">
        <v>91</v>
      </c>
      <c r="I5" s="57" t="s">
        <v>92</v>
      </c>
    </row>
    <row r="6" spans="1:9" s="101" customFormat="1" x14ac:dyDescent="0.25">
      <c r="A6" s="97" t="s">
        <v>67</v>
      </c>
      <c r="B6" s="57" t="s">
        <v>90</v>
      </c>
      <c r="C6" s="74" t="str">
        <f t="shared" ref="C6:C32" si="0">A6&amp;B6</f>
        <v>Natural GasNOx</v>
      </c>
      <c r="D6" s="128">
        <v>2.5999999999999999E-2</v>
      </c>
      <c r="E6" s="128">
        <f t="shared" ref="E6:F28" si="1">D6</f>
        <v>2.5999999999999999E-2</v>
      </c>
      <c r="F6" s="128">
        <f t="shared" si="1"/>
        <v>2.5999999999999999E-2</v>
      </c>
      <c r="G6" s="57" t="s">
        <v>39</v>
      </c>
      <c r="H6" s="57" t="s">
        <v>91</v>
      </c>
      <c r="I6" s="57" t="s">
        <v>92</v>
      </c>
    </row>
    <row r="7" spans="1:9" s="101" customFormat="1" x14ac:dyDescent="0.25">
      <c r="A7" s="97" t="s">
        <v>67</v>
      </c>
      <c r="B7" s="57" t="s">
        <v>89</v>
      </c>
      <c r="C7" s="74" t="str">
        <f t="shared" si="0"/>
        <v>Natural GasSO2</v>
      </c>
      <c r="D7" s="128">
        <v>3.3999999999999998E-3</v>
      </c>
      <c r="E7" s="128">
        <f t="shared" si="1"/>
        <v>3.3999999999999998E-3</v>
      </c>
      <c r="F7" s="128">
        <f t="shared" si="1"/>
        <v>3.3999999999999998E-3</v>
      </c>
      <c r="G7" s="57" t="s">
        <v>39</v>
      </c>
      <c r="H7" s="57" t="s">
        <v>91</v>
      </c>
      <c r="I7" s="57" t="s">
        <v>92</v>
      </c>
    </row>
    <row r="8" spans="1:9" s="101" customFormat="1" x14ac:dyDescent="0.25">
      <c r="A8" s="97" t="s">
        <v>67</v>
      </c>
      <c r="B8" s="75" t="s">
        <v>3</v>
      </c>
      <c r="C8" s="74" t="str">
        <f t="shared" si="0"/>
        <v>Natural GasVOC</v>
      </c>
      <c r="D8" s="128">
        <v>3.2000000000000001E-2</v>
      </c>
      <c r="E8" s="128">
        <v>3.2000000000000001E-2</v>
      </c>
      <c r="F8" s="128">
        <v>3.2000000000000001E-2</v>
      </c>
      <c r="G8" s="57" t="s">
        <v>39</v>
      </c>
      <c r="H8" s="57" t="s">
        <v>91</v>
      </c>
      <c r="I8" s="57" t="s">
        <v>121</v>
      </c>
    </row>
    <row r="9" spans="1:9" s="101" customFormat="1" x14ac:dyDescent="0.25">
      <c r="A9" s="97" t="s">
        <v>67</v>
      </c>
      <c r="B9" s="97" t="s">
        <v>69</v>
      </c>
      <c r="C9" s="74" t="str">
        <f t="shared" si="0"/>
        <v>Natural GasTotal PM</v>
      </c>
      <c r="D9" s="128">
        <v>28</v>
      </c>
      <c r="E9" s="128">
        <v>28</v>
      </c>
      <c r="F9" s="128">
        <v>28</v>
      </c>
      <c r="G9" s="57" t="s">
        <v>39</v>
      </c>
      <c r="H9" s="57" t="s">
        <v>91</v>
      </c>
      <c r="I9" s="57" t="s">
        <v>120</v>
      </c>
    </row>
    <row r="10" spans="1:9" s="101" customFormat="1" ht="15.6" x14ac:dyDescent="0.25">
      <c r="A10" s="97" t="s">
        <v>67</v>
      </c>
      <c r="B10" s="97" t="s">
        <v>74</v>
      </c>
      <c r="C10" s="74" t="str">
        <f t="shared" si="0"/>
        <v>Natural GasPM10</v>
      </c>
      <c r="D10" s="128">
        <v>6.5</v>
      </c>
      <c r="E10" s="128">
        <v>6.5</v>
      </c>
      <c r="F10" s="128">
        <v>2.3E-2</v>
      </c>
      <c r="G10" s="57" t="s">
        <v>39</v>
      </c>
      <c r="H10" s="57" t="s">
        <v>91</v>
      </c>
      <c r="I10" s="57" t="s">
        <v>444</v>
      </c>
    </row>
    <row r="11" spans="1:9" s="101" customFormat="1" ht="15.6" x14ac:dyDescent="0.25">
      <c r="A11" s="97" t="s">
        <v>67</v>
      </c>
      <c r="B11" s="97" t="s">
        <v>75</v>
      </c>
      <c r="C11" s="74" t="str">
        <f t="shared" si="0"/>
        <v>Natural GasPM2.5</v>
      </c>
      <c r="D11" s="128">
        <v>6.5</v>
      </c>
      <c r="E11" s="128">
        <v>6.5</v>
      </c>
      <c r="F11" s="128">
        <v>2.3E-2</v>
      </c>
      <c r="G11" s="57" t="s">
        <v>39</v>
      </c>
      <c r="H11" s="57" t="s">
        <v>91</v>
      </c>
      <c r="I11" s="57" t="s">
        <v>446</v>
      </c>
    </row>
    <row r="12" spans="1:9" s="101" customFormat="1" x14ac:dyDescent="0.25">
      <c r="A12" s="97" t="s">
        <v>68</v>
      </c>
      <c r="B12" s="57" t="s">
        <v>62</v>
      </c>
      <c r="C12" s="74" t="str">
        <f t="shared" si="0"/>
        <v>Oil - DistillateCO</v>
      </c>
      <c r="D12" s="128">
        <v>0.13</v>
      </c>
      <c r="E12" s="128">
        <f t="shared" si="1"/>
        <v>0.13</v>
      </c>
      <c r="F12" s="128">
        <f t="shared" si="1"/>
        <v>0.13</v>
      </c>
      <c r="G12" s="57" t="s">
        <v>39</v>
      </c>
      <c r="H12" s="57" t="s">
        <v>91</v>
      </c>
      <c r="I12" s="57" t="s">
        <v>92</v>
      </c>
    </row>
    <row r="13" spans="1:9" s="101" customFormat="1" x14ac:dyDescent="0.25">
      <c r="A13" s="97" t="s">
        <v>68</v>
      </c>
      <c r="B13" s="57" t="s">
        <v>90</v>
      </c>
      <c r="C13" s="74" t="str">
        <f t="shared" si="0"/>
        <v>Oil - DistillateNOx</v>
      </c>
      <c r="D13" s="128">
        <v>5.5E-2</v>
      </c>
      <c r="E13" s="128">
        <f t="shared" si="1"/>
        <v>5.5E-2</v>
      </c>
      <c r="F13" s="128">
        <f t="shared" si="1"/>
        <v>5.5E-2</v>
      </c>
      <c r="G13" s="57" t="s">
        <v>39</v>
      </c>
      <c r="H13" s="57" t="s">
        <v>91</v>
      </c>
      <c r="I13" s="57" t="s">
        <v>92</v>
      </c>
    </row>
    <row r="14" spans="1:9" s="101" customFormat="1" x14ac:dyDescent="0.25">
      <c r="A14" s="97" t="s">
        <v>68</v>
      </c>
      <c r="B14" s="57" t="s">
        <v>89</v>
      </c>
      <c r="C14" s="74" t="str">
        <f t="shared" si="0"/>
        <v>Oil - DistillateSO2</v>
      </c>
      <c r="D14" s="128">
        <v>1.0999999999999999E-2</v>
      </c>
      <c r="E14" s="128">
        <f t="shared" si="1"/>
        <v>1.0999999999999999E-2</v>
      </c>
      <c r="F14" s="128">
        <f t="shared" si="1"/>
        <v>1.0999999999999999E-2</v>
      </c>
      <c r="G14" s="57" t="s">
        <v>39</v>
      </c>
      <c r="H14" s="57" t="s">
        <v>91</v>
      </c>
      <c r="I14" s="57" t="s">
        <v>92</v>
      </c>
    </row>
    <row r="15" spans="1:9" s="101" customFormat="1" x14ac:dyDescent="0.25">
      <c r="A15" s="97" t="s">
        <v>68</v>
      </c>
      <c r="B15" s="75" t="s">
        <v>3</v>
      </c>
      <c r="C15" s="129" t="str">
        <f t="shared" si="0"/>
        <v>Oil - DistillateVOC</v>
      </c>
      <c r="D15" s="128">
        <v>3.2000000000000001E-2</v>
      </c>
      <c r="E15" s="128">
        <v>3.2000000000000001E-2</v>
      </c>
      <c r="F15" s="128">
        <v>3.2000000000000001E-2</v>
      </c>
      <c r="G15" s="57" t="s">
        <v>39</v>
      </c>
      <c r="H15" s="57" t="s">
        <v>91</v>
      </c>
      <c r="I15" s="57" t="s">
        <v>121</v>
      </c>
    </row>
    <row r="16" spans="1:9" s="101" customFormat="1" x14ac:dyDescent="0.25">
      <c r="A16" s="97" t="s">
        <v>68</v>
      </c>
      <c r="B16" s="97" t="s">
        <v>69</v>
      </c>
      <c r="C16" s="129" t="str">
        <f t="shared" si="0"/>
        <v>Oil - DistillateTotal PM</v>
      </c>
      <c r="D16" s="128">
        <v>28</v>
      </c>
      <c r="E16" s="128">
        <v>28</v>
      </c>
      <c r="F16" s="128">
        <v>28</v>
      </c>
      <c r="G16" s="57" t="s">
        <v>39</v>
      </c>
      <c r="H16" s="57" t="s">
        <v>91</v>
      </c>
      <c r="I16" s="57" t="s">
        <v>120</v>
      </c>
    </row>
    <row r="17" spans="1:9" s="101" customFormat="1" ht="14.25" customHeight="1" x14ac:dyDescent="0.25">
      <c r="A17" s="97" t="s">
        <v>68</v>
      </c>
      <c r="B17" s="97" t="s">
        <v>74</v>
      </c>
      <c r="C17" s="129" t="str">
        <f t="shared" si="0"/>
        <v>Oil - DistillatePM10</v>
      </c>
      <c r="D17" s="128">
        <v>6.5</v>
      </c>
      <c r="E17" s="128">
        <v>6.5</v>
      </c>
      <c r="F17" s="128">
        <v>2.3E-2</v>
      </c>
      <c r="G17" s="57" t="s">
        <v>39</v>
      </c>
      <c r="H17" s="57" t="s">
        <v>91</v>
      </c>
      <c r="I17" s="57" t="s">
        <v>444</v>
      </c>
    </row>
    <row r="18" spans="1:9" s="101" customFormat="1" ht="14.25" customHeight="1" x14ac:dyDescent="0.25">
      <c r="A18" s="97" t="s">
        <v>68</v>
      </c>
      <c r="B18" s="97" t="s">
        <v>75</v>
      </c>
      <c r="C18" s="129" t="str">
        <f t="shared" si="0"/>
        <v>Oil - DistillatePM2.5</v>
      </c>
      <c r="D18" s="128">
        <v>6.5</v>
      </c>
      <c r="E18" s="128">
        <v>6.5</v>
      </c>
      <c r="F18" s="128">
        <v>2.3E-2</v>
      </c>
      <c r="G18" s="57" t="s">
        <v>39</v>
      </c>
      <c r="H18" s="57" t="s">
        <v>91</v>
      </c>
      <c r="I18" s="57" t="s">
        <v>446</v>
      </c>
    </row>
    <row r="19" spans="1:9" s="101" customFormat="1" ht="14.25" customHeight="1" x14ac:dyDescent="0.25">
      <c r="A19" s="97" t="s">
        <v>88</v>
      </c>
      <c r="B19" s="57" t="s">
        <v>62</v>
      </c>
      <c r="C19" s="129" t="str">
        <f t="shared" si="0"/>
        <v>Oil - ResidualCO</v>
      </c>
      <c r="D19" s="128">
        <v>0.13</v>
      </c>
      <c r="E19" s="128">
        <f t="shared" ref="E19:F20" si="2">D19</f>
        <v>0.13</v>
      </c>
      <c r="F19" s="128">
        <f t="shared" si="2"/>
        <v>0.13</v>
      </c>
      <c r="G19" s="57" t="s">
        <v>39</v>
      </c>
      <c r="H19" s="57" t="s">
        <v>91</v>
      </c>
      <c r="I19" s="57" t="s">
        <v>445</v>
      </c>
    </row>
    <row r="20" spans="1:9" s="101" customFormat="1" ht="14.25" customHeight="1" x14ac:dyDescent="0.25">
      <c r="A20" s="97" t="s">
        <v>88</v>
      </c>
      <c r="B20" s="57" t="s">
        <v>90</v>
      </c>
      <c r="C20" s="129" t="str">
        <f t="shared" si="0"/>
        <v>Oil - ResidualNOx</v>
      </c>
      <c r="D20" s="128">
        <v>5.5E-2</v>
      </c>
      <c r="E20" s="128">
        <f t="shared" si="2"/>
        <v>5.5E-2</v>
      </c>
      <c r="F20" s="128">
        <f t="shared" si="2"/>
        <v>5.5E-2</v>
      </c>
      <c r="G20" s="57" t="s">
        <v>39</v>
      </c>
      <c r="H20" s="57" t="s">
        <v>91</v>
      </c>
      <c r="I20" s="57" t="s">
        <v>445</v>
      </c>
    </row>
    <row r="21" spans="1:9" s="101" customFormat="1" ht="14.25" customHeight="1" x14ac:dyDescent="0.25">
      <c r="A21" s="97" t="s">
        <v>88</v>
      </c>
      <c r="B21" s="57" t="s">
        <v>89</v>
      </c>
      <c r="C21" s="129" t="str">
        <f t="shared" si="0"/>
        <v>Oil - ResidualSO2</v>
      </c>
      <c r="D21" s="128">
        <v>5.8000000000000003E-2</v>
      </c>
      <c r="E21" s="128">
        <f>D21</f>
        <v>5.8000000000000003E-2</v>
      </c>
      <c r="F21" s="128">
        <f>E21</f>
        <v>5.8000000000000003E-2</v>
      </c>
      <c r="G21" s="57" t="s">
        <v>39</v>
      </c>
      <c r="H21" s="57" t="s">
        <v>91</v>
      </c>
      <c r="I21" s="57" t="s">
        <v>92</v>
      </c>
    </row>
    <row r="22" spans="1:9" s="101" customFormat="1" ht="14.25" customHeight="1" x14ac:dyDescent="0.25">
      <c r="A22" s="97" t="s">
        <v>88</v>
      </c>
      <c r="B22" s="75" t="s">
        <v>3</v>
      </c>
      <c r="C22" s="129" t="str">
        <f t="shared" si="0"/>
        <v>Oil - ResidualVOC</v>
      </c>
      <c r="D22" s="128">
        <v>3.2000000000000001E-2</v>
      </c>
      <c r="E22" s="128">
        <v>3.2000000000000001E-2</v>
      </c>
      <c r="F22" s="128">
        <v>3.2000000000000001E-2</v>
      </c>
      <c r="G22" s="57" t="s">
        <v>39</v>
      </c>
      <c r="H22" s="57" t="s">
        <v>91</v>
      </c>
      <c r="I22" s="57" t="s">
        <v>129</v>
      </c>
    </row>
    <row r="23" spans="1:9" s="101" customFormat="1" ht="14.25" customHeight="1" x14ac:dyDescent="0.25">
      <c r="A23" s="97" t="s">
        <v>88</v>
      </c>
      <c r="B23" s="97" t="s">
        <v>69</v>
      </c>
      <c r="C23" s="129" t="str">
        <f t="shared" si="0"/>
        <v>Oil - ResidualTotal PM</v>
      </c>
      <c r="D23" s="128">
        <v>28</v>
      </c>
      <c r="E23" s="128">
        <v>28</v>
      </c>
      <c r="F23" s="128">
        <v>28</v>
      </c>
      <c r="G23" s="57" t="s">
        <v>39</v>
      </c>
      <c r="H23" s="57" t="s">
        <v>91</v>
      </c>
      <c r="I23" s="57" t="s">
        <v>120</v>
      </c>
    </row>
    <row r="24" spans="1:9" s="101" customFormat="1" ht="14.25" customHeight="1" x14ac:dyDescent="0.25">
      <c r="A24" s="97" t="s">
        <v>88</v>
      </c>
      <c r="B24" s="97" t="s">
        <v>74</v>
      </c>
      <c r="C24" s="129" t="str">
        <f t="shared" si="0"/>
        <v>Oil - ResidualPM10</v>
      </c>
      <c r="D24" s="128">
        <v>6.5</v>
      </c>
      <c r="E24" s="128">
        <v>6.5</v>
      </c>
      <c r="F24" s="128">
        <v>2.3E-2</v>
      </c>
      <c r="G24" s="57" t="s">
        <v>39</v>
      </c>
      <c r="H24" s="57" t="s">
        <v>91</v>
      </c>
      <c r="I24" s="57" t="s">
        <v>444</v>
      </c>
    </row>
    <row r="25" spans="1:9" s="101" customFormat="1" ht="14.25" customHeight="1" x14ac:dyDescent="0.25">
      <c r="A25" s="97" t="s">
        <v>88</v>
      </c>
      <c r="B25" s="97" t="s">
        <v>75</v>
      </c>
      <c r="C25" s="129" t="str">
        <f t="shared" si="0"/>
        <v>Oil - ResidualPM2.5</v>
      </c>
      <c r="D25" s="128">
        <v>6.5</v>
      </c>
      <c r="E25" s="128">
        <v>6.5</v>
      </c>
      <c r="F25" s="128">
        <v>2.3E-2</v>
      </c>
      <c r="G25" s="57" t="s">
        <v>39</v>
      </c>
      <c r="H25" s="57" t="s">
        <v>91</v>
      </c>
      <c r="I25" s="57" t="s">
        <v>446</v>
      </c>
    </row>
    <row r="26" spans="1:9" s="101" customFormat="1" x14ac:dyDescent="0.25">
      <c r="A26" s="97" t="s">
        <v>87</v>
      </c>
      <c r="B26" s="57" t="s">
        <v>62</v>
      </c>
      <c r="C26" s="74" t="str">
        <f t="shared" si="0"/>
        <v>Waste OilCO</v>
      </c>
      <c r="D26" s="128">
        <v>0.13</v>
      </c>
      <c r="E26" s="128">
        <f t="shared" si="1"/>
        <v>0.13</v>
      </c>
      <c r="F26" s="128">
        <f t="shared" si="1"/>
        <v>0.13</v>
      </c>
      <c r="G26" s="57" t="s">
        <v>39</v>
      </c>
      <c r="H26" s="57" t="s">
        <v>91</v>
      </c>
      <c r="I26" s="57" t="s">
        <v>92</v>
      </c>
    </row>
    <row r="27" spans="1:9" s="101" customFormat="1" x14ac:dyDescent="0.25">
      <c r="A27" s="97" t="s">
        <v>87</v>
      </c>
      <c r="B27" s="57" t="s">
        <v>90</v>
      </c>
      <c r="C27" s="74" t="str">
        <f t="shared" si="0"/>
        <v>Waste OilNOx</v>
      </c>
      <c r="D27" s="128">
        <v>5.5E-2</v>
      </c>
      <c r="E27" s="128">
        <f t="shared" si="1"/>
        <v>5.5E-2</v>
      </c>
      <c r="F27" s="128">
        <f t="shared" si="1"/>
        <v>5.5E-2</v>
      </c>
      <c r="G27" s="57" t="s">
        <v>39</v>
      </c>
      <c r="H27" s="57" t="s">
        <v>91</v>
      </c>
      <c r="I27" s="57" t="s">
        <v>92</v>
      </c>
    </row>
    <row r="28" spans="1:9" s="101" customFormat="1" x14ac:dyDescent="0.25">
      <c r="A28" s="97" t="s">
        <v>87</v>
      </c>
      <c r="B28" s="57" t="s">
        <v>89</v>
      </c>
      <c r="C28" s="74" t="str">
        <f t="shared" si="0"/>
        <v>Waste OilSO2</v>
      </c>
      <c r="D28" s="128">
        <v>5.8000000000000003E-2</v>
      </c>
      <c r="E28" s="128">
        <f t="shared" si="1"/>
        <v>5.8000000000000003E-2</v>
      </c>
      <c r="F28" s="128">
        <f t="shared" si="1"/>
        <v>5.8000000000000003E-2</v>
      </c>
      <c r="G28" s="57" t="s">
        <v>39</v>
      </c>
      <c r="H28" s="57" t="s">
        <v>91</v>
      </c>
      <c r="I28" s="57" t="s">
        <v>92</v>
      </c>
    </row>
    <row r="29" spans="1:9" s="101" customFormat="1" x14ac:dyDescent="0.25">
      <c r="A29" s="97" t="s">
        <v>87</v>
      </c>
      <c r="B29" s="75" t="s">
        <v>3</v>
      </c>
      <c r="C29" s="129" t="str">
        <f t="shared" si="0"/>
        <v>Waste OilVOC</v>
      </c>
      <c r="D29" s="128">
        <v>3.2000000000000001E-2</v>
      </c>
      <c r="E29" s="128">
        <v>3.2000000000000001E-2</v>
      </c>
      <c r="F29" s="128">
        <v>3.2000000000000001E-2</v>
      </c>
      <c r="G29" s="57" t="s">
        <v>39</v>
      </c>
      <c r="H29" s="57" t="s">
        <v>91</v>
      </c>
      <c r="I29" s="57" t="s">
        <v>121</v>
      </c>
    </row>
    <row r="30" spans="1:9" s="101" customFormat="1" x14ac:dyDescent="0.25">
      <c r="A30" s="97" t="s">
        <v>87</v>
      </c>
      <c r="B30" s="97" t="s">
        <v>69</v>
      </c>
      <c r="C30" s="129" t="str">
        <f t="shared" si="0"/>
        <v>Waste OilTotal PM</v>
      </c>
      <c r="D30" s="128">
        <v>28</v>
      </c>
      <c r="E30" s="128">
        <v>28</v>
      </c>
      <c r="F30" s="128">
        <v>28</v>
      </c>
      <c r="G30" s="57" t="s">
        <v>39</v>
      </c>
      <c r="H30" s="57" t="s">
        <v>91</v>
      </c>
      <c r="I30" s="57" t="s">
        <v>120</v>
      </c>
    </row>
    <row r="31" spans="1:9" s="101" customFormat="1" ht="15.6" x14ac:dyDescent="0.25">
      <c r="A31" s="97" t="s">
        <v>87</v>
      </c>
      <c r="B31" s="97" t="s">
        <v>74</v>
      </c>
      <c r="C31" s="129" t="str">
        <f t="shared" si="0"/>
        <v>Waste OilPM10</v>
      </c>
      <c r="D31" s="128">
        <v>6.5</v>
      </c>
      <c r="E31" s="128">
        <v>6.5</v>
      </c>
      <c r="F31" s="128">
        <v>2.3E-2</v>
      </c>
      <c r="G31" s="57" t="s">
        <v>39</v>
      </c>
      <c r="H31" s="57" t="s">
        <v>91</v>
      </c>
      <c r="I31" s="57" t="s">
        <v>444</v>
      </c>
    </row>
    <row r="32" spans="1:9" s="101" customFormat="1" ht="15.6" x14ac:dyDescent="0.25">
      <c r="A32" s="97" t="s">
        <v>87</v>
      </c>
      <c r="B32" s="97" t="s">
        <v>75</v>
      </c>
      <c r="C32" s="129" t="str">
        <f t="shared" si="0"/>
        <v>Waste OilPM2.5</v>
      </c>
      <c r="D32" s="128">
        <v>6.5</v>
      </c>
      <c r="E32" s="128">
        <v>6.5</v>
      </c>
      <c r="F32" s="128">
        <v>2.3E-2</v>
      </c>
      <c r="G32" s="57" t="s">
        <v>39</v>
      </c>
      <c r="H32" s="57" t="s">
        <v>91</v>
      </c>
      <c r="I32" s="57" t="s">
        <v>446</v>
      </c>
    </row>
    <row r="33" spans="1:9" s="101" customFormat="1" x14ac:dyDescent="0.25">
      <c r="A33" s="445" t="s">
        <v>119</v>
      </c>
      <c r="B33" s="445"/>
      <c r="C33" s="445"/>
      <c r="D33" s="445"/>
      <c r="E33" s="445"/>
      <c r="F33" s="445"/>
      <c r="G33" s="445"/>
      <c r="H33" s="445"/>
      <c r="I33" s="445"/>
    </row>
    <row r="34" spans="1:9" s="101" customFormat="1" x14ac:dyDescent="0.25">
      <c r="A34" s="97" t="s">
        <v>67</v>
      </c>
      <c r="B34" s="57" t="s">
        <v>62</v>
      </c>
      <c r="C34" s="74" t="str">
        <f t="shared" ref="C34:C61" si="3">A34&amp;B34</f>
        <v>Natural GasCO</v>
      </c>
      <c r="D34" s="128">
        <v>0.4</v>
      </c>
      <c r="E34" s="128">
        <v>0.4</v>
      </c>
      <c r="F34" s="128">
        <v>0.4</v>
      </c>
      <c r="G34" s="57" t="s">
        <v>39</v>
      </c>
      <c r="H34" s="57" t="s">
        <v>91</v>
      </c>
      <c r="I34" s="57" t="s">
        <v>443</v>
      </c>
    </row>
    <row r="35" spans="1:9" s="101" customFormat="1" x14ac:dyDescent="0.25">
      <c r="A35" s="97" t="s">
        <v>67</v>
      </c>
      <c r="B35" s="57" t="s">
        <v>90</v>
      </c>
      <c r="C35" s="74" t="str">
        <f t="shared" si="3"/>
        <v>Natural GasNOx</v>
      </c>
      <c r="D35" s="128">
        <v>2.5000000000000001E-2</v>
      </c>
      <c r="E35" s="128">
        <v>2.5000000000000001E-2</v>
      </c>
      <c r="F35" s="128">
        <v>2.5000000000000001E-2</v>
      </c>
      <c r="G35" s="57" t="s">
        <v>39</v>
      </c>
      <c r="H35" s="57" t="s">
        <v>91</v>
      </c>
      <c r="I35" s="57" t="s">
        <v>443</v>
      </c>
    </row>
    <row r="36" spans="1:9" s="101" customFormat="1" x14ac:dyDescent="0.25">
      <c r="A36" s="97" t="s">
        <v>67</v>
      </c>
      <c r="B36" s="57" t="s">
        <v>89</v>
      </c>
      <c r="C36" s="74" t="str">
        <f t="shared" si="3"/>
        <v>Natural GasSO2</v>
      </c>
      <c r="D36" s="128">
        <v>4.5999999999999999E-3</v>
      </c>
      <c r="E36" s="128">
        <v>4.5999999999999999E-3</v>
      </c>
      <c r="F36" s="128">
        <v>4.5999999999999999E-3</v>
      </c>
      <c r="G36" s="57" t="s">
        <v>39</v>
      </c>
      <c r="H36" s="57" t="s">
        <v>91</v>
      </c>
      <c r="I36" s="57" t="s">
        <v>443</v>
      </c>
    </row>
    <row r="37" spans="1:9" s="101" customFormat="1" x14ac:dyDescent="0.25">
      <c r="A37" s="97" t="s">
        <v>67</v>
      </c>
      <c r="B37" s="75" t="s">
        <v>3</v>
      </c>
      <c r="C37" s="129" t="str">
        <f t="shared" si="3"/>
        <v>Natural GasVOC</v>
      </c>
      <c r="D37" s="128">
        <v>8.2000000000000007E-3</v>
      </c>
      <c r="E37" s="128">
        <v>8.2000000000000007E-3</v>
      </c>
      <c r="F37" s="128">
        <v>8.2000000000000007E-3</v>
      </c>
      <c r="G37" s="57" t="s">
        <v>39</v>
      </c>
      <c r="H37" s="57" t="s">
        <v>91</v>
      </c>
      <c r="I37" s="57" t="s">
        <v>122</v>
      </c>
    </row>
    <row r="38" spans="1:9" s="101" customFormat="1" x14ac:dyDescent="0.25">
      <c r="A38" s="97" t="s">
        <v>67</v>
      </c>
      <c r="B38" s="97" t="s">
        <v>69</v>
      </c>
      <c r="C38" s="129" t="str">
        <f t="shared" si="3"/>
        <v>Natural GasTotal PM</v>
      </c>
      <c r="D38" s="128">
        <v>32</v>
      </c>
      <c r="E38" s="128">
        <v>32</v>
      </c>
      <c r="F38" s="128">
        <v>32</v>
      </c>
      <c r="G38" s="57" t="s">
        <v>39</v>
      </c>
      <c r="H38" s="57" t="s">
        <v>91</v>
      </c>
      <c r="I38" s="57" t="s">
        <v>123</v>
      </c>
    </row>
    <row r="39" spans="1:9" s="101" customFormat="1" ht="15.6" x14ac:dyDescent="0.25">
      <c r="A39" s="97" t="s">
        <v>67</v>
      </c>
      <c r="B39" s="97" t="s">
        <v>74</v>
      </c>
      <c r="C39" s="129" t="str">
        <f t="shared" si="3"/>
        <v>Natural GasPM10</v>
      </c>
      <c r="D39" s="128">
        <v>4.5</v>
      </c>
      <c r="E39" s="128">
        <v>4.5</v>
      </c>
      <c r="F39" s="128">
        <v>2.7E-2</v>
      </c>
      <c r="G39" s="57" t="s">
        <v>39</v>
      </c>
      <c r="H39" s="57" t="s">
        <v>91</v>
      </c>
      <c r="I39" s="57" t="s">
        <v>123</v>
      </c>
    </row>
    <row r="40" spans="1:9" s="101" customFormat="1" ht="15.6" x14ac:dyDescent="0.25">
      <c r="A40" s="97" t="s">
        <v>67</v>
      </c>
      <c r="B40" s="97" t="s">
        <v>75</v>
      </c>
      <c r="C40" s="129" t="str">
        <f t="shared" si="3"/>
        <v>Natural GasPM2.5</v>
      </c>
      <c r="D40" s="128">
        <v>4.5</v>
      </c>
      <c r="E40" s="128">
        <v>4.5</v>
      </c>
      <c r="F40" s="128">
        <v>2.7E-2</v>
      </c>
      <c r="G40" s="57" t="s">
        <v>39</v>
      </c>
      <c r="H40" s="57" t="s">
        <v>91</v>
      </c>
      <c r="I40" s="57" t="s">
        <v>446</v>
      </c>
    </row>
    <row r="41" spans="1:9" s="101" customFormat="1" x14ac:dyDescent="0.25">
      <c r="A41" s="97" t="s">
        <v>68</v>
      </c>
      <c r="B41" s="57" t="s">
        <v>62</v>
      </c>
      <c r="C41" s="74" t="str">
        <f t="shared" si="3"/>
        <v>Oil - DistillateCO</v>
      </c>
      <c r="D41" s="128">
        <v>0.4</v>
      </c>
      <c r="E41" s="128">
        <v>0.4</v>
      </c>
      <c r="F41" s="128">
        <v>0.4</v>
      </c>
      <c r="G41" s="57" t="s">
        <v>39</v>
      </c>
      <c r="H41" s="57" t="s">
        <v>91</v>
      </c>
      <c r="I41" s="57" t="s">
        <v>443</v>
      </c>
    </row>
    <row r="42" spans="1:9" s="101" customFormat="1" x14ac:dyDescent="0.25">
      <c r="A42" s="97" t="s">
        <v>68</v>
      </c>
      <c r="B42" s="57" t="s">
        <v>90</v>
      </c>
      <c r="C42" s="74" t="str">
        <f t="shared" si="3"/>
        <v>Oil - DistillateNOx</v>
      </c>
      <c r="D42" s="128">
        <v>0.12</v>
      </c>
      <c r="E42" s="128">
        <v>0.12</v>
      </c>
      <c r="F42" s="128">
        <v>0.12</v>
      </c>
      <c r="G42" s="57" t="s">
        <v>39</v>
      </c>
      <c r="H42" s="57" t="s">
        <v>91</v>
      </c>
      <c r="I42" s="57" t="s">
        <v>443</v>
      </c>
    </row>
    <row r="43" spans="1:9" s="101" customFormat="1" x14ac:dyDescent="0.25">
      <c r="A43" s="97" t="s">
        <v>68</v>
      </c>
      <c r="B43" s="57" t="s">
        <v>89</v>
      </c>
      <c r="C43" s="74" t="str">
        <f t="shared" si="3"/>
        <v>Oil - DistillateSO2</v>
      </c>
      <c r="D43" s="128">
        <v>8.7999999999999995E-2</v>
      </c>
      <c r="E43" s="128">
        <v>8.7999999999999995E-2</v>
      </c>
      <c r="F43" s="128">
        <v>8.7999999999999995E-2</v>
      </c>
      <c r="G43" s="57" t="s">
        <v>39</v>
      </c>
      <c r="H43" s="57" t="s">
        <v>91</v>
      </c>
      <c r="I43" s="57" t="s">
        <v>443</v>
      </c>
    </row>
    <row r="44" spans="1:9" s="101" customFormat="1" x14ac:dyDescent="0.25">
      <c r="A44" s="97" t="s">
        <v>68</v>
      </c>
      <c r="B44" s="75" t="s">
        <v>3</v>
      </c>
      <c r="C44" s="129" t="str">
        <f t="shared" si="3"/>
        <v>Oil - DistillateVOC</v>
      </c>
      <c r="D44" s="128">
        <v>8.0000000000000002E-3</v>
      </c>
      <c r="E44" s="128">
        <v>8.2000000000000007E-3</v>
      </c>
      <c r="F44" s="128">
        <v>8.2000000000000007E-3</v>
      </c>
      <c r="G44" s="57" t="s">
        <v>39</v>
      </c>
      <c r="H44" s="57" t="s">
        <v>91</v>
      </c>
      <c r="I44" s="57" t="s">
        <v>122</v>
      </c>
    </row>
    <row r="45" spans="1:9" s="101" customFormat="1" x14ac:dyDescent="0.25">
      <c r="A45" s="97" t="s">
        <v>68</v>
      </c>
      <c r="B45" s="97" t="s">
        <v>69</v>
      </c>
      <c r="C45" s="129" t="str">
        <f t="shared" si="3"/>
        <v>Oil - DistillateTotal PM</v>
      </c>
      <c r="D45" s="128">
        <v>32</v>
      </c>
      <c r="E45" s="128">
        <v>32</v>
      </c>
      <c r="F45" s="128">
        <v>32</v>
      </c>
      <c r="G45" s="57" t="s">
        <v>39</v>
      </c>
      <c r="H45" s="57" t="s">
        <v>91</v>
      </c>
      <c r="I45" s="57" t="s">
        <v>123</v>
      </c>
    </row>
    <row r="46" spans="1:9" s="101" customFormat="1" ht="15.6" x14ac:dyDescent="0.25">
      <c r="A46" s="97" t="s">
        <v>68</v>
      </c>
      <c r="B46" s="97" t="s">
        <v>74</v>
      </c>
      <c r="C46" s="129" t="str">
        <f t="shared" si="3"/>
        <v>Oil - DistillatePM10</v>
      </c>
      <c r="D46" s="128">
        <v>4.5</v>
      </c>
      <c r="E46" s="128">
        <v>4.5</v>
      </c>
      <c r="F46" s="128">
        <v>2.7E-2</v>
      </c>
      <c r="G46" s="57" t="s">
        <v>39</v>
      </c>
      <c r="H46" s="57" t="s">
        <v>91</v>
      </c>
      <c r="I46" s="57" t="s">
        <v>123</v>
      </c>
    </row>
    <row r="47" spans="1:9" s="101" customFormat="1" ht="15.6" x14ac:dyDescent="0.25">
      <c r="A47" s="97" t="s">
        <v>68</v>
      </c>
      <c r="B47" s="97" t="s">
        <v>75</v>
      </c>
      <c r="C47" s="129" t="str">
        <f t="shared" si="3"/>
        <v>Oil - DistillatePM2.5</v>
      </c>
      <c r="D47" s="128">
        <v>4.5</v>
      </c>
      <c r="E47" s="128">
        <v>4.5</v>
      </c>
      <c r="F47" s="128">
        <v>2.7E-2</v>
      </c>
      <c r="G47" s="57" t="s">
        <v>39</v>
      </c>
      <c r="H47" s="57" t="s">
        <v>91</v>
      </c>
      <c r="I47" s="57" t="s">
        <v>446</v>
      </c>
    </row>
    <row r="48" spans="1:9" s="101" customFormat="1" ht="14.25" customHeight="1" x14ac:dyDescent="0.25">
      <c r="A48" s="97" t="s">
        <v>88</v>
      </c>
      <c r="B48" s="57" t="s">
        <v>62</v>
      </c>
      <c r="C48" s="129" t="str">
        <f t="shared" si="3"/>
        <v>Oil - ResidualCO</v>
      </c>
      <c r="D48" s="128">
        <v>0.4</v>
      </c>
      <c r="E48" s="128">
        <v>0.4</v>
      </c>
      <c r="F48" s="128">
        <v>0.4</v>
      </c>
      <c r="G48" s="57" t="s">
        <v>39</v>
      </c>
      <c r="H48" s="57" t="s">
        <v>91</v>
      </c>
      <c r="I48" s="57" t="s">
        <v>442</v>
      </c>
    </row>
    <row r="49" spans="1:9" s="101" customFormat="1" ht="14.25" customHeight="1" x14ac:dyDescent="0.25">
      <c r="A49" s="97" t="s">
        <v>88</v>
      </c>
      <c r="B49" s="57" t="s">
        <v>90</v>
      </c>
      <c r="C49" s="129" t="str">
        <f t="shared" si="3"/>
        <v>Oil - ResidualNOx</v>
      </c>
      <c r="D49" s="128">
        <v>0.12</v>
      </c>
      <c r="E49" s="128">
        <f t="shared" ref="E49:F49" si="4">D49</f>
        <v>0.12</v>
      </c>
      <c r="F49" s="128">
        <f t="shared" si="4"/>
        <v>0.12</v>
      </c>
      <c r="G49" s="57" t="s">
        <v>39</v>
      </c>
      <c r="H49" s="57" t="s">
        <v>91</v>
      </c>
      <c r="I49" s="57" t="s">
        <v>442</v>
      </c>
    </row>
    <row r="50" spans="1:9" s="101" customFormat="1" ht="14.25" customHeight="1" x14ac:dyDescent="0.25">
      <c r="A50" s="97" t="s">
        <v>88</v>
      </c>
      <c r="B50" s="57" t="s">
        <v>89</v>
      </c>
      <c r="C50" s="129" t="str">
        <f t="shared" si="3"/>
        <v>Oil - ResidualSO2</v>
      </c>
      <c r="D50" s="128">
        <v>8.7999999999999995E-2</v>
      </c>
      <c r="E50" s="128">
        <f>D50</f>
        <v>8.7999999999999995E-2</v>
      </c>
      <c r="F50" s="128">
        <f>E50</f>
        <v>8.7999999999999995E-2</v>
      </c>
      <c r="G50" s="57" t="s">
        <v>39</v>
      </c>
      <c r="H50" s="57" t="s">
        <v>91</v>
      </c>
      <c r="I50" s="57" t="s">
        <v>442</v>
      </c>
    </row>
    <row r="51" spans="1:9" s="101" customFormat="1" ht="14.25" customHeight="1" x14ac:dyDescent="0.25">
      <c r="A51" s="97" t="s">
        <v>88</v>
      </c>
      <c r="B51" s="75" t="s">
        <v>3</v>
      </c>
      <c r="C51" s="129" t="str">
        <f t="shared" si="3"/>
        <v>Oil - ResidualVOC</v>
      </c>
      <c r="D51" s="128">
        <v>3.5999999999999997E-2</v>
      </c>
      <c r="E51" s="137">
        <v>3.5999999999999997E-2</v>
      </c>
      <c r="F51" s="137">
        <v>3.5999999999999997E-2</v>
      </c>
      <c r="G51" s="57" t="s">
        <v>39</v>
      </c>
      <c r="H51" s="57" t="s">
        <v>91</v>
      </c>
      <c r="I51" s="57" t="s">
        <v>122</v>
      </c>
    </row>
    <row r="52" spans="1:9" s="101" customFormat="1" ht="14.25" customHeight="1" x14ac:dyDescent="0.25">
      <c r="A52" s="97" t="s">
        <v>88</v>
      </c>
      <c r="B52" s="97" t="s">
        <v>69</v>
      </c>
      <c r="C52" s="129" t="str">
        <f t="shared" si="3"/>
        <v>Oil - ResidualTotal PM</v>
      </c>
      <c r="D52" s="128">
        <v>32</v>
      </c>
      <c r="E52" s="137">
        <v>32</v>
      </c>
      <c r="F52" s="137">
        <v>32</v>
      </c>
      <c r="G52" s="57" t="s">
        <v>39</v>
      </c>
      <c r="H52" s="57" t="s">
        <v>91</v>
      </c>
      <c r="I52" s="57" t="s">
        <v>123</v>
      </c>
    </row>
    <row r="53" spans="1:9" s="101" customFormat="1" ht="14.25" customHeight="1" x14ac:dyDescent="0.25">
      <c r="A53" s="97" t="s">
        <v>88</v>
      </c>
      <c r="B53" s="97" t="s">
        <v>74</v>
      </c>
      <c r="C53" s="129" t="str">
        <f t="shared" si="3"/>
        <v>Oil - ResidualPM10</v>
      </c>
      <c r="D53" s="128">
        <v>4.5</v>
      </c>
      <c r="E53" s="137">
        <v>4.5</v>
      </c>
      <c r="F53" s="128">
        <v>2.7E-2</v>
      </c>
      <c r="G53" s="57" t="s">
        <v>39</v>
      </c>
      <c r="H53" s="57" t="s">
        <v>91</v>
      </c>
      <c r="I53" s="57" t="s">
        <v>123</v>
      </c>
    </row>
    <row r="54" spans="1:9" s="101" customFormat="1" ht="14.25" customHeight="1" x14ac:dyDescent="0.25">
      <c r="A54" s="97" t="s">
        <v>88</v>
      </c>
      <c r="B54" s="97" t="s">
        <v>75</v>
      </c>
      <c r="C54" s="129" t="str">
        <f t="shared" si="3"/>
        <v>Oil - ResidualPM2.5</v>
      </c>
      <c r="D54" s="128">
        <v>4.5</v>
      </c>
      <c r="E54" s="128">
        <v>4.5</v>
      </c>
      <c r="F54" s="128">
        <v>2.7E-2</v>
      </c>
      <c r="G54" s="57" t="s">
        <v>39</v>
      </c>
      <c r="H54" s="57" t="s">
        <v>91</v>
      </c>
      <c r="I54" s="57" t="s">
        <v>446</v>
      </c>
    </row>
    <row r="55" spans="1:9" s="101" customFormat="1" x14ac:dyDescent="0.25">
      <c r="A55" s="97" t="s">
        <v>87</v>
      </c>
      <c r="B55" s="57" t="s">
        <v>62</v>
      </c>
      <c r="C55" s="74" t="str">
        <f t="shared" si="3"/>
        <v>Waste OilCO</v>
      </c>
      <c r="D55" s="128">
        <v>0.4</v>
      </c>
      <c r="E55" s="128">
        <v>0.4</v>
      </c>
      <c r="F55" s="128">
        <v>0.4</v>
      </c>
      <c r="G55" s="57" t="s">
        <v>39</v>
      </c>
      <c r="H55" s="57" t="s">
        <v>91</v>
      </c>
      <c r="I55" s="57" t="s">
        <v>443</v>
      </c>
    </row>
    <row r="56" spans="1:9" s="101" customFormat="1" x14ac:dyDescent="0.25">
      <c r="A56" s="97" t="s">
        <v>87</v>
      </c>
      <c r="B56" s="57" t="s">
        <v>90</v>
      </c>
      <c r="C56" s="74" t="str">
        <f t="shared" si="3"/>
        <v>Waste OilNOx</v>
      </c>
      <c r="D56" s="128">
        <v>0.12</v>
      </c>
      <c r="E56" s="128">
        <v>0.12</v>
      </c>
      <c r="F56" s="128">
        <v>0.12</v>
      </c>
      <c r="G56" s="57" t="s">
        <v>39</v>
      </c>
      <c r="H56" s="57" t="s">
        <v>91</v>
      </c>
      <c r="I56" s="57" t="s">
        <v>443</v>
      </c>
    </row>
    <row r="57" spans="1:9" s="101" customFormat="1" x14ac:dyDescent="0.25">
      <c r="A57" s="97" t="s">
        <v>87</v>
      </c>
      <c r="B57" s="57" t="s">
        <v>89</v>
      </c>
      <c r="C57" s="74" t="str">
        <f t="shared" si="3"/>
        <v>Waste OilSO2</v>
      </c>
      <c r="D57" s="128">
        <v>8.7999999999999995E-2</v>
      </c>
      <c r="E57" s="128">
        <v>8.7999999999999995E-2</v>
      </c>
      <c r="F57" s="128">
        <v>8.7999999999999995E-2</v>
      </c>
      <c r="G57" s="57" t="s">
        <v>39</v>
      </c>
      <c r="H57" s="57" t="s">
        <v>91</v>
      </c>
      <c r="I57" s="57" t="s">
        <v>443</v>
      </c>
    </row>
    <row r="58" spans="1:9" s="101" customFormat="1" x14ac:dyDescent="0.25">
      <c r="A58" s="97" t="s">
        <v>87</v>
      </c>
      <c r="B58" s="75" t="s">
        <v>3</v>
      </c>
      <c r="C58" s="129" t="str">
        <f t="shared" si="3"/>
        <v>Waste OilVOC</v>
      </c>
      <c r="D58" s="128">
        <v>3.5999999999999997E-2</v>
      </c>
      <c r="E58" s="128">
        <v>3.5999999999999997E-2</v>
      </c>
      <c r="F58" s="128">
        <v>3.5999999999999997E-2</v>
      </c>
      <c r="G58" s="57" t="s">
        <v>39</v>
      </c>
      <c r="H58" s="57" t="s">
        <v>91</v>
      </c>
      <c r="I58" s="57" t="s">
        <v>122</v>
      </c>
    </row>
    <row r="59" spans="1:9" s="101" customFormat="1" x14ac:dyDescent="0.25">
      <c r="A59" s="97" t="s">
        <v>87</v>
      </c>
      <c r="B59" s="97" t="s">
        <v>69</v>
      </c>
      <c r="C59" s="129" t="str">
        <f t="shared" si="3"/>
        <v>Waste OilTotal PM</v>
      </c>
      <c r="D59" s="128">
        <v>32</v>
      </c>
      <c r="E59" s="128">
        <v>32</v>
      </c>
      <c r="F59" s="128">
        <v>32</v>
      </c>
      <c r="G59" s="57" t="s">
        <v>39</v>
      </c>
      <c r="H59" s="57" t="s">
        <v>91</v>
      </c>
      <c r="I59" s="57" t="s">
        <v>123</v>
      </c>
    </row>
    <row r="60" spans="1:9" s="101" customFormat="1" ht="15.6" x14ac:dyDescent="0.25">
      <c r="A60" s="97" t="s">
        <v>87</v>
      </c>
      <c r="B60" s="97" t="s">
        <v>74</v>
      </c>
      <c r="C60" s="129" t="str">
        <f t="shared" si="3"/>
        <v>Waste OilPM10</v>
      </c>
      <c r="D60" s="128">
        <v>4.5</v>
      </c>
      <c r="E60" s="128">
        <v>4.5</v>
      </c>
      <c r="F60" s="128">
        <v>2.7E-2</v>
      </c>
      <c r="G60" s="57" t="s">
        <v>39</v>
      </c>
      <c r="H60" s="57" t="s">
        <v>91</v>
      </c>
      <c r="I60" s="57" t="s">
        <v>123</v>
      </c>
    </row>
    <row r="61" spans="1:9" s="101" customFormat="1" ht="15.6" x14ac:dyDescent="0.25">
      <c r="A61" s="290" t="s">
        <v>87</v>
      </c>
      <c r="B61" s="290" t="s">
        <v>75</v>
      </c>
      <c r="C61" s="291" t="str">
        <f t="shared" si="3"/>
        <v>Waste OilPM2.5</v>
      </c>
      <c r="D61" s="292">
        <v>4.5</v>
      </c>
      <c r="E61" s="292">
        <v>4.5</v>
      </c>
      <c r="F61" s="128">
        <v>2.7E-2</v>
      </c>
      <c r="G61" s="293" t="s">
        <v>39</v>
      </c>
      <c r="H61" s="293" t="s">
        <v>91</v>
      </c>
      <c r="I61" s="293" t="s">
        <v>446</v>
      </c>
    </row>
    <row r="62" spans="1:9" s="299" customFormat="1" ht="15.75" customHeight="1" x14ac:dyDescent="0.25">
      <c r="A62" s="447" t="s">
        <v>95</v>
      </c>
      <c r="B62" s="448"/>
      <c r="C62" s="448"/>
      <c r="D62" s="448"/>
      <c r="E62" s="448"/>
      <c r="F62" s="448"/>
      <c r="G62" s="448"/>
      <c r="H62" s="448"/>
      <c r="I62" s="449"/>
    </row>
    <row r="63" spans="1:9" s="101" customFormat="1" x14ac:dyDescent="0.25">
      <c r="A63" s="294" t="s">
        <v>68</v>
      </c>
      <c r="B63" s="295" t="s">
        <v>3</v>
      </c>
      <c r="C63" s="295" t="str">
        <f t="shared" ref="C63:C97" si="5">A63&amp;B63</f>
        <v>Oil - DistillateVOC</v>
      </c>
      <c r="D63" s="296">
        <v>0.2</v>
      </c>
      <c r="E63" s="296">
        <f t="shared" ref="E63:E83" si="6">D63</f>
        <v>0.2</v>
      </c>
      <c r="F63" s="296"/>
      <c r="G63" s="297" t="s">
        <v>39</v>
      </c>
      <c r="H63" s="297" t="s">
        <v>70</v>
      </c>
      <c r="I63" s="298" t="s">
        <v>71</v>
      </c>
    </row>
    <row r="64" spans="1:9" s="101" customFormat="1" ht="15.6" x14ac:dyDescent="0.25">
      <c r="A64" s="57" t="s">
        <v>68</v>
      </c>
      <c r="B64" s="97" t="s">
        <v>72</v>
      </c>
      <c r="C64" s="130" t="str">
        <f t="shared" si="5"/>
        <v>Oil - DistillateNOx</v>
      </c>
      <c r="D64" s="131">
        <v>20</v>
      </c>
      <c r="E64" s="131">
        <f t="shared" si="6"/>
        <v>20</v>
      </c>
      <c r="F64" s="131"/>
      <c r="G64" s="132" t="s">
        <v>39</v>
      </c>
      <c r="H64" s="132" t="s">
        <v>70</v>
      </c>
      <c r="I64" s="97" t="s">
        <v>71</v>
      </c>
    </row>
    <row r="65" spans="1:9" s="101" customFormat="1" x14ac:dyDescent="0.25">
      <c r="A65" s="57" t="s">
        <v>68</v>
      </c>
      <c r="B65" s="97" t="s">
        <v>62</v>
      </c>
      <c r="C65" s="130" t="str">
        <f t="shared" si="5"/>
        <v>Oil - DistillateCO</v>
      </c>
      <c r="D65" s="131">
        <v>5</v>
      </c>
      <c r="E65" s="131">
        <f t="shared" si="6"/>
        <v>5</v>
      </c>
      <c r="F65" s="131"/>
      <c r="G65" s="132" t="s">
        <v>39</v>
      </c>
      <c r="H65" s="132" t="s">
        <v>70</v>
      </c>
      <c r="I65" s="97" t="s">
        <v>71</v>
      </c>
    </row>
    <row r="66" spans="1:9" s="101" customFormat="1" ht="15.6" x14ac:dyDescent="0.25">
      <c r="A66" s="57" t="s">
        <v>68</v>
      </c>
      <c r="B66" s="97" t="s">
        <v>73</v>
      </c>
      <c r="C66" s="130" t="str">
        <f t="shared" si="5"/>
        <v>Oil - DistillateSO2</v>
      </c>
      <c r="D66" s="133">
        <f>IF(Heater_Fuel_Sulfur_Content=0,142*Oil_Distillate_Uncontrolled_Sulfur_Content,142*Heater_Fuel_Sulfur_Content)</f>
        <v>34.08</v>
      </c>
      <c r="E66" s="131">
        <f>IF(D66&gt;142*Oil_Distillate_Registration_Sulfur_Content,D66,142*Oil_Distillate_Registration_Sulfur_Content)</f>
        <v>71</v>
      </c>
      <c r="F66" s="131"/>
      <c r="G66" s="132" t="s">
        <v>39</v>
      </c>
      <c r="H66" s="132" t="s">
        <v>70</v>
      </c>
      <c r="I66" s="97" t="s">
        <v>71</v>
      </c>
    </row>
    <row r="67" spans="1:9" s="101" customFormat="1" x14ac:dyDescent="0.25">
      <c r="A67" s="57" t="s">
        <v>68</v>
      </c>
      <c r="B67" s="97" t="s">
        <v>69</v>
      </c>
      <c r="C67" s="130" t="str">
        <f t="shared" si="5"/>
        <v>Oil - DistillateTotal PM</v>
      </c>
      <c r="D67" s="131">
        <v>4.5999999999999996</v>
      </c>
      <c r="E67" s="131">
        <f t="shared" si="6"/>
        <v>4.5999999999999996</v>
      </c>
      <c r="F67" s="131"/>
      <c r="G67" s="132" t="s">
        <v>39</v>
      </c>
      <c r="H67" s="132" t="s">
        <v>70</v>
      </c>
      <c r="I67" s="97" t="s">
        <v>71</v>
      </c>
    </row>
    <row r="68" spans="1:9" s="101" customFormat="1" ht="15.6" x14ac:dyDescent="0.25">
      <c r="A68" s="57" t="s">
        <v>68</v>
      </c>
      <c r="B68" s="97" t="s">
        <v>74</v>
      </c>
      <c r="C68" s="130" t="str">
        <f t="shared" si="5"/>
        <v>Oil - DistillatePM10</v>
      </c>
      <c r="D68" s="131">
        <v>2.2999999999999998</v>
      </c>
      <c r="E68" s="131">
        <f t="shared" si="6"/>
        <v>2.2999999999999998</v>
      </c>
      <c r="F68" s="131"/>
      <c r="G68" s="132" t="s">
        <v>39</v>
      </c>
      <c r="H68" s="132" t="s">
        <v>70</v>
      </c>
      <c r="I68" s="97" t="s">
        <v>71</v>
      </c>
    </row>
    <row r="69" spans="1:9" s="101" customFormat="1" ht="15.6" x14ac:dyDescent="0.25">
      <c r="A69" s="57" t="s">
        <v>68</v>
      </c>
      <c r="B69" s="97" t="s">
        <v>75</v>
      </c>
      <c r="C69" s="130" t="str">
        <f t="shared" si="5"/>
        <v>Oil - DistillatePM2.5</v>
      </c>
      <c r="D69" s="131">
        <v>1.55</v>
      </c>
      <c r="E69" s="131">
        <f t="shared" si="6"/>
        <v>1.55</v>
      </c>
      <c r="F69" s="131"/>
      <c r="G69" s="132" t="s">
        <v>39</v>
      </c>
      <c r="H69" s="132" t="s">
        <v>70</v>
      </c>
      <c r="I69" s="97" t="s">
        <v>71</v>
      </c>
    </row>
    <row r="70" spans="1:9" s="101" customFormat="1" x14ac:dyDescent="0.25">
      <c r="A70" s="57" t="s">
        <v>88</v>
      </c>
      <c r="B70" s="130" t="s">
        <v>3</v>
      </c>
      <c r="C70" s="130" t="str">
        <f t="shared" si="5"/>
        <v>Oil - ResidualVOC</v>
      </c>
      <c r="D70" s="131">
        <v>0.28000000000000003</v>
      </c>
      <c r="E70" s="131">
        <f t="shared" si="6"/>
        <v>0.28000000000000003</v>
      </c>
      <c r="F70" s="131"/>
      <c r="G70" s="132" t="s">
        <v>39</v>
      </c>
      <c r="H70" s="132" t="s">
        <v>70</v>
      </c>
      <c r="I70" s="97" t="s">
        <v>71</v>
      </c>
    </row>
    <row r="71" spans="1:9" s="101" customFormat="1" ht="15.6" x14ac:dyDescent="0.25">
      <c r="A71" s="57" t="s">
        <v>88</v>
      </c>
      <c r="B71" s="97" t="s">
        <v>72</v>
      </c>
      <c r="C71" s="130" t="str">
        <f t="shared" si="5"/>
        <v>Oil - ResidualNOx</v>
      </c>
      <c r="D71" s="131">
        <v>55</v>
      </c>
      <c r="E71" s="131">
        <f t="shared" si="6"/>
        <v>55</v>
      </c>
      <c r="F71" s="131"/>
      <c r="G71" s="132" t="s">
        <v>39</v>
      </c>
      <c r="H71" s="132" t="s">
        <v>70</v>
      </c>
      <c r="I71" s="97" t="s">
        <v>71</v>
      </c>
    </row>
    <row r="72" spans="1:9" s="101" customFormat="1" x14ac:dyDescent="0.25">
      <c r="A72" s="57" t="s">
        <v>88</v>
      </c>
      <c r="B72" s="97" t="s">
        <v>62</v>
      </c>
      <c r="C72" s="130" t="str">
        <f t="shared" si="5"/>
        <v>Oil - ResidualCO</v>
      </c>
      <c r="D72" s="131">
        <v>5</v>
      </c>
      <c r="E72" s="131">
        <f t="shared" si="6"/>
        <v>5</v>
      </c>
      <c r="F72" s="131"/>
      <c r="G72" s="132" t="s">
        <v>39</v>
      </c>
      <c r="H72" s="132" t="s">
        <v>70</v>
      </c>
      <c r="I72" s="97" t="s">
        <v>71</v>
      </c>
    </row>
    <row r="73" spans="1:9" s="101" customFormat="1" ht="15.6" x14ac:dyDescent="0.25">
      <c r="A73" s="57" t="s">
        <v>88</v>
      </c>
      <c r="B73" s="97" t="s">
        <v>73</v>
      </c>
      <c r="C73" s="130" t="str">
        <f t="shared" si="5"/>
        <v>Oil - ResidualSO2</v>
      </c>
      <c r="D73" s="133">
        <f>IF(Heater_Fuel_Sulfur_Content=0,157*Oil_Residual_Uncontrolled_Sulfur_Content,157*Heater_Fuel_Sulfur_Content)</f>
        <v>157</v>
      </c>
      <c r="E73" s="131">
        <f>IF(D73&gt;157*Oil_Residual_Registration_Sulfur_Content,D73,157*Oil_Residual_Registration_Sulfur_Content)</f>
        <v>274.75</v>
      </c>
      <c r="F73" s="131"/>
      <c r="G73" s="132" t="s">
        <v>39</v>
      </c>
      <c r="H73" s="132" t="s">
        <v>70</v>
      </c>
      <c r="I73" s="97" t="s">
        <v>71</v>
      </c>
    </row>
    <row r="74" spans="1:9" s="101" customFormat="1" x14ac:dyDescent="0.25">
      <c r="A74" s="57" t="s">
        <v>88</v>
      </c>
      <c r="B74" s="97" t="s">
        <v>69</v>
      </c>
      <c r="C74" s="130" t="str">
        <f t="shared" si="5"/>
        <v>Oil - ResidualTotal PM</v>
      </c>
      <c r="D74" s="134">
        <f>IF(Heater_Fuel_Sulfur_Content=0,8.34*(1.12*Oil_Residual_Uncontrolled_Sulfur_Content+0.37)+1.5,8.34*(1.12*Heater_Fuel_Sulfur_Content+0.37)+1.5)</f>
        <v>13.926600000000002</v>
      </c>
      <c r="E74" s="131">
        <f>IF(D74&gt;8.34*(1.12*Oil_Residual_Registration_Sulfur_Content+0.37)+1.5,D74,8.34*(1.12*Oil_Residual_Registration_Sulfur_Content+0.37)+1.5)</f>
        <v>20.932200000000002</v>
      </c>
      <c r="F74" s="131"/>
      <c r="G74" s="132" t="s">
        <v>39</v>
      </c>
      <c r="H74" s="132" t="s">
        <v>70</v>
      </c>
      <c r="I74" s="97" t="s">
        <v>71</v>
      </c>
    </row>
    <row r="75" spans="1:9" s="101" customFormat="1" ht="15.6" x14ac:dyDescent="0.25">
      <c r="A75" s="57" t="s">
        <v>88</v>
      </c>
      <c r="B75" s="97" t="s">
        <v>74</v>
      </c>
      <c r="C75" s="130" t="str">
        <f t="shared" si="5"/>
        <v>Oil - ResidualPM10</v>
      </c>
      <c r="D75" s="133">
        <f>IF(Heater_Fuel_Sulfur_Content=0,7.17*(1.12*Oil_Residual_Uncontrolled_Sulfur_Content+0.37)+1.5,7.17*(1.12*Heater_Fuel_Sulfur_Content+0.37)+1.5)</f>
        <v>12.183300000000001</v>
      </c>
      <c r="E75" s="131">
        <f>IF(D75&gt;7.17*(1.12*Oil_Residual_Registration_Sulfur_Content+0.37)+1.5,D75,7.17*(1.12*Oil_Residual_Registration_Sulfur_Content+0.37)+1.5)</f>
        <v>18.206099999999999</v>
      </c>
      <c r="F75" s="131"/>
      <c r="G75" s="132" t="s">
        <v>39</v>
      </c>
      <c r="H75" s="132" t="s">
        <v>70</v>
      </c>
      <c r="I75" s="97" t="s">
        <v>71</v>
      </c>
    </row>
    <row r="76" spans="1:9" s="101" customFormat="1" ht="15.6" x14ac:dyDescent="0.25">
      <c r="A76" s="57" t="s">
        <v>88</v>
      </c>
      <c r="B76" s="97" t="s">
        <v>75</v>
      </c>
      <c r="C76" s="130" t="str">
        <f t="shared" si="5"/>
        <v>Oil - ResidualPM2.5</v>
      </c>
      <c r="D76" s="133">
        <f>IF(Heater_Fuel_Sulfur_Content = 0, 4.67*(1.12*Oil_Residual_Uncontrolled_Sulfur_Content+0.37)+1.5,  4.67*(1.12*Heater_Fuel_Sulfur_Content+0.37)+1.5)</f>
        <v>8.4583000000000013</v>
      </c>
      <c r="E76" s="131">
        <f>IF(D76&gt;4.67*(1.12*Oil_Residual_Registration_Sulfur_Content+0.37)+1.5,D76,4.67*(1.12*Oil_Residual_Registration_Sulfur_Content+0.37)+1.5)</f>
        <v>12.3811</v>
      </c>
      <c r="F76" s="131"/>
      <c r="G76" s="132" t="s">
        <v>39</v>
      </c>
      <c r="H76" s="132" t="s">
        <v>70</v>
      </c>
      <c r="I76" s="97" t="s">
        <v>71</v>
      </c>
    </row>
    <row r="77" spans="1:9" s="101" customFormat="1" x14ac:dyDescent="0.25">
      <c r="A77" s="57" t="s">
        <v>67</v>
      </c>
      <c r="B77" s="130" t="s">
        <v>3</v>
      </c>
      <c r="C77" s="130" t="str">
        <f t="shared" si="5"/>
        <v>Natural GasVOC</v>
      </c>
      <c r="D77" s="131">
        <v>5.5</v>
      </c>
      <c r="E77" s="131">
        <f t="shared" si="6"/>
        <v>5.5</v>
      </c>
      <c r="F77" s="131"/>
      <c r="G77" s="132" t="s">
        <v>39</v>
      </c>
      <c r="H77" s="132" t="s">
        <v>448</v>
      </c>
      <c r="I77" s="97" t="s">
        <v>71</v>
      </c>
    </row>
    <row r="78" spans="1:9" s="101" customFormat="1" ht="15.6" x14ac:dyDescent="0.25">
      <c r="A78" s="57" t="s">
        <v>67</v>
      </c>
      <c r="B78" s="97" t="s">
        <v>72</v>
      </c>
      <c r="C78" s="130" t="str">
        <f t="shared" si="5"/>
        <v>Natural GasNOx</v>
      </c>
      <c r="D78" s="131">
        <v>100</v>
      </c>
      <c r="E78" s="131">
        <f t="shared" si="6"/>
        <v>100</v>
      </c>
      <c r="F78" s="131"/>
      <c r="G78" s="132" t="s">
        <v>39</v>
      </c>
      <c r="H78" s="132" t="s">
        <v>448</v>
      </c>
      <c r="I78" s="97" t="s">
        <v>71</v>
      </c>
    </row>
    <row r="79" spans="1:9" s="101" customFormat="1" x14ac:dyDescent="0.25">
      <c r="A79" s="57" t="s">
        <v>67</v>
      </c>
      <c r="B79" s="97" t="s">
        <v>62</v>
      </c>
      <c r="C79" s="130" t="str">
        <f t="shared" si="5"/>
        <v>Natural GasCO</v>
      </c>
      <c r="D79" s="131">
        <v>84</v>
      </c>
      <c r="E79" s="131">
        <f t="shared" si="6"/>
        <v>84</v>
      </c>
      <c r="F79" s="131"/>
      <c r="G79" s="132" t="s">
        <v>39</v>
      </c>
      <c r="H79" s="132" t="s">
        <v>448</v>
      </c>
      <c r="I79" s="97" t="s">
        <v>71</v>
      </c>
    </row>
    <row r="80" spans="1:9" s="101" customFormat="1" ht="15.6" x14ac:dyDescent="0.25">
      <c r="A80" s="57" t="s">
        <v>67</v>
      </c>
      <c r="B80" s="97" t="s">
        <v>73</v>
      </c>
      <c r="C80" s="130" t="str">
        <f t="shared" si="5"/>
        <v>Natural GasSO2</v>
      </c>
      <c r="D80" s="131">
        <f>IF(Heater_Fuel_Sulfur_Content=0,0.6,0.6*Heater_Fuel_Sulfur_Content/Natural_Gas_Unc_Sulfur_Content)</f>
        <v>0.6</v>
      </c>
      <c r="E80" s="131">
        <f>IF(D80&gt;D80*Natural_Gas_Registration_Sulfur_Content/Natural_Gas_Unc_Sulfur_Content,D80,D80*Natural_Gas_Registration_Sulfur_Content/Natural_Gas_Unc_Sulfur_Content)</f>
        <v>143.99999999999997</v>
      </c>
      <c r="F80" s="131"/>
      <c r="G80" s="132" t="s">
        <v>39</v>
      </c>
      <c r="H80" s="132" t="s">
        <v>448</v>
      </c>
      <c r="I80" s="97" t="s">
        <v>71</v>
      </c>
    </row>
    <row r="81" spans="1:9" s="101" customFormat="1" x14ac:dyDescent="0.25">
      <c r="A81" s="57" t="s">
        <v>67</v>
      </c>
      <c r="B81" s="97" t="s">
        <v>69</v>
      </c>
      <c r="C81" s="130" t="str">
        <f t="shared" si="5"/>
        <v>Natural GasTotal PM</v>
      </c>
      <c r="D81" s="126">
        <v>0.52</v>
      </c>
      <c r="E81" s="131">
        <f t="shared" si="6"/>
        <v>0.52</v>
      </c>
      <c r="F81" s="131"/>
      <c r="G81" s="132" t="s">
        <v>39</v>
      </c>
      <c r="H81" s="132" t="s">
        <v>448</v>
      </c>
      <c r="I81" s="97" t="s">
        <v>71</v>
      </c>
    </row>
    <row r="82" spans="1:9" s="101" customFormat="1" ht="15.6" x14ac:dyDescent="0.25">
      <c r="A82" s="57" t="s">
        <v>67</v>
      </c>
      <c r="B82" s="97" t="s">
        <v>74</v>
      </c>
      <c r="C82" s="130" t="str">
        <f t="shared" si="5"/>
        <v>Natural GasPM10</v>
      </c>
      <c r="D82" s="131">
        <v>0.52</v>
      </c>
      <c r="E82" s="131">
        <f t="shared" si="6"/>
        <v>0.52</v>
      </c>
      <c r="F82" s="131"/>
      <c r="G82" s="132" t="s">
        <v>39</v>
      </c>
      <c r="H82" s="132" t="s">
        <v>448</v>
      </c>
      <c r="I82" s="97" t="s">
        <v>71</v>
      </c>
    </row>
    <row r="83" spans="1:9" s="101" customFormat="1" ht="15.6" x14ac:dyDescent="0.25">
      <c r="A83" s="57" t="s">
        <v>67</v>
      </c>
      <c r="B83" s="97" t="s">
        <v>75</v>
      </c>
      <c r="C83" s="130" t="str">
        <f t="shared" si="5"/>
        <v>Natural GasPM2.5</v>
      </c>
      <c r="D83" s="131">
        <v>0.43</v>
      </c>
      <c r="E83" s="131">
        <f t="shared" si="6"/>
        <v>0.43</v>
      </c>
      <c r="F83" s="131"/>
      <c r="G83" s="132" t="s">
        <v>39</v>
      </c>
      <c r="H83" s="132" t="s">
        <v>448</v>
      </c>
      <c r="I83" s="97" t="s">
        <v>71</v>
      </c>
    </row>
    <row r="84" spans="1:9" s="101" customFormat="1" x14ac:dyDescent="0.25">
      <c r="A84" s="97" t="s">
        <v>87</v>
      </c>
      <c r="B84" s="130" t="s">
        <v>3</v>
      </c>
      <c r="C84" s="130" t="str">
        <f t="shared" si="5"/>
        <v>Waste OilVOC</v>
      </c>
      <c r="D84" s="128">
        <v>1</v>
      </c>
      <c r="E84" s="128">
        <v>1</v>
      </c>
      <c r="F84" s="128"/>
      <c r="G84" s="132" t="s">
        <v>39</v>
      </c>
      <c r="H84" s="132" t="s">
        <v>70</v>
      </c>
      <c r="I84" s="57" t="s">
        <v>115</v>
      </c>
    </row>
    <row r="85" spans="1:9" s="101" customFormat="1" ht="15.6" x14ac:dyDescent="0.25">
      <c r="A85" s="97" t="s">
        <v>87</v>
      </c>
      <c r="B85" s="97" t="s">
        <v>72</v>
      </c>
      <c r="C85" s="130" t="str">
        <f t="shared" si="5"/>
        <v>Waste OilNOx</v>
      </c>
      <c r="D85" s="128">
        <v>19</v>
      </c>
      <c r="E85" s="128">
        <f>D85</f>
        <v>19</v>
      </c>
      <c r="F85" s="128"/>
      <c r="G85" s="132" t="s">
        <v>39</v>
      </c>
      <c r="H85" s="132" t="s">
        <v>70</v>
      </c>
      <c r="I85" s="57" t="s">
        <v>114</v>
      </c>
    </row>
    <row r="86" spans="1:9" s="101" customFormat="1" x14ac:dyDescent="0.25">
      <c r="A86" s="97" t="s">
        <v>87</v>
      </c>
      <c r="B86" s="97" t="s">
        <v>62</v>
      </c>
      <c r="C86" s="130" t="str">
        <f t="shared" si="5"/>
        <v>Waste OilCO</v>
      </c>
      <c r="D86" s="128">
        <v>5</v>
      </c>
      <c r="E86" s="128">
        <f>D86</f>
        <v>5</v>
      </c>
      <c r="F86" s="128"/>
      <c r="G86" s="132" t="s">
        <v>39</v>
      </c>
      <c r="H86" s="132" t="s">
        <v>70</v>
      </c>
      <c r="I86" s="57" t="s">
        <v>114</v>
      </c>
    </row>
    <row r="87" spans="1:9" s="101" customFormat="1" ht="15.6" x14ac:dyDescent="0.25">
      <c r="A87" s="97" t="s">
        <v>87</v>
      </c>
      <c r="B87" s="97" t="s">
        <v>73</v>
      </c>
      <c r="C87" s="130" t="str">
        <f t="shared" si="5"/>
        <v>Waste OilSO2</v>
      </c>
      <c r="D87" s="128">
        <f>IF(Heater_Fuel_Sulfur_Content=0,147*Waste_Oil_Unc_Sulfur_Content,147*Heater_Fuel_Sulfur_Content)</f>
        <v>73.5</v>
      </c>
      <c r="E87" s="128">
        <f>IF(D87&gt;147*Waste_Oil_Registration_Sulfur_Content,D87,147*Waste_Oil_Registration_Sulfur_Content)</f>
        <v>294</v>
      </c>
      <c r="F87" s="128"/>
      <c r="G87" s="132" t="s">
        <v>39</v>
      </c>
      <c r="H87" s="132" t="s">
        <v>70</v>
      </c>
      <c r="I87" s="57" t="s">
        <v>114</v>
      </c>
    </row>
    <row r="88" spans="1:9" s="101" customFormat="1" x14ac:dyDescent="0.25">
      <c r="A88" s="97" t="s">
        <v>87</v>
      </c>
      <c r="B88" s="97" t="s">
        <v>69</v>
      </c>
      <c r="C88" s="130" t="str">
        <f t="shared" si="5"/>
        <v>Waste OilTotal PM</v>
      </c>
      <c r="D88" s="128">
        <f>64*Waste_Oil_Unc_Ash_Content/100</f>
        <v>0.41600000000000004</v>
      </c>
      <c r="E88" s="128">
        <f>IF(D88&gt;64*Waste_Oil_Registration_Ash_Content/100,D88,64*Waste_Oil_Registration_Ash_Content/100)</f>
        <v>0.76800000000000002</v>
      </c>
      <c r="F88" s="128"/>
      <c r="G88" s="132" t="s">
        <v>39</v>
      </c>
      <c r="H88" s="132" t="s">
        <v>70</v>
      </c>
      <c r="I88" s="57" t="s">
        <v>113</v>
      </c>
    </row>
    <row r="89" spans="1:9" s="101" customFormat="1" ht="15.6" x14ac:dyDescent="0.25">
      <c r="A89" s="97" t="s">
        <v>87</v>
      </c>
      <c r="B89" s="97" t="s">
        <v>74</v>
      </c>
      <c r="C89" s="130" t="str">
        <f t="shared" si="5"/>
        <v>Waste OilPM10</v>
      </c>
      <c r="D89" s="128">
        <f>51*Waste_Oil_Unc_Ash_Content/100</f>
        <v>0.33149999999999996</v>
      </c>
      <c r="E89" s="128">
        <f>IF(D89&gt;51*Waste_Oil_Registration_Ash_Content/100,D89,51*Waste_Oil_Registration_Ash_Content/100)</f>
        <v>0.61199999999999999</v>
      </c>
      <c r="F89" s="128"/>
      <c r="G89" s="132" t="s">
        <v>39</v>
      </c>
      <c r="H89" s="132" t="s">
        <v>70</v>
      </c>
      <c r="I89" s="57" t="s">
        <v>113</v>
      </c>
    </row>
    <row r="90" spans="1:9" s="125" customFormat="1" ht="15.6" x14ac:dyDescent="0.35">
      <c r="A90" s="135" t="s">
        <v>87</v>
      </c>
      <c r="B90" s="135" t="s">
        <v>75</v>
      </c>
      <c r="C90" s="136" t="str">
        <f t="shared" si="5"/>
        <v>Waste OilPM2.5</v>
      </c>
      <c r="D90" s="137">
        <f>D89</f>
        <v>0.33149999999999996</v>
      </c>
      <c r="E90" s="137">
        <f>E89</f>
        <v>0.61199999999999999</v>
      </c>
      <c r="F90" s="137"/>
      <c r="G90" s="138" t="s">
        <v>39</v>
      </c>
      <c r="H90" s="138" t="s">
        <v>70</v>
      </c>
      <c r="I90" s="75" t="s">
        <v>447</v>
      </c>
    </row>
    <row r="91" spans="1:9" s="101" customFormat="1" x14ac:dyDescent="0.25">
      <c r="A91" s="97" t="s">
        <v>79</v>
      </c>
      <c r="B91" s="130" t="s">
        <v>3</v>
      </c>
      <c r="C91" s="130" t="str">
        <f t="shared" si="5"/>
        <v>ElectricityVOC</v>
      </c>
      <c r="D91" s="128">
        <v>0</v>
      </c>
      <c r="E91" s="128">
        <v>0</v>
      </c>
      <c r="F91" s="128"/>
      <c r="G91" s="138" t="s">
        <v>117</v>
      </c>
      <c r="H91" s="138" t="s">
        <v>117</v>
      </c>
      <c r="I91" s="75" t="s">
        <v>116</v>
      </c>
    </row>
    <row r="92" spans="1:9" s="101" customFormat="1" ht="15.6" x14ac:dyDescent="0.25">
      <c r="A92" s="97" t="s">
        <v>79</v>
      </c>
      <c r="B92" s="97" t="s">
        <v>72</v>
      </c>
      <c r="C92" s="130" t="str">
        <f t="shared" si="5"/>
        <v>ElectricityNOx</v>
      </c>
      <c r="D92" s="128">
        <v>0</v>
      </c>
      <c r="E92" s="128">
        <v>0</v>
      </c>
      <c r="F92" s="128"/>
      <c r="G92" s="138" t="s">
        <v>117</v>
      </c>
      <c r="H92" s="138" t="s">
        <v>117</v>
      </c>
      <c r="I92" s="139" t="s">
        <v>116</v>
      </c>
    </row>
    <row r="93" spans="1:9" s="101" customFormat="1" x14ac:dyDescent="0.25">
      <c r="A93" s="97" t="s">
        <v>79</v>
      </c>
      <c r="B93" s="97" t="s">
        <v>62</v>
      </c>
      <c r="C93" s="130" t="str">
        <f t="shared" si="5"/>
        <v>ElectricityCO</v>
      </c>
      <c r="D93" s="128">
        <v>0</v>
      </c>
      <c r="E93" s="128">
        <v>0</v>
      </c>
      <c r="F93" s="128"/>
      <c r="G93" s="138" t="s">
        <v>117</v>
      </c>
      <c r="H93" s="138" t="s">
        <v>117</v>
      </c>
      <c r="I93" s="139" t="s">
        <v>116</v>
      </c>
    </row>
    <row r="94" spans="1:9" s="101" customFormat="1" ht="15.6" x14ac:dyDescent="0.25">
      <c r="A94" s="97" t="s">
        <v>79</v>
      </c>
      <c r="B94" s="97" t="s">
        <v>73</v>
      </c>
      <c r="C94" s="130" t="str">
        <f t="shared" si="5"/>
        <v>ElectricitySO2</v>
      </c>
      <c r="D94" s="128">
        <v>0</v>
      </c>
      <c r="E94" s="128">
        <v>0</v>
      </c>
      <c r="F94" s="128"/>
      <c r="G94" s="138" t="s">
        <v>117</v>
      </c>
      <c r="H94" s="138" t="s">
        <v>117</v>
      </c>
      <c r="I94" s="139" t="s">
        <v>116</v>
      </c>
    </row>
    <row r="95" spans="1:9" s="101" customFormat="1" x14ac:dyDescent="0.25">
      <c r="A95" s="97" t="s">
        <v>79</v>
      </c>
      <c r="B95" s="97" t="s">
        <v>69</v>
      </c>
      <c r="C95" s="130" t="str">
        <f t="shared" si="5"/>
        <v>ElectricityTotal PM</v>
      </c>
      <c r="D95" s="128">
        <v>0</v>
      </c>
      <c r="E95" s="128">
        <v>0</v>
      </c>
      <c r="F95" s="128"/>
      <c r="G95" s="138" t="s">
        <v>117</v>
      </c>
      <c r="H95" s="138" t="s">
        <v>117</v>
      </c>
      <c r="I95" s="139" t="s">
        <v>116</v>
      </c>
    </row>
    <row r="96" spans="1:9" s="101" customFormat="1" ht="15.6" x14ac:dyDescent="0.25">
      <c r="A96" s="97" t="s">
        <v>79</v>
      </c>
      <c r="B96" s="97" t="s">
        <v>74</v>
      </c>
      <c r="C96" s="130" t="str">
        <f t="shared" si="5"/>
        <v>ElectricityPM10</v>
      </c>
      <c r="D96" s="128">
        <v>0</v>
      </c>
      <c r="E96" s="128">
        <v>0</v>
      </c>
      <c r="F96" s="128"/>
      <c r="G96" s="138" t="s">
        <v>117</v>
      </c>
      <c r="H96" s="138" t="s">
        <v>117</v>
      </c>
      <c r="I96" s="139" t="s">
        <v>116</v>
      </c>
    </row>
    <row r="97" spans="1:9" s="101" customFormat="1" ht="15.6" x14ac:dyDescent="0.25">
      <c r="A97" s="97" t="s">
        <v>79</v>
      </c>
      <c r="B97" s="97" t="s">
        <v>75</v>
      </c>
      <c r="C97" s="130" t="str">
        <f t="shared" si="5"/>
        <v>ElectricityPM2.5</v>
      </c>
      <c r="D97" s="128">
        <v>0</v>
      </c>
      <c r="E97" s="128">
        <v>0</v>
      </c>
      <c r="F97" s="128"/>
      <c r="G97" s="138" t="s">
        <v>117</v>
      </c>
      <c r="H97" s="138" t="s">
        <v>117</v>
      </c>
      <c r="I97" s="139" t="s">
        <v>116</v>
      </c>
    </row>
  </sheetData>
  <mergeCells count="4">
    <mergeCell ref="A2:I2"/>
    <mergeCell ref="A4:I4"/>
    <mergeCell ref="A33:I33"/>
    <mergeCell ref="A62:I62"/>
  </mergeCells>
  <phoneticPr fontId="0" type="noConversion"/>
  <pageMargins left="0.75" right="0.75" top="1" bottom="1" header="0.5" footer="0.5"/>
  <pageSetup orientation="portrait" r:id="rId1"/>
  <headerFooter alignWithMargins="0"/>
  <ignoredErrors>
    <ignoredError sqref="E66 E80"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5"/>
  <sheetViews>
    <sheetView workbookViewId="0"/>
  </sheetViews>
  <sheetFormatPr defaultColWidth="9.109375" defaultRowHeight="13.2" x14ac:dyDescent="0.25"/>
  <cols>
    <col min="1" max="1" width="19.88671875" style="104" bestFit="1" customWidth="1"/>
    <col min="2" max="2" width="15" style="104" bestFit="1" customWidth="1"/>
    <col min="3" max="3" width="25.5546875" style="110" bestFit="1" customWidth="1"/>
    <col min="4" max="4" width="27.6640625" style="110" bestFit="1" customWidth="1"/>
    <col min="5" max="5" width="228.109375" style="104" bestFit="1" customWidth="1"/>
    <col min="6" max="16384" width="9.109375" style="104"/>
  </cols>
  <sheetData>
    <row r="1" spans="1:6" ht="17.399999999999999" x14ac:dyDescent="0.3">
      <c r="A1" s="109" t="s">
        <v>97</v>
      </c>
    </row>
    <row r="2" spans="1:6" ht="13.8" thickBot="1" x14ac:dyDescent="0.3"/>
    <row r="3" spans="1:6" x14ac:dyDescent="0.25">
      <c r="A3" s="450" t="s">
        <v>98</v>
      </c>
      <c r="B3" s="451"/>
      <c r="C3" s="451"/>
      <c r="D3" s="451"/>
      <c r="E3" s="452"/>
    </row>
    <row r="4" spans="1:6" x14ac:dyDescent="0.25">
      <c r="A4" s="111" t="s">
        <v>99</v>
      </c>
      <c r="B4" s="105" t="s">
        <v>100</v>
      </c>
      <c r="C4" s="106" t="s">
        <v>101</v>
      </c>
      <c r="D4" s="106" t="s">
        <v>102</v>
      </c>
      <c r="E4" s="112" t="s">
        <v>38</v>
      </c>
    </row>
    <row r="5" spans="1:6" ht="15.6" x14ac:dyDescent="0.25">
      <c r="A5" s="113" t="s">
        <v>67</v>
      </c>
      <c r="B5" s="114">
        <v>1023</v>
      </c>
      <c r="C5" s="107" t="s">
        <v>107</v>
      </c>
      <c r="D5" s="107" t="s">
        <v>108</v>
      </c>
      <c r="E5" s="115" t="s">
        <v>106</v>
      </c>
    </row>
    <row r="6" spans="1:6" x14ac:dyDescent="0.25">
      <c r="A6" s="113" t="s">
        <v>68</v>
      </c>
      <c r="B6" s="114">
        <v>5.8250000000000002</v>
      </c>
      <c r="C6" s="107" t="s">
        <v>103</v>
      </c>
      <c r="D6" s="107" t="s">
        <v>104</v>
      </c>
      <c r="E6" s="115" t="s">
        <v>109</v>
      </c>
    </row>
    <row r="7" spans="1:6" x14ac:dyDescent="0.25">
      <c r="A7" s="140" t="s">
        <v>88</v>
      </c>
      <c r="B7" s="141">
        <v>6.2869999999999999</v>
      </c>
      <c r="C7" s="142" t="s">
        <v>103</v>
      </c>
      <c r="D7" s="142" t="s">
        <v>104</v>
      </c>
      <c r="E7" s="115" t="s">
        <v>105</v>
      </c>
    </row>
    <row r="8" spans="1:6" ht="13.8" thickBot="1" x14ac:dyDescent="0.3">
      <c r="A8" s="116" t="s">
        <v>87</v>
      </c>
      <c r="B8" s="117">
        <v>140</v>
      </c>
      <c r="C8" s="118" t="s">
        <v>103</v>
      </c>
      <c r="D8" s="118" t="s">
        <v>70</v>
      </c>
      <c r="E8" s="143" t="s">
        <v>105</v>
      </c>
    </row>
    <row r="9" spans="1:6" s="114" customFormat="1" ht="13.8" thickBot="1" x14ac:dyDescent="0.3">
      <c r="A9" s="119"/>
      <c r="B9" s="104"/>
      <c r="C9" s="110"/>
      <c r="D9" s="110"/>
      <c r="E9" s="145" t="s">
        <v>126</v>
      </c>
      <c r="F9" s="144"/>
    </row>
    <row r="10" spans="1:6" x14ac:dyDescent="0.25">
      <c r="A10" s="450" t="s">
        <v>110</v>
      </c>
      <c r="B10" s="451"/>
      <c r="C10" s="451"/>
      <c r="D10" s="452"/>
    </row>
    <row r="11" spans="1:6" x14ac:dyDescent="0.25">
      <c r="A11" s="111" t="s">
        <v>99</v>
      </c>
      <c r="B11" s="105" t="s">
        <v>100</v>
      </c>
      <c r="C11" s="106" t="s">
        <v>101</v>
      </c>
      <c r="D11" s="120" t="s">
        <v>102</v>
      </c>
    </row>
    <row r="12" spans="1:6" x14ac:dyDescent="0.25">
      <c r="A12" s="113" t="s">
        <v>67</v>
      </c>
      <c r="B12" s="114">
        <f>B5</f>
        <v>1023</v>
      </c>
      <c r="C12" s="107" t="s">
        <v>103</v>
      </c>
      <c r="D12" s="122" t="s">
        <v>448</v>
      </c>
      <c r="E12" s="121"/>
    </row>
    <row r="13" spans="1:6" x14ac:dyDescent="0.25">
      <c r="A13" s="113" t="s">
        <v>68</v>
      </c>
      <c r="B13" s="114">
        <f>B6*1000/42</f>
        <v>138.6904761904762</v>
      </c>
      <c r="C13" s="107" t="s">
        <v>103</v>
      </c>
      <c r="D13" s="122" t="s">
        <v>70</v>
      </c>
    </row>
    <row r="14" spans="1:6" x14ac:dyDescent="0.25">
      <c r="A14" s="113" t="s">
        <v>88</v>
      </c>
      <c r="B14" s="114">
        <f>B7*1000/42</f>
        <v>149.6904761904762</v>
      </c>
      <c r="C14" s="107" t="s">
        <v>103</v>
      </c>
      <c r="D14" s="122" t="s">
        <v>70</v>
      </c>
    </row>
    <row r="15" spans="1:6" ht="13.8" thickBot="1" x14ac:dyDescent="0.3">
      <c r="A15" s="116" t="s">
        <v>87</v>
      </c>
      <c r="B15" s="117">
        <v>140</v>
      </c>
      <c r="C15" s="118" t="s">
        <v>103</v>
      </c>
      <c r="D15" s="123" t="s">
        <v>70</v>
      </c>
    </row>
  </sheetData>
  <mergeCells count="2">
    <mergeCell ref="A3:E3"/>
    <mergeCell ref="A10:D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34</vt:i4>
      </vt:variant>
    </vt:vector>
  </HeadingPairs>
  <TitlesOfParts>
    <vt:vector size="45" baseType="lpstr">
      <vt:lpstr>Registration FAQs</vt:lpstr>
      <vt:lpstr>Instructions</vt:lpstr>
      <vt:lpstr>Inputs</vt:lpstr>
      <vt:lpstr>Controls and Restrictions</vt:lpstr>
      <vt:lpstr>Total Emissions</vt:lpstr>
      <vt:lpstr>Output-Summary Printout</vt:lpstr>
      <vt:lpstr>Change Log</vt:lpstr>
      <vt:lpstr>Emission Factors</vt:lpstr>
      <vt:lpstr>Fuel Energy Content</vt:lpstr>
      <vt:lpstr>Additional References</vt:lpstr>
      <vt:lpstr>EPA Regional Contact Info</vt:lpstr>
      <vt:lpstr>Allowable_Emission_Restriction</vt:lpstr>
      <vt:lpstr>CO_PM10_Attainment_List</vt:lpstr>
      <vt:lpstr>Dryer_Fuel</vt:lpstr>
      <vt:lpstr>Dryer_Fuel_List</vt:lpstr>
      <vt:lpstr>Facility_Type</vt:lpstr>
      <vt:lpstr>Facility_Type_List</vt:lpstr>
      <vt:lpstr>Heater_Capacity</vt:lpstr>
      <vt:lpstr>Heater_Fuel</vt:lpstr>
      <vt:lpstr>Heater_Fuel_Combusted</vt:lpstr>
      <vt:lpstr>Heater_Fuel_List</vt:lpstr>
      <vt:lpstr>Heater_Fuel_Sulfur_Content</vt:lpstr>
      <vt:lpstr>Hourly_Production_Average</vt:lpstr>
      <vt:lpstr>Hourly_Production_Max</vt:lpstr>
      <vt:lpstr>Natural_Gas_Registration_Sulfur_Content</vt:lpstr>
      <vt:lpstr>Natural_Gas_Unc_Sulfur_Content</vt:lpstr>
      <vt:lpstr>NOx_Control_Multiplier</vt:lpstr>
      <vt:lpstr>Oil_Distillate_Registration_Sulfur_Content</vt:lpstr>
      <vt:lpstr>Oil_Distillate_Uncontrolled_Sulfur_Content</vt:lpstr>
      <vt:lpstr>Oil_Residual_Registration_Sulfur_Content</vt:lpstr>
      <vt:lpstr>Oil_Residual_Uncontrolled_Sulfur_Content</vt:lpstr>
      <vt:lpstr>Ozone_Attainment_List</vt:lpstr>
      <vt:lpstr>PM_Control_Yes_No_List</vt:lpstr>
      <vt:lpstr>Inputs!Print_Area</vt:lpstr>
      <vt:lpstr>'Output-Summary Printout'!Print_Area</vt:lpstr>
      <vt:lpstr>'Registration FAQs'!Print_Area</vt:lpstr>
      <vt:lpstr>'Total Emissions'!Print_Area</vt:lpstr>
      <vt:lpstr>Production_Hours</vt:lpstr>
      <vt:lpstr>SO2_Control_Multiplier</vt:lpstr>
      <vt:lpstr>SO2_PM25_Attainment_List</vt:lpstr>
      <vt:lpstr>State_List</vt:lpstr>
      <vt:lpstr>Waste_Oil_Registration_Ash_Content</vt:lpstr>
      <vt:lpstr>Waste_Oil_Registration_Sulfur_Content</vt:lpstr>
      <vt:lpstr>Waste_Oil_Unc_Ash_Content</vt:lpstr>
      <vt:lpstr>Waste_Oil_Unc_Sulfur_Content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OF HAP/VOC USE PER MONTH</dc:title>
  <dc:creator>PPI</dc:creator>
  <dc:description>BY USE</dc:description>
  <cp:lastModifiedBy>Dixon, Danielle</cp:lastModifiedBy>
  <cp:lastPrinted>2013-03-06T16:44:29Z</cp:lastPrinted>
  <dcterms:created xsi:type="dcterms:W3CDTF">1999-01-25T20:14:01Z</dcterms:created>
  <dcterms:modified xsi:type="dcterms:W3CDTF">2016-02-03T17:57:28Z</dcterms:modified>
</cp:coreProperties>
</file>