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0" yWindow="0" windowWidth="25596" windowHeight="14496" tabRatio="852" firstSheet="4" activeTab="10"/>
  </bookViews>
  <sheets>
    <sheet name="Inputs" sheetId="8" r:id="rId1"/>
    <sheet name="Output - Criteria" sheetId="13" r:id="rId2"/>
    <sheet name="Drum - Prod.Crit" sheetId="1" r:id="rId3"/>
    <sheet name="Batch - Prod.Crit" sheetId="21" r:id="rId4"/>
    <sheet name="LOSF.Crit" sheetId="2" r:id="rId5"/>
    <sheet name="Aggregates Handling" sheetId="19" r:id="rId6"/>
    <sheet name="Storage Piles" sheetId="25" r:id="rId7"/>
    <sheet name="Lime Silo" sheetId="3" r:id="rId8"/>
    <sheet name="DV-IDENTITY-0" sheetId="20" state="veryHidden" r:id="rId9"/>
    <sheet name="Auxiliary Heater" sheetId="4" r:id="rId10"/>
    <sheet name="Engine" sheetId="27" r:id="rId11"/>
  </sheets>
  <definedNames>
    <definedName name="_xlnm.Print_Area" localSheetId="0">Inputs!$A$1:$M$45</definedName>
    <definedName name="_xlnm.Print_Area">#REF!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27" l="1"/>
  <c r="B7" i="27"/>
  <c r="E16" i="27"/>
  <c r="K21" i="27"/>
  <c r="E32" i="27"/>
  <c r="K37" i="27"/>
  <c r="K11" i="27"/>
  <c r="J21" i="27"/>
  <c r="J37" i="27"/>
  <c r="J11" i="27"/>
  <c r="I21" i="27"/>
  <c r="I37" i="27"/>
  <c r="I11" i="27"/>
  <c r="H21" i="27"/>
  <c r="H37" i="27"/>
  <c r="H11" i="27"/>
  <c r="G21" i="27"/>
  <c r="G37" i="27"/>
  <c r="G11" i="27"/>
  <c r="F21" i="27"/>
  <c r="F37" i="27"/>
  <c r="F11" i="27"/>
  <c r="E21" i="27"/>
  <c r="E37" i="27"/>
  <c r="E11" i="27"/>
  <c r="G37" i="8"/>
  <c r="B64" i="8"/>
  <c r="B5" i="19"/>
  <c r="K27" i="19"/>
  <c r="K26" i="19"/>
  <c r="B7" i="19"/>
  <c r="C26" i="19"/>
  <c r="B8" i="19"/>
  <c r="C33" i="19"/>
  <c r="B9" i="19"/>
  <c r="C27" i="19"/>
  <c r="B10" i="19"/>
  <c r="C34" i="19"/>
  <c r="G34" i="19"/>
  <c r="B6" i="19"/>
  <c r="D27" i="19"/>
  <c r="L27" i="19"/>
  <c r="F27" i="19"/>
  <c r="J27" i="19"/>
  <c r="G27" i="19"/>
  <c r="M33" i="19"/>
  <c r="M26" i="19"/>
  <c r="G26" i="19"/>
  <c r="M34" i="19"/>
  <c r="I44" i="4"/>
  <c r="H47" i="4"/>
  <c r="E44" i="4"/>
  <c r="H31" i="4"/>
  <c r="E28" i="4"/>
  <c r="E12" i="4"/>
  <c r="B5" i="4"/>
  <c r="K49" i="4"/>
  <c r="E49" i="4"/>
  <c r="F17" i="4"/>
  <c r="I33" i="4"/>
  <c r="F33" i="4"/>
  <c r="E33" i="4"/>
  <c r="K33" i="4"/>
  <c r="J33" i="4"/>
  <c r="G49" i="4"/>
  <c r="J49" i="4"/>
  <c r="C7" i="21"/>
  <c r="B5" i="21"/>
  <c r="I38" i="21"/>
  <c r="D29" i="21"/>
  <c r="D12" i="21"/>
  <c r="H37" i="21"/>
  <c r="D44" i="21"/>
  <c r="D16" i="21"/>
  <c r="D37" i="21"/>
  <c r="D14" i="21"/>
  <c r="D23" i="21"/>
  <c r="D11" i="21"/>
  <c r="E23" i="21"/>
  <c r="E11" i="21"/>
  <c r="E38" i="21"/>
  <c r="E44" i="21"/>
  <c r="E16" i="21"/>
  <c r="E29" i="21"/>
  <c r="E12" i="21"/>
  <c r="I36" i="21"/>
  <c r="C7" i="1"/>
  <c r="B5" i="1"/>
  <c r="H37" i="1"/>
  <c r="D11" i="1"/>
  <c r="V32" i="20"/>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Y32" i="20"/>
  <c r="HV42" i="20"/>
  <c r="AA32" i="20"/>
  <c r="AL34" i="20"/>
  <c r="HU42" i="20"/>
  <c r="M76" i="20"/>
  <c r="AM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FE13" i="20"/>
  <c r="HR42" i="20"/>
  <c r="HQ42" i="20"/>
  <c r="FH13" i="20"/>
  <c r="HS42" i="20"/>
  <c r="HT42" i="20"/>
  <c r="I32" i="27"/>
  <c r="H35" i="27"/>
  <c r="L57" i="8"/>
  <c r="L56" i="8"/>
  <c r="B6" i="3"/>
  <c r="D14" i="3"/>
  <c r="B5" i="3"/>
  <c r="D13" i="3"/>
  <c r="B6" i="2"/>
  <c r="B7" i="2"/>
  <c r="B5" i="2"/>
  <c r="C22" i="2"/>
  <c r="B4" i="13"/>
  <c r="B5" i="25"/>
  <c r="B6" i="25"/>
  <c r="B7" i="25"/>
  <c r="F21" i="25"/>
  <c r="B8" i="25"/>
  <c r="F20" i="25"/>
  <c r="C24" i="2"/>
  <c r="E13" i="3"/>
  <c r="F13" i="3"/>
  <c r="C14" i="13"/>
  <c r="G33" i="4"/>
  <c r="D33" i="19"/>
  <c r="D22" i="2"/>
  <c r="D15" i="19"/>
  <c r="B11" i="13"/>
  <c r="I33" i="19"/>
  <c r="L33" i="19"/>
  <c r="C34" i="2"/>
  <c r="AG34" i="20"/>
  <c r="D44" i="1"/>
  <c r="D16" i="1"/>
  <c r="D36" i="1"/>
  <c r="J17" i="4"/>
  <c r="H33" i="4"/>
  <c r="E22" i="2"/>
  <c r="F49" i="4"/>
  <c r="F9" i="4"/>
  <c r="C15" i="13"/>
  <c r="E22" i="1"/>
  <c r="E10" i="1"/>
  <c r="I36" i="1"/>
  <c r="E36" i="1"/>
  <c r="D29" i="1"/>
  <c r="D12" i="1"/>
  <c r="D38" i="1"/>
  <c r="E37" i="1"/>
  <c r="I37" i="1"/>
  <c r="D22" i="1"/>
  <c r="D10" i="1"/>
  <c r="E23" i="1"/>
  <c r="E11" i="1"/>
  <c r="C9" i="13"/>
  <c r="D37" i="1"/>
  <c r="D14" i="1"/>
  <c r="E15" i="21"/>
  <c r="D24" i="2"/>
  <c r="E24" i="2"/>
  <c r="J9" i="4"/>
  <c r="G15" i="13"/>
  <c r="D20" i="19"/>
  <c r="D12" i="13"/>
  <c r="D34" i="19"/>
  <c r="D34" i="2"/>
  <c r="AH34" i="20"/>
  <c r="C31" i="2"/>
  <c r="C30" i="2"/>
  <c r="H36" i="1"/>
  <c r="D13" i="1"/>
  <c r="H38" i="1"/>
  <c r="D15" i="1"/>
  <c r="I38" i="1"/>
  <c r="E29" i="1"/>
  <c r="E12" i="1"/>
  <c r="D9" i="13"/>
  <c r="A9" i="20"/>
  <c r="E44" i="1"/>
  <c r="E16" i="1"/>
  <c r="H9" i="13"/>
  <c r="E9" i="20"/>
  <c r="E38" i="1"/>
  <c r="E37" i="21"/>
  <c r="E22" i="21"/>
  <c r="E10" i="21"/>
  <c r="B9" i="13"/>
  <c r="I37" i="21"/>
  <c r="E36" i="21"/>
  <c r="E13" i="21"/>
  <c r="D22" i="21"/>
  <c r="D10" i="21"/>
  <c r="D38" i="21"/>
  <c r="D36" i="21"/>
  <c r="H38" i="21"/>
  <c r="H36" i="21"/>
  <c r="G17" i="4"/>
  <c r="G9" i="4"/>
  <c r="D15" i="13"/>
  <c r="D27" i="25"/>
  <c r="F27" i="25"/>
  <c r="C13" i="13"/>
  <c r="D26" i="25"/>
  <c r="F26" i="25"/>
  <c r="B13" i="13"/>
  <c r="D28" i="25"/>
  <c r="F28" i="25"/>
  <c r="D13" i="13"/>
  <c r="E30" i="2"/>
  <c r="D30" i="2"/>
  <c r="I34" i="19"/>
  <c r="L34" i="19"/>
  <c r="F34" i="19"/>
  <c r="E34" i="2"/>
  <c r="AI34" i="20"/>
  <c r="C21" i="2"/>
  <c r="C23" i="2"/>
  <c r="C32" i="2"/>
  <c r="C25" i="2"/>
  <c r="C33" i="2"/>
  <c r="E14" i="3"/>
  <c r="F14" i="3"/>
  <c r="D14" i="13"/>
  <c r="D12" i="3"/>
  <c r="E12" i="3"/>
  <c r="F12" i="3"/>
  <c r="B14" i="13"/>
  <c r="E17" i="4"/>
  <c r="E9" i="4"/>
  <c r="B15" i="13"/>
  <c r="I17" i="4"/>
  <c r="H17" i="4"/>
  <c r="H49" i="4"/>
  <c r="K17" i="4"/>
  <c r="K9" i="4"/>
  <c r="H15" i="13"/>
  <c r="I49" i="4"/>
  <c r="J26" i="19"/>
  <c r="D16" i="19"/>
  <c r="C11" i="13"/>
  <c r="J33" i="19"/>
  <c r="G33" i="19"/>
  <c r="D18" i="19"/>
  <c r="B12" i="13"/>
  <c r="M27" i="19"/>
  <c r="D17" i="19"/>
  <c r="D11" i="13"/>
  <c r="J34" i="19"/>
  <c r="F33" i="19"/>
  <c r="I27" i="19"/>
  <c r="D26" i="19"/>
  <c r="E13" i="1"/>
  <c r="E9" i="13"/>
  <c r="B9" i="20"/>
  <c r="E14" i="1"/>
  <c r="D19" i="19"/>
  <c r="C12" i="13"/>
  <c r="D15" i="21"/>
  <c r="E15" i="1"/>
  <c r="G9" i="13"/>
  <c r="D9" i="20"/>
  <c r="E31" i="2"/>
  <c r="E13" i="2"/>
  <c r="C10" i="13"/>
  <c r="D31" i="2"/>
  <c r="D13" i="2"/>
  <c r="D13" i="21"/>
  <c r="E14" i="21"/>
  <c r="L26" i="19"/>
  <c r="I26" i="19"/>
  <c r="F26" i="19"/>
  <c r="G16" i="13"/>
  <c r="C16" i="13"/>
  <c r="C17" i="13"/>
  <c r="D16" i="13"/>
  <c r="H16" i="13"/>
  <c r="E25" i="2"/>
  <c r="E16" i="2"/>
  <c r="G10" i="13"/>
  <c r="D25" i="2"/>
  <c r="D16" i="2"/>
  <c r="E23" i="2"/>
  <c r="D23" i="2"/>
  <c r="D33" i="2"/>
  <c r="D15" i="2"/>
  <c r="E33" i="2"/>
  <c r="E15" i="2"/>
  <c r="H10" i="13"/>
  <c r="E32" i="2"/>
  <c r="D32" i="2"/>
  <c r="E21" i="2"/>
  <c r="E12" i="2"/>
  <c r="B10" i="13"/>
  <c r="D21" i="2"/>
  <c r="D12" i="2"/>
  <c r="I9" i="4"/>
  <c r="F15" i="13"/>
  <c r="B16" i="13"/>
  <c r="H9" i="4"/>
  <c r="E15" i="13"/>
  <c r="F16" i="13"/>
  <c r="E16" i="13"/>
  <c r="F9" i="13"/>
  <c r="C9" i="20"/>
  <c r="H17" i="13"/>
  <c r="D14" i="2"/>
  <c r="E17" i="13"/>
  <c r="F17" i="13"/>
  <c r="B17" i="13"/>
  <c r="E14" i="2"/>
  <c r="D10" i="13"/>
  <c r="D17" i="13"/>
  <c r="G17" i="13"/>
</calcChain>
</file>

<file path=xl/sharedStrings.xml><?xml version="1.0" encoding="utf-8"?>
<sst xmlns="http://schemas.openxmlformats.org/spreadsheetml/2006/main" count="638" uniqueCount="238">
  <si>
    <t>1. Emission factors are from AP-42, Chapter 11.1, Tables 11.1-1, 11.1-5, 11.1-5, and 11.1-6 for Hot Mix Asphalt Plants (Updated 03/04).</t>
    <phoneticPr fontId="29" type="noConversion"/>
  </si>
  <si>
    <t>1. Emission factors are from AP-42, Chapter 11.1, Tables 11.1-3, 11.1-4, 11.1-7, and 11.1-8 for Hot Mix Asphalt Plants (updated 03/2004), except for NOx -see Note 2.</t>
    <phoneticPr fontId="3" type="noConversion"/>
  </si>
  <si>
    <t>Liquid Fuel</t>
    <phoneticPr fontId="3" type="noConversion"/>
  </si>
  <si>
    <t>Liquid Fuel</t>
    <phoneticPr fontId="29" type="noConversion"/>
  </si>
  <si>
    <t>2. NOx emission factor for liquid fuel based on Technical Support Document for Asphalt Plants by Washington's Department of Ecology (updated 01/2011). Value based on 20 sets of performance test data - 75th percentile plus 10%.</t>
    <phoneticPr fontId="3" type="noConversion"/>
  </si>
  <si>
    <t>Liquid Fuel</t>
    <phoneticPr fontId="3" type="noConversion"/>
  </si>
  <si>
    <t>Control Eff.</t>
  </si>
  <si>
    <t>%</t>
  </si>
  <si>
    <t>Purple values are pulled from other worksheet</t>
  </si>
  <si>
    <t>Y</t>
  </si>
  <si>
    <t>Temp</t>
  </si>
  <si>
    <t>Volatility</t>
  </si>
  <si>
    <t>Facility Profile</t>
  </si>
  <si>
    <t>Fuels Used</t>
  </si>
  <si>
    <t>(Y or N)</t>
  </si>
  <si>
    <t>Type of Plant-</t>
  </si>
  <si>
    <t>Natural Gas-</t>
  </si>
  <si>
    <t>Asphalt Properties</t>
  </si>
  <si>
    <t>Volatility-</t>
  </si>
  <si>
    <t>(F)</t>
  </si>
  <si>
    <t>(unitless)</t>
  </si>
  <si>
    <t>DO NOT TOUCH</t>
  </si>
  <si>
    <t>Bin Vent Efficiency-</t>
  </si>
  <si>
    <t>(%)</t>
  </si>
  <si>
    <t>Hours/yr</t>
  </si>
  <si>
    <t>Drum</t>
  </si>
  <si>
    <t>Batch</t>
  </si>
  <si>
    <t>Types</t>
  </si>
  <si>
    <t>Drop-Down Output</t>
  </si>
  <si>
    <t>Directions -</t>
  </si>
  <si>
    <t>Sulfur %</t>
  </si>
  <si>
    <t>Burner Size-</t>
  </si>
  <si>
    <t>Max Lime Usage-</t>
  </si>
  <si>
    <t>(weight %)</t>
  </si>
  <si>
    <t>Max Hourly Lime Loading-</t>
  </si>
  <si>
    <t>(ton)</t>
  </si>
  <si>
    <t>Default = 25</t>
  </si>
  <si>
    <t>(MPH)</t>
  </si>
  <si>
    <t>Mean Wind Speed-</t>
  </si>
  <si>
    <t>Aggregate</t>
  </si>
  <si>
    <t>Max. RAP Used-</t>
  </si>
  <si>
    <t># of Virgin Agg. Conveyors-</t>
  </si>
  <si>
    <t># of Virgin Agg. Screens-</t>
  </si>
  <si>
    <t># of RAP Conveyors-</t>
  </si>
  <si>
    <t># of RAP Screens-</t>
  </si>
  <si>
    <t>Weather</t>
  </si>
  <si>
    <t>(#)</t>
  </si>
  <si>
    <t>Screening Total</t>
  </si>
  <si>
    <t>Conveying Total</t>
  </si>
  <si>
    <t>Max. RAP Used (%)</t>
  </si>
  <si>
    <t># of Virgin Agg. Conveyors (#)</t>
  </si>
  <si>
    <t># of Virgin Agg. Screens (#)</t>
  </si>
  <si>
    <t># of RAP Conveyors (#)</t>
  </si>
  <si>
    <t># of RAP Screens (#)</t>
  </si>
  <si>
    <t>Mean Wind Speed (MPH)</t>
  </si>
  <si>
    <t>Conveying</t>
  </si>
  <si>
    <t>Table 11.19.2-2</t>
  </si>
  <si>
    <t>(8/04)</t>
  </si>
  <si>
    <t>Source</t>
  </si>
  <si>
    <t>Screening</t>
  </si>
  <si>
    <t>Aggregate Moisture-</t>
  </si>
  <si>
    <t>AAAAAH/l/sI=</t>
  </si>
  <si>
    <t>This spreadsheet helps estimate a facility's potential to emit. It is provided for the convenience of the permitted community. EPA does not guarantee the accuracy or appropriateness of this information. Emission factor sources are subject to revision or correction. It is the permittee's responsibility to verify the accuracy of the information. EPA is not liable for errors or omissions.</t>
  </si>
  <si>
    <t>Plant Capacity-</t>
  </si>
  <si>
    <t>(tons/hr)</t>
  </si>
  <si>
    <t>(tons/yr)</t>
  </si>
  <si>
    <t>Fuels Used in Dryer</t>
  </si>
  <si>
    <t>Heat Input (MMBtu/hr)</t>
  </si>
  <si>
    <t>PTE</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</si>
  <si>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</si>
  <si>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</si>
  <si>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</si>
  <si>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</si>
  <si>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Generator/Engine Size-</t>
  </si>
  <si>
    <t>(hp)</t>
  </si>
  <si>
    <t>Propane-</t>
  </si>
  <si>
    <t>Default = 50%</t>
  </si>
  <si>
    <t xml:space="preserve"> </t>
  </si>
  <si>
    <t>Default = 325</t>
  </si>
  <si>
    <t>Default = -0.5</t>
  </si>
  <si>
    <t>Default = 1.8%</t>
  </si>
  <si>
    <t>Other Parameters</t>
  </si>
  <si>
    <t>Facility Capacity (tons/hr)</t>
  </si>
  <si>
    <t>Limited PTE</t>
  </si>
  <si>
    <t>Controlled/Limited PTE</t>
  </si>
  <si>
    <t>(lbs/ton)</t>
  </si>
  <si>
    <t>Methodology</t>
  </si>
  <si>
    <t>Note:</t>
  </si>
  <si>
    <t>Silo Filling</t>
  </si>
  <si>
    <t>Load-Out</t>
  </si>
  <si>
    <r>
      <t>PM/PM</t>
    </r>
    <r>
      <rPr>
        <vertAlign val="subscript"/>
        <sz val="10"/>
        <rFont val="Arial"/>
        <family val="2"/>
      </rPr>
      <t>10</t>
    </r>
  </si>
  <si>
    <r>
      <t>PM</t>
    </r>
    <r>
      <rPr>
        <vertAlign val="subscript"/>
        <sz val="10"/>
        <rFont val="Antique Olive"/>
        <family val="2"/>
      </rPr>
      <t>10</t>
    </r>
  </si>
  <si>
    <t>Emissions from Load-Out and Silo Filling Operations - Criteria Pollutants</t>
  </si>
  <si>
    <r>
      <t>Emission Factor</t>
    </r>
    <r>
      <rPr>
        <vertAlign val="superscript"/>
        <sz val="10"/>
        <rFont val="Arial"/>
        <family val="2"/>
      </rPr>
      <t>1</t>
    </r>
  </si>
  <si>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</si>
  <si>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</si>
  <si>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</si>
  <si>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10</t>
    </r>
    <r>
      <rPr>
        <sz val="9"/>
        <rFont val="Arial"/>
        <family val="2"/>
      </rPr>
      <t xml:space="preserve"> and PM</t>
    </r>
    <r>
      <rPr>
        <vertAlign val="subscript"/>
        <sz val="9"/>
        <rFont val="Arial"/>
        <family val="2"/>
      </rPr>
      <t>2.5</t>
    </r>
    <r>
      <rPr>
        <sz val="9"/>
        <rFont val="Arial"/>
        <family val="2"/>
      </rPr>
      <t xml:space="preserve"> emissions are equal to PM emissions.</t>
    </r>
  </si>
  <si>
    <t>Total PM</t>
  </si>
  <si>
    <t>1. Emission factors are from AP-42, Chapter 11.1, Tables 11.1-14 and 11.1-16 for Hot Mix Asphalt Plants (Updated 03/04).</t>
  </si>
  <si>
    <t>3. According to AP-42, Table 11.1-16, 94% of the TOC emissions from load-out operations are VOC. 100% of the TOC emissions from silo filling operations are VOC.</t>
  </si>
  <si>
    <r>
      <t>SO</t>
    </r>
    <r>
      <rPr>
        <vertAlign val="subscript"/>
        <sz val="10"/>
        <rFont val="Arial"/>
        <family val="2"/>
      </rPr>
      <t>2</t>
    </r>
    <r>
      <rPr>
        <sz val="10"/>
        <rFont val="Arial"/>
      </rPr>
      <t>/NO</t>
    </r>
    <r>
      <rPr>
        <vertAlign val="subscript"/>
        <sz val="10"/>
        <rFont val="Arial"/>
        <family val="2"/>
      </rPr>
      <t>X</t>
    </r>
    <r>
      <rPr>
        <sz val="10"/>
        <rFont val="Arial"/>
      </rPr>
      <t>/CO</t>
    </r>
  </si>
  <si>
    <t>Facility Capacity:</t>
  </si>
  <si>
    <t>ton/hr</t>
  </si>
  <si>
    <t>Emissions from Batch Mix Asphalt Production - Criteria Pollutants</t>
  </si>
  <si>
    <t>Scrubber</t>
  </si>
  <si>
    <t>Control Type</t>
  </si>
  <si>
    <t>Fabric Filter</t>
  </si>
  <si>
    <t>Total PTE</t>
  </si>
  <si>
    <t>Emissions from Drum Mix Hot Mix Asphalt Production - Criteria Pollutants</t>
  </si>
  <si>
    <t>Dryer/Mixer</t>
  </si>
  <si>
    <t>Engine/Generator</t>
  </si>
  <si>
    <t xml:space="preserve"> -</t>
  </si>
  <si>
    <t>Bin Vent Control Efficiency (%)</t>
  </si>
  <si>
    <t>1. Emission factors are from AP-42, Chapter 11.17, Table 11.17-4 for Lime Manufacturing (Updated 02/98)(SCC 3-05-016-15).</t>
  </si>
  <si>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</si>
  <si>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Facility Capacity (ton/hr)</t>
  </si>
  <si>
    <t>PM</t>
  </si>
  <si>
    <t>CO</t>
  </si>
  <si>
    <t>Pollutant</t>
  </si>
  <si>
    <t>Emission Factor</t>
  </si>
  <si>
    <t>(lb/ton)</t>
  </si>
  <si>
    <t>Emissions</t>
  </si>
  <si>
    <t>(lb/hr)</t>
  </si>
  <si>
    <t>(ton/yr)</t>
  </si>
  <si>
    <t>Worst Case Totals</t>
  </si>
  <si>
    <t>VOC</t>
  </si>
  <si>
    <t>Natural Gas</t>
  </si>
  <si>
    <t>Blue values are results</t>
  </si>
  <si>
    <t>Totals</t>
  </si>
  <si>
    <t>Total</t>
  </si>
  <si>
    <t>Lime Silo Loading</t>
  </si>
  <si>
    <t>Controlled (8,760 hr/yr)</t>
  </si>
  <si>
    <t>1. Emission factors are from AP-42, Chapter 11.19, Table 11.19.2-2 for Crushed Stone Processing and Pulverized Mineral Processing (Updated 08/04).</t>
  </si>
  <si>
    <t>Number of Units</t>
  </si>
  <si>
    <t>RAP = Reclaimed Asphalt Pavement</t>
  </si>
  <si>
    <t>Virgin Agg. Conveyors</t>
  </si>
  <si>
    <t>RAP Conveyors</t>
  </si>
  <si>
    <t>Max. Capacity</t>
  </si>
  <si>
    <t>Controlled</t>
  </si>
  <si>
    <t>Virgin Agg. Screens</t>
  </si>
  <si>
    <t>RAP Screens</t>
  </si>
  <si>
    <t>(ton/hr/unit)</t>
  </si>
  <si>
    <t>(lbs/hr/unit)</t>
  </si>
  <si>
    <t>Ef =</t>
  </si>
  <si>
    <r>
      <t>k x 0.0032 x (U/5)</t>
    </r>
    <r>
      <rPr>
        <u/>
        <vertAlign val="superscript"/>
        <sz val="10"/>
        <rFont val="Arial"/>
        <family val="2"/>
      </rPr>
      <t>1.3</t>
    </r>
  </si>
  <si>
    <r>
      <t xml:space="preserve">           (M/2)</t>
    </r>
    <r>
      <rPr>
        <vertAlign val="superscript"/>
        <sz val="10"/>
        <rFont val="Arial"/>
        <family val="2"/>
      </rPr>
      <t>1.4</t>
    </r>
  </si>
  <si>
    <t>where:</t>
  </si>
  <si>
    <t>Emission Factor (lbs/ton)</t>
  </si>
  <si>
    <t>k =</t>
  </si>
  <si>
    <t>U =</t>
  </si>
  <si>
    <t>M =</t>
  </si>
  <si>
    <t>Moisture content (%) =</t>
  </si>
  <si>
    <t>storage piles can be estimated from the following equation:</t>
  </si>
  <si>
    <r>
      <t>0.74 for PM, 0.35 for PM</t>
    </r>
    <r>
      <rPr>
        <vertAlign val="subscript"/>
        <sz val="10"/>
        <rFont val="Arial"/>
        <family val="2"/>
      </rPr>
      <t>10</t>
    </r>
    <r>
      <rPr>
        <sz val="10"/>
        <rFont val="Arial"/>
      </rPr>
      <t>, and 0.053 for PM</t>
    </r>
    <r>
      <rPr>
        <vertAlign val="subscript"/>
        <sz val="10"/>
        <rFont val="Arial"/>
        <family val="2"/>
      </rPr>
      <t>2.5</t>
    </r>
  </si>
  <si>
    <t xml:space="preserve">According to AP42, Chapter 13.2.4 - Aggregate Handling and Storage Piles (updated 11/06), the particulate emission factors for </t>
  </si>
  <si>
    <t>Agg. Moisture (%)</t>
  </si>
  <si>
    <t>Worse Case = 15</t>
  </si>
  <si>
    <t>Storage Piles</t>
  </si>
  <si>
    <t>Mean wind speed (MPH) =</t>
  </si>
  <si>
    <t>% (provided by the facility)</t>
  </si>
  <si>
    <t>MPH (provided by the facility)</t>
  </si>
  <si>
    <r>
      <t>Control Efficiency</t>
    </r>
    <r>
      <rPr>
        <vertAlign val="superscript"/>
        <sz val="10"/>
        <rFont val="Arial"/>
        <family val="2"/>
      </rPr>
      <t>1</t>
    </r>
  </si>
  <si>
    <t>Fuel Type:</t>
  </si>
  <si>
    <t>Used:</t>
  </si>
  <si>
    <t>PTE (ton/yr)</t>
  </si>
  <si>
    <t>1. Emission factors are from AP-42, Chapter 1.4, Tables 1.4-1 and 1.4-2 (updated 07/98).</t>
  </si>
  <si>
    <r>
      <t>2. PM</t>
    </r>
    <r>
      <rPr>
        <vertAlign val="subscript"/>
        <sz val="9"/>
        <rFont val="Arial"/>
        <family val="2"/>
      </rPr>
      <t>10</t>
    </r>
    <r>
      <rPr>
        <sz val="9"/>
        <rFont val="Arial"/>
        <family val="2"/>
      </rPr>
      <t xml:space="preserve"> emission factor is condensable and filterable PM combined. PM emission factor is for filterable PM only.</t>
    </r>
  </si>
  <si>
    <r>
      <t>3.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</si>
  <si>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PTE (ton/yr) = Heat Input (MMBtu/hr) x 1 MMSCF/1,020 MMBtu x EF (lb/MMSCF) x 8760 hr/yr x 1 ton/2000 lb</t>
  </si>
  <si>
    <r>
      <t>PM</t>
    </r>
    <r>
      <rPr>
        <vertAlign val="subscript"/>
        <sz val="10"/>
        <rFont val="Arial"/>
        <family val="2"/>
      </rPr>
      <t>2.5</t>
    </r>
    <r>
      <rPr>
        <vertAlign val="superscript"/>
        <sz val="10"/>
        <rFont val="Arial"/>
        <family val="2"/>
      </rPr>
      <t>3</t>
    </r>
  </si>
  <si>
    <r>
      <t>Emission Factor</t>
    </r>
    <r>
      <rPr>
        <vertAlign val="superscript"/>
        <sz val="10"/>
        <rFont val="Arial"/>
        <family val="2"/>
      </rPr>
      <t>1</t>
    </r>
    <r>
      <rPr>
        <sz val="10"/>
        <rFont val="Arial"/>
      </rPr>
      <t xml:space="preserve"> (lb/MMSCF)</t>
    </r>
  </si>
  <si>
    <t>Propane</t>
  </si>
  <si>
    <t>Sulfur Content:</t>
  </si>
  <si>
    <t>PTE (ton/yr) = Heat Input (MMBtu/hr) x 1 kgal/91.5 MMBtu x EF (lb/kgal) x 8760 hr/yr x 1 ton/2000 lb</t>
  </si>
  <si>
    <t>PTE (ton/yr) = Heat Input (MMBtu/hr) x 1 kgal/140 MMBtu x EF (lb/kgal) x 8760 hr/yr x 1 ton/2000 lb</t>
  </si>
  <si>
    <t>Worst Case PTE (ton/yr)</t>
  </si>
  <si>
    <r>
      <t>Emission Factor</t>
    </r>
    <r>
      <rPr>
        <vertAlign val="superscript"/>
        <sz val="10"/>
        <rFont val="Arial"/>
        <family val="2"/>
      </rPr>
      <t>1</t>
    </r>
    <r>
      <rPr>
        <sz val="10"/>
        <rFont val="Arial"/>
      </rPr>
      <t xml:space="preserve"> (lbs/kgal)</t>
    </r>
  </si>
  <si>
    <r>
      <t>Emission Factor</t>
    </r>
    <r>
      <rPr>
        <vertAlign val="superscript"/>
        <sz val="10"/>
        <rFont val="Arial"/>
        <family val="2"/>
      </rPr>
      <t>1</t>
    </r>
    <r>
      <rPr>
        <sz val="10"/>
        <rFont val="Arial"/>
      </rPr>
      <t xml:space="preserve"> (lb/kgal)</t>
    </r>
  </si>
  <si>
    <t>(MMBtu/hr)</t>
  </si>
  <si>
    <t>1. Emission factors are from AP-42, Chapter 1.5, Tables 1.5 (updated 07/08).</t>
  </si>
  <si>
    <t>1. Emission factors are from AP-42, Chapter 1.3, Tables 1.3-1, 1.3-2, and 1.3-3 for Fuel Oil Combustion (updated 05/10).</t>
  </si>
  <si>
    <t>Emissions from Generator/Engine - Criteria Pollutants</t>
  </si>
  <si>
    <t>1. Emission factors are from Chapter 3.3, Table 3.3-1 (updated 10/96).</t>
  </si>
  <si>
    <t>3. Assume TOC (total organic compounds) emissions equal to VOC emissions.</t>
  </si>
  <si>
    <t>Diesel-</t>
  </si>
  <si>
    <t>Limited PTE (ton/yr)</t>
  </si>
  <si>
    <t>Engine Size:</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</si>
  <si>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</si>
  <si>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</si>
  <si>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</si>
  <si>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</si>
  <si>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Diesel Used:</t>
  </si>
  <si>
    <t>Engine Type:</t>
  </si>
  <si>
    <t>Diesel Engine (&lt;= 600 hp)</t>
  </si>
  <si>
    <t>1. Emission factors are from Chapter 3.4, Tables 3.4-1 and 3.4-2 for Large Stationary Diesel and Dual Fuel Engines (updated 10/96).</t>
  </si>
  <si>
    <t xml:space="preserve">Enter the facility's information below. 
Write the letter "Y" or "N" next to each fuel type to indicate that the facility does or does not burn that type of fuel. </t>
  </si>
  <si>
    <t>Select "Drum" or "Batch" from the drop-down menu.</t>
  </si>
  <si>
    <t>Emissions from Auxiliary Heaters - Criteria Pollutants</t>
  </si>
  <si>
    <t>Auxiliary Heater</t>
  </si>
  <si>
    <t>Auxiliary Heaters Capacity -</t>
  </si>
  <si>
    <t>Load-out/Silo Filling</t>
  </si>
  <si>
    <r>
      <t>PTE of PM/PM</t>
    </r>
    <r>
      <rPr>
        <vertAlign val="subscript"/>
        <sz val="10"/>
        <rFont val="Arial"/>
        <family val="2"/>
      </rPr>
      <t>10</t>
    </r>
  </si>
  <si>
    <r>
      <t>PTE of PM</t>
    </r>
    <r>
      <rPr>
        <vertAlign val="subscript"/>
        <sz val="10"/>
        <rFont val="Arial"/>
        <family val="2"/>
      </rPr>
      <t>2.5</t>
    </r>
  </si>
  <si>
    <t>PTE (lb/hr) = Facility Capacity (ton/hr) x EF (lb/ton)</t>
  </si>
  <si>
    <t>PTE (ton/yr) = PTE (lbs/hr) x 8760 hr/yr x 1 ton/2000 lb</t>
  </si>
  <si>
    <t>Note: These are the emission factors for the dryers controlled by dry filters.</t>
  </si>
  <si>
    <t>Note: This is the emission factor for the dryers controlled by dry filters.</t>
  </si>
  <si>
    <t xml:space="preserve">    The emission factors selected are the ones with controlled since this facility is subject to NSPS, Subpart I.</t>
  </si>
  <si>
    <t>PTE (lb/hr/unit) = Max. Capacity (ton/hr/unit) x EF (lb/ton)</t>
  </si>
  <si>
    <t>PTE (ton/yr) = PTE (lbs/hr/unit) x 8760 (hr/yr) x 1 ton/2000 lb x Number of Units</t>
  </si>
  <si>
    <t>1. Since this facility is subject to NSPS, Subpart I, the particulate emissions control efficiency for storage piles is assumed to be 50%.</t>
  </si>
  <si>
    <t>PTE (ton/yr) = Max. Annual Production (ton/yr) x EF (lb/ton) x 1 ton/2000 lb  x (1-Control Efficiency)</t>
  </si>
  <si>
    <t>Max. Annual Production (ton/yr), based on the operation of 8760 hr/yr.</t>
  </si>
  <si>
    <t>Default = 1%</t>
  </si>
  <si>
    <t>PTE (ton/hr) =  PTE (lb/hr) x 8760 hr/yr x 1 ton/2000 lbs</t>
  </si>
  <si>
    <t>PTE (lb/hr) = Max. Hourly Load (ton/hr) x EF (lb/ton) x (1-Control Eff.)</t>
  </si>
  <si>
    <t>Max. Hourly Load (ton/hr)</t>
  </si>
  <si>
    <t>PTE (ton/yr) = Engine Capacity (hp) x EF (lb/hp-hr) x 8760 hr x 1 ton/2000 lb</t>
  </si>
  <si>
    <r>
      <t>Emission Factor</t>
    </r>
    <r>
      <rPr>
        <vertAlign val="superscript"/>
        <sz val="10"/>
        <rFont val="Arial"/>
        <family val="2"/>
      </rPr>
      <t>1</t>
    </r>
    <r>
      <rPr>
        <sz val="10"/>
        <rFont val="Arial"/>
      </rPr>
      <t xml:space="preserve"> (lbs/hp-hr)</t>
    </r>
  </si>
  <si>
    <t>Type of Mixer:</t>
  </si>
  <si>
    <t>This PTE calculator is only applicable to the asphalt plants subject to NSPS, Subpart I (i.e. all PM emission units are controlled) and only applicable to the asphalt plants with the dryers controlled by dry filters. The emission factors for the dryers controlled by scrubbers are not included in this spreadsheet since the use of scrubbers to control asphalt plants are rare.</t>
  </si>
  <si>
    <t>If you are NOT subject to NSPS, Subpart I, the PM/PM10/PM2.5 emission factors in this spreadsheet need to be revised to be based on the uncontrolled emission factors.</t>
  </si>
  <si>
    <t>PTE (ton/hr) = PTE (lbs/hr) x 8760 hr/yr x 1 ton/2000 lb</t>
  </si>
  <si>
    <r>
      <t>Emission Factor</t>
    </r>
    <r>
      <rPr>
        <vertAlign val="superscript"/>
        <sz val="10"/>
        <rFont val="Arial"/>
        <family val="2"/>
      </rPr>
      <t xml:space="preserve"> 1</t>
    </r>
  </si>
  <si>
    <t>(used to calculate EF)</t>
  </si>
  <si>
    <t>Default = 98%</t>
  </si>
  <si>
    <t>Default = 0.0015</t>
    <phoneticPr fontId="3" type="noConversion"/>
  </si>
  <si>
    <t>Default = 0.0015</t>
    <phoneticPr fontId="3" type="noConversion"/>
  </si>
  <si>
    <t>Temperature-</t>
  </si>
  <si>
    <t>Potential To Emit Calculator for Hot Mix Asphalt Plants</t>
  </si>
  <si>
    <t>Process</t>
  </si>
  <si>
    <t>Emissions from Aggregate Handling Operations</t>
  </si>
  <si>
    <t>Emissions from Storage Piles</t>
  </si>
  <si>
    <t>Particle size multipliers =</t>
  </si>
  <si>
    <t>The potential emissions of criteria pollutants for the facility will be displayed under the "Output - Criteria" tab.</t>
  </si>
  <si>
    <t>Note: Engines that are considered portable nonroad engines do not need to be included (see 40 CFR 1068.30)</t>
  </si>
  <si>
    <t>Liquid Fuel (distillate, diesel,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</si>
</sst>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0"/>
    <numFmt numFmtId="167" formatCode="0.0"/>
    <numFmt numFmtId="168" formatCode="0.00000"/>
  </numFmts>
  <fonts count="31">
    <font>
      <sz val="10"/>
      <name val="Arial"/>
    </font>
    <font>
      <sz val="10"/>
      <name val="Arial"/>
    </font>
    <font>
      <b/>
      <sz val="10"/>
      <name val="Arial"/>
      <family val="2"/>
    </font>
    <font>
      <sz val="8"/>
      <name val="Arial"/>
      <family val="2"/>
    </font>
    <font>
      <sz val="10"/>
      <color indexed="10"/>
      <name val="Arial"/>
      <family val="2"/>
    </font>
    <font>
      <sz val="10"/>
      <color indexed="12"/>
      <name val="Arial"/>
      <family val="2"/>
    </font>
    <font>
      <sz val="10"/>
      <color indexed="8"/>
      <name val="Arial"/>
      <family val="2"/>
    </font>
    <font>
      <sz val="10"/>
      <name val="Arial"/>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bscript"/>
      <sz val="10"/>
      <name val="Antique Olive"/>
      <family val="2"/>
    </font>
    <font>
      <vertAlign val="superscript"/>
      <sz val="10"/>
      <name val="Arial"/>
      <family val="2"/>
    </font>
    <font>
      <vertAlign val="subscript"/>
      <sz val="9"/>
      <name val="Arial"/>
      <family val="2"/>
    </font>
    <font>
      <u/>
      <sz val="10"/>
      <name val="Arial"/>
      <family val="2"/>
    </font>
    <font>
      <u/>
      <vertAlign val="superscript"/>
      <sz val="10"/>
      <name val="Arial"/>
      <family val="2"/>
    </font>
    <font>
      <sz val="10"/>
      <color indexed="10"/>
      <name val="Arial"/>
      <family val="2"/>
    </font>
    <font>
      <sz val="10"/>
      <color rgb="FF7030A0"/>
      <name val="Arial"/>
      <family val="2"/>
    </font>
    <font>
      <sz val="10"/>
      <color indexed="12"/>
      <name val="Arial"/>
      <family val="2"/>
    </font>
    <font>
      <sz val="10"/>
      <color theme="3"/>
      <name val="Arial"/>
      <family val="2"/>
    </font>
    <font>
      <sz val="10"/>
      <color indexed="8"/>
      <name val="Arial"/>
      <family val="2"/>
    </font>
    <font>
      <b/>
      <sz val="10"/>
      <color rgb="FF0070C0"/>
      <name val="Arial"/>
      <family val="2"/>
    </font>
    <font>
      <sz val="10"/>
      <color rgb="FF0070C0"/>
      <name val="Arial"/>
      <family val="2"/>
    </font>
    <font>
      <sz val="10"/>
      <color rgb="FF00B0F0"/>
      <name val="Arial"/>
      <family val="2"/>
    </font>
    <font>
      <sz val="8"/>
      <name val="Verdana"/>
    </font>
    <font>
      <sz val="10"/>
      <name val="Arial"/>
      <family val="2"/>
    </font>
  </fonts>
  <fills count="3">
    <fill>
      <patternFill patternType="none"/>
    </fill>
    <fill>
      <patternFill patternType="gray125"/>
    </fill>
    <fill>
      <patternFill patternType="solid">
        <fgColor indexed="9"/>
        <bgColor indexed="64"/>
      </patternFill>
    </fill>
  </fills>
  <borders count="112">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medium">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thick">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thick">
        <color auto="1"/>
      </bottom>
      <diagonal/>
    </border>
    <border>
      <left style="hair">
        <color auto="1"/>
      </left>
      <right style="medium">
        <color auto="1"/>
      </right>
      <top style="thin">
        <color auto="1"/>
      </top>
      <bottom style="thick">
        <color auto="1"/>
      </bottom>
      <diagonal/>
    </border>
    <border>
      <left style="hair">
        <color auto="1"/>
      </left>
      <right style="thick">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hair">
        <color auto="1"/>
      </left>
      <right style="hair">
        <color auto="1"/>
      </right>
      <top/>
      <bottom style="thick">
        <color auto="1"/>
      </bottom>
      <diagonal/>
    </border>
    <border>
      <left/>
      <right style="thick">
        <color auto="1"/>
      </right>
      <top/>
      <bottom/>
      <diagonal/>
    </border>
    <border>
      <left style="medium">
        <color auto="1"/>
      </left>
      <right/>
      <top style="thick">
        <color auto="1"/>
      </top>
      <bottom/>
      <diagonal/>
    </border>
    <border>
      <left style="hair">
        <color auto="1"/>
      </left>
      <right style="thick">
        <color auto="1"/>
      </right>
      <top/>
      <bottom style="thick">
        <color auto="1"/>
      </bottom>
      <diagonal/>
    </border>
    <border>
      <left/>
      <right style="thick">
        <color auto="1"/>
      </right>
      <top style="thick">
        <color auto="1"/>
      </top>
      <bottom/>
      <diagonal/>
    </border>
    <border>
      <left/>
      <right style="thick">
        <color auto="1"/>
      </right>
      <top/>
      <bottom style="thick">
        <color auto="1"/>
      </bottom>
      <diagonal/>
    </border>
    <border>
      <left style="medium">
        <color auto="1"/>
      </left>
      <right style="hair">
        <color auto="1"/>
      </right>
      <top style="medium">
        <color auto="1"/>
      </top>
      <bottom style="thick">
        <color auto="1"/>
      </bottom>
      <diagonal/>
    </border>
    <border>
      <left style="hair">
        <color auto="1"/>
      </left>
      <right style="hair">
        <color auto="1"/>
      </right>
      <top style="medium">
        <color auto="1"/>
      </top>
      <bottom style="thick">
        <color auto="1"/>
      </bottom>
      <diagonal/>
    </border>
    <border>
      <left style="hair">
        <color auto="1"/>
      </left>
      <right style="thick">
        <color auto="1"/>
      </right>
      <top style="medium">
        <color auto="1"/>
      </top>
      <bottom style="thick">
        <color auto="1"/>
      </bottom>
      <diagonal/>
    </border>
    <border>
      <left style="medium">
        <color auto="1"/>
      </left>
      <right/>
      <top/>
      <bottom/>
      <diagonal/>
    </border>
    <border>
      <left/>
      <right/>
      <top/>
      <bottom style="thick">
        <color auto="1"/>
      </bottom>
      <diagonal/>
    </border>
    <border>
      <left style="medium">
        <color auto="1"/>
      </left>
      <right style="hair">
        <color auto="1"/>
      </right>
      <top style="medium">
        <color auto="1"/>
      </top>
      <bottom style="thin">
        <color auto="1"/>
      </bottom>
      <diagonal/>
    </border>
    <border>
      <left style="medium">
        <color auto="1"/>
      </left>
      <right style="hair">
        <color auto="1"/>
      </right>
      <top/>
      <bottom/>
      <diagonal/>
    </border>
    <border>
      <left style="hair">
        <color auto="1"/>
      </left>
      <right style="medium">
        <color auto="1"/>
      </right>
      <top style="medium">
        <color auto="1"/>
      </top>
      <bottom style="thin">
        <color auto="1"/>
      </bottom>
      <diagonal/>
    </border>
    <border>
      <left style="medium">
        <color auto="1"/>
      </left>
      <right style="hair">
        <color auto="1"/>
      </right>
      <top/>
      <bottom style="thick">
        <color auto="1"/>
      </bottom>
      <diagonal/>
    </border>
    <border>
      <left style="medium">
        <color auto="1"/>
      </left>
      <right style="hair">
        <color auto="1"/>
      </right>
      <top style="thin">
        <color auto="1"/>
      </top>
      <bottom style="thin">
        <color auto="1"/>
      </bottom>
      <diagonal/>
    </border>
    <border>
      <left style="thick">
        <color auto="1"/>
      </left>
      <right style="hair">
        <color auto="1"/>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top style="thin">
        <color auto="1"/>
      </top>
      <bottom/>
      <diagonal/>
    </border>
    <border>
      <left style="thick">
        <color auto="1"/>
      </left>
      <right/>
      <top style="double">
        <color auto="1"/>
      </top>
      <bottom style="thick">
        <color auto="1"/>
      </bottom>
      <diagonal/>
    </border>
    <border>
      <left style="medium">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auto="1"/>
      </left>
      <right/>
      <top/>
      <bottom style="thin">
        <color auto="1"/>
      </bottom>
      <diagonal/>
    </border>
    <border>
      <left style="medium">
        <color auto="1"/>
      </left>
      <right/>
      <top/>
      <bottom style="thick">
        <color auto="1"/>
      </bottom>
      <diagonal/>
    </border>
    <border>
      <left style="hair">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thick">
        <color auto="1"/>
      </bottom>
      <diagonal/>
    </border>
    <border>
      <left/>
      <right/>
      <top style="thick">
        <color auto="1"/>
      </top>
      <bottom style="thin">
        <color auto="1"/>
      </bottom>
      <diagonal/>
    </border>
    <border>
      <left/>
      <right/>
      <top style="thin">
        <color auto="1"/>
      </top>
      <bottom style="medium">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style="medium">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diagonal/>
    </border>
    <border>
      <left style="thick">
        <color auto="1"/>
      </left>
      <right style="medium">
        <color auto="1"/>
      </right>
      <top/>
      <bottom style="medium">
        <color auto="1"/>
      </bottom>
      <diagonal/>
    </border>
    <border>
      <left style="medium">
        <color auto="1"/>
      </left>
      <right/>
      <top style="thick">
        <color auto="1"/>
      </top>
      <bottom style="thin">
        <color auto="1"/>
      </bottom>
      <diagonal/>
    </border>
    <border>
      <left/>
      <right style="thick">
        <color auto="1"/>
      </right>
      <top style="thick">
        <color auto="1"/>
      </top>
      <bottom style="thin">
        <color auto="1"/>
      </bottom>
      <diagonal/>
    </border>
    <border>
      <left style="medium">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335">
    <xf numFmtId="0" fontId="0" fillId="0" borderId="0" xfId="0"/>
    <xf numFmtId="0" fontId="2"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0" xfId="0"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5" fillId="0" borderId="7" xfId="0" applyNumberFormat="1" applyFont="1" applyBorder="1"/>
    <xf numFmtId="2" fontId="5" fillId="0" borderId="7" xfId="0" applyNumberFormat="1" applyFont="1" applyBorder="1"/>
    <xf numFmtId="2" fontId="5" fillId="0" borderId="8" xfId="0" applyNumberFormat="1" applyFont="1" applyBorder="1"/>
    <xf numFmtId="0" fontId="0" fillId="0" borderId="9" xfId="0" applyBorder="1" applyAlignment="1">
      <alignment horizontal="center"/>
    </xf>
    <xf numFmtId="164" fontId="5" fillId="0" borderId="10" xfId="0" applyNumberFormat="1" applyFont="1" applyBorder="1"/>
    <xf numFmtId="2" fontId="5" fillId="0" borderId="10" xfId="0" applyNumberFormat="1" applyFont="1" applyBorder="1"/>
    <xf numFmtId="2" fontId="5" fillId="0" borderId="11" xfId="0" applyNumberFormat="1" applyFont="1" applyBorder="1"/>
    <xf numFmtId="0" fontId="0" fillId="0" borderId="12" xfId="0" applyBorder="1" applyAlignment="1">
      <alignment horizontal="center"/>
    </xf>
    <xf numFmtId="164" fontId="5" fillId="0" borderId="13" xfId="0" applyNumberFormat="1" applyFont="1" applyBorder="1"/>
    <xf numFmtId="2" fontId="5" fillId="0" borderId="14" xfId="0" applyNumberFormat="1" applyFont="1"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164" fontId="5" fillId="0" borderId="19" xfId="0" applyNumberFormat="1" applyFont="1" applyBorder="1" applyAlignment="1">
      <alignment horizontal="center"/>
    </xf>
    <xf numFmtId="2" fontId="5" fillId="0" borderId="20" xfId="0" applyNumberFormat="1" applyFont="1" applyBorder="1" applyAlignment="1">
      <alignment horizontal="center"/>
    </xf>
    <xf numFmtId="2" fontId="5" fillId="0" borderId="21" xfId="0" applyNumberFormat="1" applyFont="1" applyBorder="1" applyAlignment="1">
      <alignment horizontal="center"/>
    </xf>
    <xf numFmtId="0" fontId="0" fillId="0" borderId="22" xfId="0" applyBorder="1" applyAlignment="1">
      <alignment horizontal="center"/>
    </xf>
    <xf numFmtId="164" fontId="5" fillId="0" borderId="13" xfId="0" applyNumberFormat="1" applyFont="1" applyBorder="1" applyAlignment="1">
      <alignment horizontal="center"/>
    </xf>
    <xf numFmtId="2" fontId="5" fillId="0" borderId="23" xfId="0" applyNumberFormat="1" applyFont="1" applyBorder="1" applyAlignment="1">
      <alignment horizontal="center"/>
    </xf>
    <xf numFmtId="2" fontId="5" fillId="0" borderId="24" xfId="0" applyNumberFormat="1" applyFont="1" applyBorder="1" applyAlignment="1">
      <alignment horizontal="center"/>
    </xf>
    <xf numFmtId="2" fontId="5" fillId="0" borderId="14" xfId="0" applyNumberFormat="1" applyFont="1" applyBorder="1" applyAlignment="1">
      <alignment horizontal="center"/>
    </xf>
    <xf numFmtId="2" fontId="5" fillId="0" borderId="11" xfId="0" applyNumberFormat="1" applyFont="1" applyBorder="1" applyAlignment="1">
      <alignment horizontal="center"/>
    </xf>
    <xf numFmtId="2" fontId="5" fillId="0" borderId="13" xfId="0" applyNumberFormat="1" applyFont="1" applyBorder="1"/>
    <xf numFmtId="0" fontId="0" fillId="0" borderId="0" xfId="0" applyBorder="1" applyAlignment="1">
      <alignment horizontal="center"/>
    </xf>
    <xf numFmtId="0" fontId="7" fillId="0" borderId="0" xfId="0" applyFont="1"/>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xf numFmtId="0" fontId="0" fillId="0" borderId="29" xfId="0" applyBorder="1"/>
    <xf numFmtId="0" fontId="6" fillId="0" borderId="19"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xf>
    <xf numFmtId="0" fontId="2" fillId="0" borderId="0" xfId="0" applyFont="1" applyAlignment="1">
      <alignment horizontal="right"/>
    </xf>
    <xf numFmtId="0" fontId="8" fillId="0" borderId="0" xfId="0" applyFont="1"/>
    <xf numFmtId="0" fontId="7" fillId="0" borderId="0" xfId="0" applyFont="1" applyBorder="1" applyAlignment="1">
      <alignment horizontal="center"/>
    </xf>
    <xf numFmtId="0" fontId="7" fillId="0" borderId="9" xfId="0" applyFont="1" applyBorder="1" applyAlignment="1">
      <alignment horizontal="center"/>
    </xf>
    <xf numFmtId="0" fontId="0" fillId="0" borderId="0" xfId="0" applyBorder="1"/>
    <xf numFmtId="0" fontId="0" fillId="0" borderId="31" xfId="0" applyBorder="1"/>
    <xf numFmtId="0" fontId="0" fillId="0" borderId="2" xfId="0" applyBorder="1" applyAlignment="1">
      <alignment horizontal="right"/>
    </xf>
    <xf numFmtId="0" fontId="0" fillId="0" borderId="32" xfId="0" applyBorder="1" applyAlignment="1"/>
    <xf numFmtId="0" fontId="6" fillId="0" borderId="0" xfId="0"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0" fontId="6" fillId="0" borderId="0" xfId="0" quotePrefix="1" applyFont="1" applyBorder="1" applyAlignment="1">
      <alignment horizontal="center"/>
    </xf>
    <xf numFmtId="2" fontId="5" fillId="0" borderId="33" xfId="0" applyNumberFormat="1" applyFont="1" applyBorder="1" applyAlignment="1">
      <alignment horizontal="center"/>
    </xf>
    <xf numFmtId="0" fontId="0" fillId="0" borderId="1" xfId="0" applyBorder="1" applyAlignment="1">
      <alignment horizontal="right"/>
    </xf>
    <xf numFmtId="0" fontId="0" fillId="0" borderId="2" xfId="0" applyBorder="1" applyAlignment="1">
      <alignment horizontal="center"/>
    </xf>
    <xf numFmtId="0" fontId="0" fillId="0" borderId="34" xfId="0" applyBorder="1"/>
    <xf numFmtId="0" fontId="0" fillId="0" borderId="35" xfId="0" applyBorder="1"/>
    <xf numFmtId="166" fontId="5" fillId="0" borderId="7" xfId="0" applyNumberFormat="1" applyFont="1" applyBorder="1" applyAlignment="1">
      <alignment horizontal="center"/>
    </xf>
    <xf numFmtId="166" fontId="5" fillId="0" borderId="10" xfId="0" applyNumberFormat="1" applyFont="1" applyBorder="1" applyAlignment="1">
      <alignment horizontal="center"/>
    </xf>
    <xf numFmtId="166" fontId="5" fillId="0" borderId="13" xfId="0" applyNumberFormat="1" applyFont="1" applyBorder="1" applyAlignment="1">
      <alignment horizontal="center"/>
    </xf>
    <xf numFmtId="0" fontId="4" fillId="0" borderId="27" xfId="0"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xf>
    <xf numFmtId="1" fontId="8" fillId="0" borderId="0" xfId="0" applyNumberFormat="1" applyFont="1"/>
    <xf numFmtId="167" fontId="8" fillId="0" borderId="0" xfId="0" applyNumberFormat="1" applyFont="1"/>
    <xf numFmtId="0" fontId="9" fillId="0" borderId="0" xfId="0" applyFont="1"/>
    <xf numFmtId="0" fontId="10" fillId="0" borderId="31" xfId="0" applyFont="1" applyBorder="1"/>
    <xf numFmtId="0" fontId="0" fillId="0" borderId="0" xfId="0" applyNumberFormat="1" applyAlignment="1">
      <alignment horizontal="left" vertical="top" wrapText="1"/>
    </xf>
    <xf numFmtId="3" fontId="0" fillId="0" borderId="2" xfId="0" applyNumberFormat="1" applyBorder="1"/>
    <xf numFmtId="167" fontId="4" fillId="0" borderId="0" xfId="0" applyNumberFormat="1" applyFont="1" applyFill="1" applyBorder="1" applyAlignment="1">
      <alignment horizontal="center"/>
    </xf>
    <xf numFmtId="0" fontId="0" fillId="0" borderId="0" xfId="0" quotePrefix="1"/>
    <xf numFmtId="0" fontId="7" fillId="0" borderId="1" xfId="0" applyFont="1" applyBorder="1"/>
    <xf numFmtId="0" fontId="7" fillId="0" borderId="2" xfId="0" applyFont="1" applyBorder="1" applyAlignment="1">
      <alignment horizontal="right"/>
    </xf>
    <xf numFmtId="0" fontId="7" fillId="0" borderId="0" xfId="0" applyFont="1" applyBorder="1"/>
    <xf numFmtId="0" fontId="21" fillId="0" borderId="0" xfId="0" applyFont="1" applyBorder="1" applyAlignment="1">
      <alignment horizontal="center"/>
    </xf>
    <xf numFmtId="0" fontId="7" fillId="0" borderId="31" xfId="0" applyFont="1" applyBorder="1"/>
    <xf numFmtId="3" fontId="21" fillId="0" borderId="0" xfId="0" applyNumberFormat="1" applyFont="1" applyBorder="1" applyAlignment="1">
      <alignment horizontal="center"/>
    </xf>
    <xf numFmtId="0" fontId="0" fillId="0" borderId="0" xfId="0" applyFill="1" applyBorder="1"/>
    <xf numFmtId="2" fontId="4" fillId="0" borderId="0" xfId="0" applyNumberFormat="1" applyFont="1" applyBorder="1" applyAlignment="1">
      <alignment horizontal="center"/>
    </xf>
    <xf numFmtId="3" fontId="8" fillId="0" borderId="0" xfId="0" applyNumberFormat="1" applyFont="1"/>
    <xf numFmtId="0" fontId="7" fillId="0" borderId="12" xfId="0" applyFont="1" applyBorder="1" applyAlignment="1">
      <alignment horizontal="center"/>
    </xf>
    <xf numFmtId="0" fontId="0" fillId="0" borderId="36" xfId="0" applyBorder="1" applyAlignment="1">
      <alignment horizontal="center"/>
    </xf>
    <xf numFmtId="0" fontId="6" fillId="0" borderId="37" xfId="0" applyFont="1" applyBorder="1" applyAlignment="1">
      <alignment horizontal="center"/>
    </xf>
    <xf numFmtId="2" fontId="5" fillId="0" borderId="38" xfId="0" applyNumberFormat="1" applyFont="1" applyBorder="1" applyAlignment="1">
      <alignment horizontal="center"/>
    </xf>
    <xf numFmtId="0" fontId="7" fillId="0" borderId="6" xfId="0" applyFont="1" applyBorder="1" applyAlignment="1">
      <alignment horizontal="center"/>
    </xf>
    <xf numFmtId="0" fontId="11" fillId="0" borderId="0" xfId="0" applyFont="1" applyAlignment="1"/>
    <xf numFmtId="14" fontId="0" fillId="0" borderId="0" xfId="0" applyNumberFormat="1" applyAlignment="1"/>
    <xf numFmtId="0" fontId="22" fillId="0" borderId="0" xfId="0" applyFont="1"/>
    <xf numFmtId="0" fontId="21" fillId="0" borderId="0" xfId="0" applyFont="1" applyBorder="1"/>
    <xf numFmtId="0" fontId="0" fillId="0" borderId="0" xfId="0" applyFont="1" applyFill="1" applyBorder="1"/>
    <xf numFmtId="0" fontId="0" fillId="0" borderId="39" xfId="0" applyBorder="1" applyAlignment="1">
      <alignment horizontal="center"/>
    </xf>
    <xf numFmtId="0" fontId="2" fillId="0" borderId="1" xfId="0" applyFont="1" applyFill="1" applyBorder="1" applyAlignment="1">
      <alignment horizontal="left"/>
    </xf>
    <xf numFmtId="0" fontId="7" fillId="0" borderId="0" xfId="0" applyFont="1" applyAlignment="1">
      <alignment horizontal="right"/>
    </xf>
    <xf numFmtId="0" fontId="21" fillId="0" borderId="40" xfId="0" applyFont="1" applyBorder="1" applyAlignment="1">
      <alignment horizontal="center"/>
    </xf>
    <xf numFmtId="0" fontId="8" fillId="0" borderId="0" xfId="0" applyFont="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164" fontId="7" fillId="0" borderId="41" xfId="0" applyNumberFormat="1" applyFont="1" applyBorder="1" applyAlignment="1">
      <alignment horizontal="center"/>
    </xf>
    <xf numFmtId="0" fontId="7" fillId="0" borderId="2" xfId="0" applyFont="1" applyBorder="1"/>
    <xf numFmtId="0" fontId="7" fillId="0" borderId="17" xfId="0" applyFont="1" applyBorder="1" applyAlignment="1">
      <alignment horizontal="center"/>
    </xf>
    <xf numFmtId="2" fontId="23" fillId="0" borderId="8" xfId="0" applyNumberFormat="1" applyFont="1" applyBorder="1" applyAlignment="1">
      <alignment horizontal="center"/>
    </xf>
    <xf numFmtId="2" fontId="23" fillId="0" borderId="11" xfId="0" applyNumberFormat="1" applyFont="1" applyBorder="1" applyAlignment="1">
      <alignment horizontal="center"/>
    </xf>
    <xf numFmtId="2" fontId="23" fillId="0" borderId="14" xfId="0" applyNumberFormat="1" applyFont="1" applyBorder="1" applyAlignment="1">
      <alignment horizontal="center"/>
    </xf>
    <xf numFmtId="2" fontId="23" fillId="0" borderId="43" xfId="0" applyNumberFormat="1" applyFont="1" applyBorder="1" applyAlignment="1">
      <alignment horizontal="center"/>
    </xf>
    <xf numFmtId="14" fontId="21" fillId="0" borderId="0" xfId="0" applyNumberFormat="1" applyFont="1" applyAlignment="1">
      <alignment horizontal="left" vertical="top" wrapText="1"/>
    </xf>
    <xf numFmtId="0" fontId="2" fillId="0" borderId="2" xfId="0" applyFont="1" applyBorder="1" applyAlignment="1">
      <alignment horizontal="center"/>
    </xf>
    <xf numFmtId="0" fontId="2" fillId="0" borderId="2" xfId="0" applyFont="1" applyBorder="1" applyAlignment="1">
      <alignment horizontal="right"/>
    </xf>
    <xf numFmtId="0" fontId="7" fillId="0" borderId="4" xfId="0" applyFont="1" applyBorder="1" applyAlignment="1">
      <alignment horizontal="center"/>
    </xf>
    <xf numFmtId="0" fontId="0" fillId="0" borderId="2" xfId="0" applyFont="1" applyFill="1" applyBorder="1" applyAlignment="1">
      <alignment horizontal="right"/>
    </xf>
    <xf numFmtId="0" fontId="7" fillId="0" borderId="0" xfId="0" applyFont="1" applyFill="1" applyBorder="1"/>
    <xf numFmtId="0" fontId="13" fillId="0" borderId="0" xfId="0" applyFont="1"/>
    <xf numFmtId="0" fontId="14" fillId="0" borderId="0" xfId="0" applyFont="1"/>
    <xf numFmtId="0" fontId="15" fillId="0" borderId="0" xfId="0" applyFont="1"/>
    <xf numFmtId="0" fontId="7" fillId="0" borderId="18"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7" fillId="0" borderId="16" xfId="0" applyFont="1" applyBorder="1"/>
    <xf numFmtId="0" fontId="7" fillId="0" borderId="47" xfId="0" applyFont="1" applyBorder="1" applyAlignment="1">
      <alignment horizontal="center"/>
    </xf>
    <xf numFmtId="2" fontId="5" fillId="0" borderId="19" xfId="0" applyNumberFormat="1" applyFont="1" applyBorder="1" applyAlignment="1">
      <alignment horizontal="center"/>
    </xf>
    <xf numFmtId="2" fontId="5" fillId="0" borderId="13" xfId="0" applyNumberFormat="1" applyFont="1" applyBorder="1" applyAlignment="1">
      <alignment horizontal="center"/>
    </xf>
    <xf numFmtId="2" fontId="5" fillId="0" borderId="30" xfId="0" applyNumberFormat="1" applyFont="1" applyBorder="1" applyAlignment="1">
      <alignment horizontal="center"/>
    </xf>
    <xf numFmtId="2" fontId="5" fillId="0" borderId="10" xfId="0" applyNumberFormat="1" applyFont="1" applyBorder="1" applyAlignment="1">
      <alignment horizontal="center"/>
    </xf>
    <xf numFmtId="2" fontId="5" fillId="0" borderId="37" xfId="0" applyNumberFormat="1" applyFont="1" applyBorder="1" applyAlignment="1">
      <alignment horizontal="center"/>
    </xf>
    <xf numFmtId="0" fontId="7" fillId="0" borderId="35" xfId="0" applyFont="1" applyBorder="1"/>
    <xf numFmtId="0" fontId="7" fillId="0" borderId="3" xfId="0" applyFont="1" applyBorder="1"/>
    <xf numFmtId="0" fontId="7" fillId="0" borderId="16" xfId="0" applyFont="1" applyBorder="1" applyAlignment="1">
      <alignment horizontal="center"/>
    </xf>
    <xf numFmtId="0" fontId="7" fillId="2" borderId="48" xfId="0" applyFont="1" applyFill="1" applyBorder="1" applyAlignment="1">
      <alignment horizontal="center"/>
    </xf>
    <xf numFmtId="14" fontId="22" fillId="0" borderId="0" xfId="0" applyNumberFormat="1" applyFont="1" applyAlignment="1">
      <alignment horizontal="left" vertical="top" wrapText="1"/>
    </xf>
    <xf numFmtId="14" fontId="7" fillId="0" borderId="0" xfId="0" applyNumberFormat="1" applyFont="1" applyAlignment="1">
      <alignment horizontal="left" vertical="top" wrapText="1"/>
    </xf>
    <xf numFmtId="0" fontId="7" fillId="0" borderId="49" xfId="0" applyFont="1" applyFill="1" applyBorder="1"/>
    <xf numFmtId="2" fontId="0" fillId="0" borderId="50" xfId="0" applyNumberFormat="1" applyBorder="1" applyAlignment="1">
      <alignment horizontal="center"/>
    </xf>
    <xf numFmtId="2" fontId="0" fillId="0" borderId="51" xfId="0" applyNumberFormat="1" applyBorder="1" applyAlignment="1">
      <alignment horizontal="center"/>
    </xf>
    <xf numFmtId="2" fontId="0" fillId="0" borderId="52" xfId="0" applyNumberFormat="1" applyBorder="1" applyAlignment="1">
      <alignment horizontal="center"/>
    </xf>
    <xf numFmtId="0" fontId="7" fillId="2" borderId="53" xfId="0" applyFont="1" applyFill="1" applyBorder="1" applyAlignment="1">
      <alignment horizontal="center"/>
    </xf>
    <xf numFmtId="0" fontId="7" fillId="2" borderId="54" xfId="0" applyFont="1" applyFill="1" applyBorder="1" applyAlignment="1">
      <alignment horizontal="center"/>
    </xf>
    <xf numFmtId="0" fontId="7" fillId="2" borderId="55" xfId="0" applyFont="1" applyFill="1" applyBorder="1" applyAlignment="1">
      <alignment horizontal="center"/>
    </xf>
    <xf numFmtId="0" fontId="7" fillId="0" borderId="56" xfId="0" applyFont="1" applyBorder="1"/>
    <xf numFmtId="0" fontId="7" fillId="2" borderId="57" xfId="0" applyFont="1" applyFill="1" applyBorder="1" applyAlignment="1">
      <alignment horizontal="center"/>
    </xf>
    <xf numFmtId="0" fontId="7" fillId="2" borderId="58" xfId="0" applyFont="1" applyFill="1" applyBorder="1" applyAlignment="1">
      <alignment horizontal="center"/>
    </xf>
    <xf numFmtId="0" fontId="7" fillId="0" borderId="59" xfId="0" applyFont="1" applyFill="1" applyBorder="1"/>
    <xf numFmtId="0" fontId="7" fillId="0" borderId="60" xfId="0" applyFont="1" applyFill="1" applyBorder="1"/>
    <xf numFmtId="2" fontId="2" fillId="0" borderId="61" xfId="0" applyNumberFormat="1" applyFont="1" applyBorder="1" applyAlignment="1">
      <alignment horizontal="center"/>
    </xf>
    <xf numFmtId="2" fontId="2" fillId="0" borderId="62" xfId="0" applyNumberFormat="1" applyFont="1" applyBorder="1" applyAlignment="1">
      <alignment horizontal="center"/>
    </xf>
    <xf numFmtId="2" fontId="2" fillId="0" borderId="63" xfId="0" applyNumberFormat="1" applyFont="1" applyBorder="1" applyAlignment="1">
      <alignment horizontal="center"/>
    </xf>
    <xf numFmtId="0" fontId="7" fillId="0" borderId="51" xfId="0" applyFont="1" applyBorder="1" applyAlignment="1">
      <alignment horizontal="center"/>
    </xf>
    <xf numFmtId="2" fontId="7" fillId="0" borderId="52" xfId="0" applyNumberFormat="1" applyFont="1" applyBorder="1" applyAlignment="1">
      <alignment horizontal="center"/>
    </xf>
    <xf numFmtId="11" fontId="5" fillId="0" borderId="0" xfId="0" applyNumberFormat="1" applyFont="1" applyBorder="1" applyAlignment="1">
      <alignment horizontal="center"/>
    </xf>
    <xf numFmtId="0" fontId="7" fillId="0" borderId="0" xfId="0" applyFont="1" applyBorder="1" applyAlignment="1">
      <alignment horizontal="left"/>
    </xf>
    <xf numFmtId="0" fontId="7" fillId="0" borderId="57" xfId="0" applyFont="1" applyBorder="1" applyAlignment="1">
      <alignment horizontal="center"/>
    </xf>
    <xf numFmtId="0" fontId="6" fillId="0" borderId="48" xfId="0" applyFont="1" applyBorder="1" applyAlignment="1">
      <alignment horizontal="center"/>
    </xf>
    <xf numFmtId="0" fontId="7" fillId="0" borderId="50" xfId="0" applyFont="1" applyBorder="1" applyAlignment="1">
      <alignment horizontal="center"/>
    </xf>
    <xf numFmtId="0" fontId="6" fillId="0" borderId="51" xfId="0" applyFont="1" applyBorder="1" applyAlignment="1">
      <alignment horizontal="center"/>
    </xf>
    <xf numFmtId="0" fontId="7" fillId="0" borderId="64" xfId="0" applyFont="1" applyBorder="1" applyAlignment="1">
      <alignment horizontal="center"/>
    </xf>
    <xf numFmtId="0" fontId="6" fillId="0" borderId="65" xfId="0" applyFont="1" applyBorder="1" applyAlignment="1">
      <alignment horizontal="center"/>
    </xf>
    <xf numFmtId="165" fontId="5" fillId="0" borderId="48" xfId="0" applyNumberFormat="1" applyFont="1" applyBorder="1" applyAlignment="1">
      <alignment horizontal="center"/>
    </xf>
    <xf numFmtId="165" fontId="5" fillId="0" borderId="51" xfId="0" applyNumberFormat="1" applyFont="1" applyBorder="1" applyAlignment="1">
      <alignment horizontal="center"/>
    </xf>
    <xf numFmtId="165" fontId="5" fillId="0" borderId="65" xfId="0" applyNumberFormat="1" applyFont="1" applyBorder="1" applyAlignment="1">
      <alignment horizontal="center"/>
    </xf>
    <xf numFmtId="165" fontId="7" fillId="0" borderId="0" xfId="0" applyNumberFormat="1" applyFont="1" applyBorder="1" applyAlignment="1">
      <alignment horizontal="center"/>
    </xf>
    <xf numFmtId="164" fontId="23" fillId="0" borderId="0" xfId="0" applyNumberFormat="1" applyFont="1" applyBorder="1" applyAlignment="1">
      <alignment horizontal="center"/>
    </xf>
    <xf numFmtId="2" fontId="23" fillId="0" borderId="0" xfId="0" applyNumberFormat="1" applyFont="1" applyBorder="1" applyAlignment="1">
      <alignment horizontal="center"/>
    </xf>
    <xf numFmtId="164" fontId="7" fillId="0" borderId="0" xfId="0" applyNumberFormat="1" applyFont="1" applyBorder="1" applyAlignment="1">
      <alignment horizontal="center"/>
    </xf>
    <xf numFmtId="0" fontId="7" fillId="0" borderId="66" xfId="0" applyFont="1" applyBorder="1" applyAlignment="1">
      <alignment horizontal="center"/>
    </xf>
    <xf numFmtId="0" fontId="0" fillId="0" borderId="2" xfId="0" applyBorder="1" applyAlignment="1"/>
    <xf numFmtId="0" fontId="0" fillId="0" borderId="3" xfId="0" applyBorder="1" applyAlignment="1"/>
    <xf numFmtId="0" fontId="7" fillId="0" borderId="67" xfId="0" applyFont="1" applyBorder="1" applyAlignment="1">
      <alignment horizontal="center"/>
    </xf>
    <xf numFmtId="164" fontId="7" fillId="0" borderId="44" xfId="0" applyNumberFormat="1" applyFont="1" applyBorder="1" applyAlignment="1">
      <alignment horizontal="center"/>
    </xf>
    <xf numFmtId="2" fontId="23" fillId="0" borderId="68" xfId="0" applyNumberFormat="1" applyFont="1" applyBorder="1" applyAlignment="1">
      <alignment horizontal="center"/>
    </xf>
    <xf numFmtId="2" fontId="23" fillId="0" borderId="33" xfId="0" applyNumberFormat="1" applyFont="1" applyBorder="1" applyAlignment="1">
      <alignment horizontal="center"/>
    </xf>
    <xf numFmtId="165" fontId="23" fillId="0" borderId="7" xfId="0" applyNumberFormat="1" applyFont="1" applyBorder="1" applyAlignment="1">
      <alignment horizontal="center"/>
    </xf>
    <xf numFmtId="165" fontId="23" fillId="0" borderId="30" xfId="0" applyNumberFormat="1" applyFont="1" applyBorder="1" applyAlignment="1">
      <alignment horizontal="center"/>
    </xf>
    <xf numFmtId="168" fontId="7" fillId="0" borderId="41" xfId="0" applyNumberFormat="1" applyFont="1" applyBorder="1" applyAlignment="1">
      <alignment horizontal="center"/>
    </xf>
    <xf numFmtId="168" fontId="7" fillId="0" borderId="44" xfId="0" applyNumberFormat="1" applyFont="1" applyBorder="1" applyAlignment="1">
      <alignment horizontal="center"/>
    </xf>
    <xf numFmtId="166" fontId="7" fillId="0" borderId="41" xfId="0" applyNumberFormat="1" applyFont="1" applyBorder="1" applyAlignment="1">
      <alignment horizontal="center"/>
    </xf>
    <xf numFmtId="166" fontId="7" fillId="0" borderId="44" xfId="0" applyNumberFormat="1" applyFont="1" applyBorder="1" applyAlignment="1">
      <alignment horizontal="center"/>
    </xf>
    <xf numFmtId="0" fontId="19" fillId="0" borderId="0" xfId="0" applyFont="1"/>
    <xf numFmtId="0" fontId="15"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165" fontId="7" fillId="0" borderId="0" xfId="0" applyNumberFormat="1" applyFont="1" applyAlignment="1">
      <alignment horizontal="right"/>
    </xf>
    <xf numFmtId="0" fontId="7" fillId="0" borderId="69" xfId="0" applyFont="1" applyBorder="1" applyAlignment="1">
      <alignment horizontal="center"/>
    </xf>
    <xf numFmtId="0" fontId="0" fillId="0" borderId="3" xfId="0" applyBorder="1" applyAlignment="1">
      <alignment horizontal="right"/>
    </xf>
    <xf numFmtId="0" fontId="7" fillId="0" borderId="40" xfId="0" applyFont="1" applyBorder="1"/>
    <xf numFmtId="168" fontId="24" fillId="0" borderId="70" xfId="0" applyNumberFormat="1" applyFont="1" applyBorder="1" applyAlignment="1">
      <alignment horizontal="center"/>
    </xf>
    <xf numFmtId="168" fontId="24" fillId="0" borderId="71" xfId="0" applyNumberFormat="1" applyFont="1" applyBorder="1" applyAlignment="1">
      <alignment horizontal="center"/>
    </xf>
    <xf numFmtId="168" fontId="24" fillId="0" borderId="72" xfId="0" applyNumberFormat="1" applyFont="1" applyBorder="1" applyAlignment="1">
      <alignment horizontal="center"/>
    </xf>
    <xf numFmtId="0" fontId="7" fillId="0" borderId="73" xfId="0" applyFont="1" applyBorder="1" applyAlignment="1">
      <alignment horizontal="center"/>
    </xf>
    <xf numFmtId="9" fontId="7" fillId="0" borderId="74" xfId="0" applyNumberFormat="1" applyFont="1" applyBorder="1" applyAlignment="1">
      <alignment horizontal="center"/>
    </xf>
    <xf numFmtId="168" fontId="24" fillId="0" borderId="0" xfId="0" applyNumberFormat="1" applyFont="1" applyBorder="1" applyAlignment="1">
      <alignment horizontal="center"/>
    </xf>
    <xf numFmtId="9" fontId="24" fillId="0" borderId="0" xfId="1" applyFont="1" applyBorder="1" applyAlignment="1">
      <alignment horizontal="center"/>
    </xf>
    <xf numFmtId="9" fontId="25" fillId="0" borderId="70" xfId="1" applyFont="1" applyBorder="1" applyAlignment="1">
      <alignment horizontal="center"/>
    </xf>
    <xf numFmtId="9" fontId="25" fillId="0" borderId="71" xfId="1" applyFont="1" applyBorder="1" applyAlignment="1">
      <alignment horizontal="center"/>
    </xf>
    <xf numFmtId="9" fontId="25" fillId="0" borderId="72" xfId="1" applyFont="1" applyBorder="1" applyAlignment="1">
      <alignment horizontal="center"/>
    </xf>
    <xf numFmtId="0" fontId="7" fillId="0" borderId="75" xfId="0" applyFont="1" applyBorder="1" applyAlignment="1">
      <alignment horizontal="center"/>
    </xf>
    <xf numFmtId="0" fontId="0" fillId="0" borderId="76" xfId="0" applyBorder="1" applyAlignment="1">
      <alignment horizontal="center"/>
    </xf>
    <xf numFmtId="2" fontId="7" fillId="2" borderId="48" xfId="0" applyNumberFormat="1" applyFont="1" applyFill="1" applyBorder="1" applyAlignment="1">
      <alignment horizontal="center"/>
    </xf>
    <xf numFmtId="0" fontId="15" fillId="0" borderId="0" xfId="0" applyFont="1" applyBorder="1"/>
    <xf numFmtId="0" fontId="14" fillId="0" borderId="0" xfId="0" applyFont="1" applyBorder="1"/>
    <xf numFmtId="0" fontId="0" fillId="0" borderId="0" xfId="0" applyFont="1" applyFill="1" applyBorder="1" applyAlignment="1">
      <alignment horizontal="center"/>
    </xf>
    <xf numFmtId="167" fontId="15" fillId="0" borderId="0" xfId="0" applyNumberFormat="1" applyFont="1" applyBorder="1" applyAlignment="1">
      <alignment horizontal="center"/>
    </xf>
    <xf numFmtId="0" fontId="15" fillId="0" borderId="0" xfId="0" applyFont="1" applyBorder="1" applyAlignment="1">
      <alignment horizontal="center"/>
    </xf>
    <xf numFmtId="0" fontId="7" fillId="0" borderId="77" xfId="0" applyFont="1" applyBorder="1" applyAlignment="1">
      <alignment horizontal="center"/>
    </xf>
    <xf numFmtId="0" fontId="7" fillId="0" borderId="78" xfId="0" applyFont="1" applyBorder="1" applyAlignment="1">
      <alignment horizontal="center"/>
    </xf>
    <xf numFmtId="0" fontId="2" fillId="0" borderId="0" xfId="0" applyFont="1" applyBorder="1"/>
    <xf numFmtId="0" fontId="7" fillId="2" borderId="51" xfId="0" applyFont="1" applyFill="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center"/>
    </xf>
    <xf numFmtId="0" fontId="7" fillId="0" borderId="83" xfId="0" applyFont="1" applyBorder="1" applyAlignment="1">
      <alignment horizontal="center"/>
    </xf>
    <xf numFmtId="167" fontId="7" fillId="0" borderId="84" xfId="0" applyNumberFormat="1" applyFont="1" applyBorder="1" applyAlignment="1">
      <alignment horizontal="center"/>
    </xf>
    <xf numFmtId="0" fontId="15" fillId="0" borderId="34" xfId="0" applyFont="1" applyBorder="1"/>
    <xf numFmtId="0" fontId="7" fillId="2" borderId="50" xfId="0" applyFont="1" applyFill="1" applyBorder="1" applyAlignment="1">
      <alignment horizontal="center"/>
    </xf>
    <xf numFmtId="0" fontId="7" fillId="2" borderId="52" xfId="0" applyFont="1" applyFill="1" applyBorder="1" applyAlignment="1">
      <alignment horizontal="center"/>
    </xf>
    <xf numFmtId="0" fontId="7" fillId="0" borderId="85" xfId="0" applyFont="1" applyBorder="1"/>
    <xf numFmtId="0" fontId="7" fillId="0" borderId="47" xfId="0" applyFont="1" applyBorder="1"/>
    <xf numFmtId="0" fontId="7" fillId="0" borderId="86"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167" fontId="7" fillId="0" borderId="89" xfId="0" applyNumberFormat="1" applyFont="1" applyBorder="1" applyAlignment="1">
      <alignment horizontal="center"/>
    </xf>
    <xf numFmtId="2" fontId="22" fillId="0" borderId="0" xfId="0" applyNumberFormat="1" applyFont="1"/>
    <xf numFmtId="167" fontId="7" fillId="0" borderId="88" xfId="0" applyNumberFormat="1" applyFont="1" applyBorder="1" applyAlignment="1">
      <alignment horizontal="center"/>
    </xf>
    <xf numFmtId="2" fontId="7" fillId="0" borderId="89" xfId="0" applyNumberFormat="1" applyFont="1" applyBorder="1" applyAlignment="1">
      <alignment horizontal="center"/>
    </xf>
    <xf numFmtId="167" fontId="7" fillId="0" borderId="86" xfId="0" applyNumberFormat="1" applyFont="1" applyBorder="1" applyAlignment="1">
      <alignment horizontal="center"/>
    </xf>
    <xf numFmtId="0" fontId="7" fillId="2" borderId="90" xfId="0" applyFont="1" applyFill="1" applyBorder="1" applyAlignment="1">
      <alignment horizontal="center"/>
    </xf>
    <xf numFmtId="0" fontId="7" fillId="2" borderId="91" xfId="0" applyFont="1" applyFill="1" applyBorder="1" applyAlignment="1">
      <alignment horizontal="center"/>
    </xf>
    <xf numFmtId="0" fontId="7" fillId="2" borderId="92" xfId="0" applyFont="1" applyFill="1" applyBorder="1" applyAlignment="1">
      <alignment horizontal="center"/>
    </xf>
    <xf numFmtId="2" fontId="26" fillId="0" borderId="83" xfId="0" applyNumberFormat="1" applyFont="1" applyBorder="1" applyAlignment="1">
      <alignment horizontal="center"/>
    </xf>
    <xf numFmtId="2" fontId="26" fillId="0" borderId="77" xfId="0" applyNumberFormat="1" applyFont="1" applyBorder="1" applyAlignment="1">
      <alignment horizontal="center"/>
    </xf>
    <xf numFmtId="2" fontId="26" fillId="0" borderId="79" xfId="0" applyNumberFormat="1" applyFont="1" applyBorder="1" applyAlignment="1">
      <alignment horizontal="center"/>
    </xf>
    <xf numFmtId="0" fontId="7" fillId="0" borderId="2" xfId="0" applyFont="1" applyFill="1" applyBorder="1" applyAlignment="1">
      <alignment horizontal="right"/>
    </xf>
    <xf numFmtId="3" fontId="22" fillId="0" borderId="0" xfId="0" applyNumberFormat="1" applyFont="1"/>
    <xf numFmtId="2" fontId="26" fillId="0" borderId="93" xfId="0" applyNumberFormat="1" applyFont="1" applyBorder="1" applyAlignment="1">
      <alignment horizontal="center"/>
    </xf>
    <xf numFmtId="2" fontId="26" fillId="0" borderId="94" xfId="0" applyNumberFormat="1" applyFont="1" applyBorder="1" applyAlignment="1">
      <alignment horizontal="center"/>
    </xf>
    <xf numFmtId="2" fontId="26" fillId="0" borderId="95" xfId="0" applyNumberFormat="1" applyFont="1" applyBorder="1" applyAlignment="1">
      <alignment horizontal="center"/>
    </xf>
    <xf numFmtId="2" fontId="0" fillId="0" borderId="96" xfId="0" applyNumberFormat="1" applyBorder="1" applyAlignment="1">
      <alignment horizontal="center"/>
    </xf>
    <xf numFmtId="4" fontId="0" fillId="0" borderId="97" xfId="0" applyNumberFormat="1" applyBorder="1" applyAlignment="1">
      <alignment horizontal="center"/>
    </xf>
    <xf numFmtId="2" fontId="0" fillId="0" borderId="98" xfId="0" applyNumberFormat="1" applyBorder="1" applyAlignment="1">
      <alignment horizontal="center"/>
    </xf>
    <xf numFmtId="2" fontId="0" fillId="0" borderId="97" xfId="0" applyNumberFormat="1" applyBorder="1" applyAlignment="1">
      <alignment horizontal="center"/>
    </xf>
    <xf numFmtId="167" fontId="0" fillId="0" borderId="51" xfId="0" applyNumberFormat="1" applyBorder="1" applyAlignment="1">
      <alignment horizontal="center"/>
    </xf>
    <xf numFmtId="0" fontId="27" fillId="0" borderId="0" xfId="0" applyFont="1"/>
    <xf numFmtId="0" fontId="7" fillId="0" borderId="0" xfId="0" applyFont="1" applyFill="1" applyBorder="1" applyAlignment="1">
      <alignment horizontal="center"/>
    </xf>
    <xf numFmtId="4" fontId="22" fillId="0" borderId="0" xfId="0" applyNumberFormat="1" applyFont="1"/>
    <xf numFmtId="0" fontId="0" fillId="0" borderId="27"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21" fillId="0" borderId="0" xfId="0" applyFont="1"/>
    <xf numFmtId="0" fontId="22" fillId="0" borderId="66" xfId="0" applyFont="1" applyBorder="1" applyAlignment="1">
      <alignment horizontal="center"/>
    </xf>
    <xf numFmtId="0" fontId="22" fillId="0" borderId="67" xfId="0" applyFont="1" applyBorder="1" applyAlignment="1">
      <alignment horizontal="center"/>
    </xf>
    <xf numFmtId="0" fontId="7" fillId="0" borderId="56" xfId="0" applyFont="1" applyBorder="1" applyAlignment="1">
      <alignment horizontal="center"/>
    </xf>
    <xf numFmtId="0" fontId="7" fillId="0" borderId="49" xfId="0" applyFont="1" applyBorder="1" applyAlignment="1">
      <alignment horizontal="center"/>
    </xf>
    <xf numFmtId="0" fontId="7" fillId="0" borderId="99" xfId="0" applyFont="1" applyBorder="1" applyAlignment="1">
      <alignment horizontal="center"/>
    </xf>
    <xf numFmtId="0" fontId="7" fillId="0" borderId="100" xfId="0" applyFont="1" applyBorder="1" applyAlignment="1">
      <alignment horizontal="center"/>
    </xf>
    <xf numFmtId="2" fontId="23" fillId="0" borderId="58" xfId="0" applyNumberFormat="1" applyFont="1" applyBorder="1" applyAlignment="1">
      <alignment horizontal="center"/>
    </xf>
    <xf numFmtId="2" fontId="23" fillId="0" borderId="52" xfId="0" applyNumberFormat="1" applyFont="1" applyBorder="1" applyAlignment="1">
      <alignment horizontal="center"/>
    </xf>
    <xf numFmtId="2" fontId="23" fillId="0" borderId="5" xfId="0" applyNumberFormat="1" applyFont="1" applyBorder="1" applyAlignment="1">
      <alignment horizontal="center"/>
    </xf>
    <xf numFmtId="9" fontId="4" fillId="0" borderId="0" xfId="1" applyFont="1" applyBorder="1" applyAlignment="1">
      <alignment horizontal="center"/>
    </xf>
    <xf numFmtId="9" fontId="8" fillId="0" borderId="0" xfId="1" applyFont="1" applyAlignment="1">
      <alignment horizontal="center"/>
    </xf>
    <xf numFmtId="3" fontId="28" fillId="0" borderId="0" xfId="0" applyNumberFormat="1" applyFont="1" applyAlignment="1">
      <alignment horizontal="center"/>
    </xf>
    <xf numFmtId="2" fontId="5" fillId="0" borderId="58" xfId="0" applyNumberFormat="1" applyFont="1" applyBorder="1" applyAlignment="1">
      <alignment horizontal="center"/>
    </xf>
    <xf numFmtId="2" fontId="5" fillId="0" borderId="52" xfId="0" applyNumberFormat="1" applyFont="1" applyBorder="1" applyAlignment="1">
      <alignment horizontal="center"/>
    </xf>
    <xf numFmtId="2" fontId="5" fillId="0" borderId="101" xfId="0" applyNumberFormat="1" applyFont="1" applyBorder="1" applyAlignment="1">
      <alignment horizontal="center"/>
    </xf>
    <xf numFmtId="9" fontId="8" fillId="0" borderId="0" xfId="1" applyFont="1"/>
    <xf numFmtId="9" fontId="22" fillId="0" borderId="48" xfId="1" applyFont="1" applyBorder="1" applyAlignment="1">
      <alignment horizontal="center"/>
    </xf>
    <xf numFmtId="9" fontId="22" fillId="0" borderId="51" xfId="1" applyFont="1" applyBorder="1" applyAlignment="1">
      <alignment horizontal="center"/>
    </xf>
    <xf numFmtId="9" fontId="22" fillId="0" borderId="65" xfId="1" applyFont="1" applyBorder="1" applyAlignment="1">
      <alignment horizontal="center"/>
    </xf>
    <xf numFmtId="11" fontId="7" fillId="0" borderId="88" xfId="0" applyNumberFormat="1" applyFont="1" applyBorder="1" applyAlignment="1">
      <alignment horizontal="center"/>
    </xf>
    <xf numFmtId="11" fontId="7" fillId="0" borderId="86" xfId="0" applyNumberFormat="1" applyFont="1" applyBorder="1" applyAlignment="1">
      <alignment horizontal="center"/>
    </xf>
    <xf numFmtId="11" fontId="7" fillId="0" borderId="87" xfId="0" applyNumberFormat="1" applyFont="1" applyBorder="1" applyAlignment="1">
      <alignment horizontal="center"/>
    </xf>
    <xf numFmtId="11" fontId="7" fillId="0" borderId="47" xfId="0" applyNumberFormat="1" applyFont="1" applyBorder="1" applyAlignment="1">
      <alignment horizontal="center"/>
    </xf>
    <xf numFmtId="11" fontId="7" fillId="0" borderId="89" xfId="0" applyNumberFormat="1" applyFont="1" applyBorder="1" applyAlignment="1">
      <alignment horizontal="center"/>
    </xf>
    <xf numFmtId="0" fontId="11" fillId="0" borderId="0" xfId="0" applyFont="1" applyAlignment="1">
      <alignment horizontal="center"/>
    </xf>
    <xf numFmtId="14" fontId="0" fillId="0" borderId="0" xfId="0" applyNumberFormat="1" applyAlignment="1">
      <alignment horizontal="center"/>
    </xf>
    <xf numFmtId="0" fontId="7" fillId="0" borderId="69" xfId="0" applyFont="1" applyBorder="1"/>
    <xf numFmtId="0" fontId="0" fillId="0" borderId="0" xfId="0" applyAlignment="1"/>
    <xf numFmtId="164" fontId="4" fillId="0" borderId="0" xfId="0" applyNumberFormat="1" applyFont="1" applyBorder="1" applyAlignment="1">
      <alignment horizontal="center"/>
    </xf>
    <xf numFmtId="0" fontId="11" fillId="0" borderId="0" xfId="0" applyFont="1" applyAlignment="1">
      <alignment horizontal="center"/>
    </xf>
    <xf numFmtId="165" fontId="22" fillId="0" borderId="0" xfId="0" applyNumberFormat="1" applyFont="1"/>
    <xf numFmtId="2" fontId="6" fillId="0" borderId="10" xfId="0" applyNumberFormat="1" applyFont="1" applyBorder="1" applyAlignment="1">
      <alignment horizontal="center"/>
    </xf>
    <xf numFmtId="0" fontId="15" fillId="0" borderId="0" xfId="0" applyFont="1" applyAlignment="1">
      <alignment horizontal="left" vertical="top" wrapText="1"/>
    </xf>
    <xf numFmtId="0" fontId="30" fillId="0" borderId="2" xfId="0" applyFont="1" applyBorder="1" applyAlignment="1">
      <alignment horizontal="right"/>
    </xf>
    <xf numFmtId="0" fontId="30" fillId="0" borderId="31" xfId="0" applyFont="1" applyBorder="1"/>
    <xf numFmtId="14" fontId="0" fillId="0" borderId="0" xfId="0" applyNumberFormat="1" applyAlignment="1">
      <alignment horizontal="center"/>
    </xf>
    <xf numFmtId="0" fontId="0" fillId="0" borderId="31" xfId="0" applyBorder="1" applyAlignment="1">
      <alignment horizontal="center" vertical="center"/>
    </xf>
    <xf numFmtId="0" fontId="0" fillId="0" borderId="0" xfId="0" applyAlignment="1">
      <alignment horizontal="left" vertical="top" wrapText="1"/>
    </xf>
    <xf numFmtId="0" fontId="30" fillId="0" borderId="0" xfId="0" applyNumberFormat="1" applyFont="1" applyAlignment="1">
      <alignment horizontal="left" vertical="top" wrapText="1"/>
    </xf>
    <xf numFmtId="0" fontId="0" fillId="0" borderId="0" xfId="0" applyNumberFormat="1" applyAlignment="1">
      <alignment horizontal="left" vertical="top" wrapText="1"/>
    </xf>
    <xf numFmtId="0" fontId="11" fillId="0" borderId="0" xfId="0" applyFont="1" applyAlignment="1">
      <alignment horizontal="center"/>
    </xf>
    <xf numFmtId="14" fontId="0" fillId="0" borderId="0" xfId="0" applyNumberFormat="1" applyAlignment="1">
      <alignment horizontal="center"/>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7" fillId="0" borderId="0" xfId="0" applyNumberFormat="1" applyFont="1" applyAlignment="1">
      <alignment horizontal="left" vertical="top" wrapText="1"/>
    </xf>
    <xf numFmtId="0" fontId="7" fillId="0" borderId="0" xfId="0" applyFont="1" applyAlignment="1">
      <alignment horizontal="left" vertical="top" wrapText="1"/>
    </xf>
    <xf numFmtId="0" fontId="30"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pplyAlignment="1">
      <alignment horizontal="left" vertical="top" wrapText="1"/>
    </xf>
    <xf numFmtId="0" fontId="0" fillId="0" borderId="57" xfId="0" applyBorder="1" applyAlignment="1">
      <alignment horizontal="center"/>
    </xf>
    <xf numFmtId="0" fontId="0" fillId="0" borderId="58" xfId="0" applyBorder="1" applyAlignment="1">
      <alignment horizontal="center"/>
    </xf>
    <xf numFmtId="0" fontId="7" fillId="0" borderId="32" xfId="0" applyFont="1" applyBorder="1" applyAlignment="1">
      <alignment horizontal="center"/>
    </xf>
    <xf numFmtId="0" fontId="0" fillId="0" borderId="27" xfId="0" applyBorder="1" applyAlignment="1">
      <alignment horizontal="center"/>
    </xf>
    <xf numFmtId="0" fontId="0" fillId="0" borderId="34" xfId="0" applyBorder="1" applyAlignment="1">
      <alignment horizontal="center"/>
    </xf>
    <xf numFmtId="0" fontId="10" fillId="0" borderId="0" xfId="0" applyFont="1" applyBorder="1" applyAlignment="1">
      <alignment horizontal="center"/>
    </xf>
    <xf numFmtId="0" fontId="0" fillId="0" borderId="1" xfId="0" applyBorder="1" applyAlignment="1">
      <alignment horizontal="center"/>
    </xf>
    <xf numFmtId="0" fontId="0" fillId="0" borderId="85" xfId="0" applyBorder="1" applyAlignment="1">
      <alignment horizontal="center"/>
    </xf>
    <xf numFmtId="0" fontId="7" fillId="0" borderId="102" xfId="0" applyFont="1" applyBorder="1" applyAlignment="1">
      <alignment horizontal="center"/>
    </xf>
    <xf numFmtId="0" fontId="0" fillId="0" borderId="100" xfId="0" applyBorder="1" applyAlignment="1">
      <alignment horizont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39" xfId="0" applyBorder="1" applyAlignment="1">
      <alignment horizontal="center"/>
    </xf>
    <xf numFmtId="0" fontId="0" fillId="0" borderId="0" xfId="0" applyBorder="1" applyAlignment="1">
      <alignment horizontal="center"/>
    </xf>
    <xf numFmtId="0" fontId="0" fillId="0" borderId="105" xfId="0" applyBorder="1" applyAlignment="1">
      <alignment horizontal="center"/>
    </xf>
    <xf numFmtId="0" fontId="7" fillId="0" borderId="39" xfId="0" applyFont="1" applyBorder="1" applyAlignment="1">
      <alignment horizontal="center"/>
    </xf>
    <xf numFmtId="0" fontId="0" fillId="0" borderId="31" xfId="0" applyBorder="1" applyAlignment="1">
      <alignment horizontal="center"/>
    </xf>
    <xf numFmtId="0" fontId="0" fillId="0" borderId="27" xfId="0" applyBorder="1" applyAlignment="1"/>
    <xf numFmtId="0" fontId="0" fillId="0" borderId="34" xfId="0" applyBorder="1" applyAlignment="1"/>
    <xf numFmtId="0" fontId="0" fillId="0" borderId="106" xfId="0" applyBorder="1" applyAlignment="1">
      <alignment horizontal="center"/>
    </xf>
    <xf numFmtId="0" fontId="0" fillId="0" borderId="32" xfId="0" applyBorder="1" applyAlignment="1">
      <alignment horizontal="center" vertical="center"/>
    </xf>
    <xf numFmtId="0" fontId="0" fillId="0" borderId="107" xfId="0" applyBorder="1" applyAlignment="1">
      <alignment horizontal="center"/>
    </xf>
    <xf numFmtId="0" fontId="0" fillId="0" borderId="108" xfId="0" applyBorder="1" applyAlignment="1">
      <alignment horizontal="center"/>
    </xf>
    <xf numFmtId="0" fontId="7" fillId="0" borderId="109" xfId="0" applyFont="1"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7" fillId="0" borderId="103" xfId="0" applyFont="1" applyBorder="1" applyAlignment="1">
      <alignment horizontal="center" vertical="center"/>
    </xf>
    <xf numFmtId="0" fontId="7" fillId="0" borderId="111" xfId="0" applyFont="1" applyBorder="1" applyAlignment="1">
      <alignment horizontal="center"/>
    </xf>
    <xf numFmtId="0" fontId="7" fillId="0" borderId="57" xfId="0" applyFont="1" applyBorder="1" applyAlignment="1">
      <alignment horizontal="center"/>
    </xf>
    <xf numFmtId="0" fontId="0" fillId="0" borderId="32" xfId="0" applyBorder="1" applyAlignment="1">
      <alignment horizontal="center"/>
    </xf>
  </cellXfs>
  <cellStyles count="2">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70" dropStyle="combo" dx="15" fmlaLink="$B$67" fmlaRange="$B$65:$B$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198120</xdr:colOff>
          <xdr:row>15</xdr:row>
          <xdr:rowOff>15240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M69"/>
  <sheetViews>
    <sheetView workbookViewId="0">
      <selection activeCell="A2" sqref="A2:L2"/>
    </sheetView>
  </sheetViews>
  <sheetFormatPr defaultColWidth="8.77734375" defaultRowHeight="13.2"/>
  <cols>
    <col min="2" max="2" width="12" customWidth="1"/>
    <col min="3" max="3" width="28.6640625" customWidth="1"/>
    <col min="4" max="4" width="12.109375" bestFit="1" customWidth="1"/>
    <col min="5" max="5" width="12.109375" customWidth="1"/>
    <col min="6" max="6" width="12.109375" bestFit="1" customWidth="1"/>
    <col min="7" max="7" width="19" customWidth="1"/>
  </cols>
  <sheetData>
    <row r="1" spans="1:13" ht="21">
      <c r="A1" s="296" t="s">
        <v>230</v>
      </c>
      <c r="B1" s="296"/>
      <c r="C1" s="296"/>
      <c r="D1" s="296"/>
      <c r="E1" s="296"/>
      <c r="F1" s="296"/>
      <c r="G1" s="296"/>
      <c r="H1" s="296"/>
      <c r="I1" s="296"/>
      <c r="J1" s="296"/>
      <c r="K1" s="296"/>
      <c r="L1" s="296"/>
    </row>
    <row r="2" spans="1:13">
      <c r="A2" s="297">
        <v>41590</v>
      </c>
      <c r="B2" s="297"/>
      <c r="C2" s="297"/>
      <c r="D2" s="297"/>
      <c r="E2" s="297"/>
      <c r="F2" s="297"/>
      <c r="G2" s="297"/>
      <c r="H2" s="297"/>
      <c r="I2" s="297"/>
      <c r="J2" s="297"/>
      <c r="K2" s="297"/>
      <c r="L2" s="297"/>
    </row>
    <row r="3" spans="1:13" ht="37.5" customHeight="1">
      <c r="A3" s="298" t="s">
        <v>62</v>
      </c>
      <c r="B3" s="298"/>
      <c r="C3" s="298"/>
      <c r="D3" s="298"/>
      <c r="E3" s="298"/>
      <c r="F3" s="298"/>
      <c r="G3" s="298"/>
      <c r="H3" s="298"/>
      <c r="I3" s="298"/>
      <c r="J3" s="298"/>
      <c r="K3" s="298"/>
      <c r="L3" s="298"/>
    </row>
    <row r="5" spans="1:13">
      <c r="B5" s="6" t="s">
        <v>29</v>
      </c>
      <c r="C5" s="293" t="s">
        <v>196</v>
      </c>
      <c r="D5" s="293"/>
      <c r="E5" s="293"/>
      <c r="F5" s="293"/>
      <c r="G5" s="293"/>
      <c r="H5" s="293"/>
      <c r="I5" s="293"/>
      <c r="J5" s="293"/>
      <c r="K5" s="293"/>
      <c r="L5" s="293"/>
    </row>
    <row r="6" spans="1:13">
      <c r="C6" s="293"/>
      <c r="D6" s="293"/>
      <c r="E6" s="293"/>
      <c r="F6" s="293"/>
      <c r="G6" s="293"/>
      <c r="H6" s="293"/>
      <c r="I6" s="293"/>
      <c r="J6" s="293"/>
      <c r="K6" s="293"/>
      <c r="L6" s="293"/>
    </row>
    <row r="8" spans="1:13" ht="12.75" customHeight="1">
      <c r="C8" s="294" t="s">
        <v>235</v>
      </c>
      <c r="D8" s="295"/>
      <c r="E8" s="295"/>
      <c r="F8" s="295"/>
      <c r="G8" s="295"/>
      <c r="H8" s="295"/>
      <c r="I8" s="295"/>
      <c r="J8" s="295"/>
      <c r="K8" s="295"/>
      <c r="L8" s="295"/>
    </row>
    <row r="9" spans="1:13">
      <c r="C9" s="295"/>
      <c r="D9" s="295"/>
      <c r="E9" s="295"/>
      <c r="F9" s="295"/>
      <c r="G9" s="295"/>
      <c r="H9" s="295"/>
      <c r="I9" s="295"/>
      <c r="J9" s="295"/>
      <c r="K9" s="295"/>
      <c r="L9" s="295"/>
    </row>
    <row r="10" spans="1:13">
      <c r="C10" s="295"/>
      <c r="D10" s="295"/>
      <c r="E10" s="295"/>
      <c r="F10" s="295"/>
      <c r="G10" s="295"/>
      <c r="H10" s="295"/>
      <c r="I10" s="295"/>
      <c r="J10" s="295"/>
      <c r="K10" s="295"/>
      <c r="L10" s="295"/>
    </row>
    <row r="11" spans="1:13" ht="42.75" customHeight="1">
      <c r="C11" s="299" t="s">
        <v>221</v>
      </c>
      <c r="D11" s="293"/>
      <c r="E11" s="293"/>
      <c r="F11" s="293"/>
      <c r="G11" s="293"/>
      <c r="H11" s="293"/>
      <c r="I11" s="293"/>
      <c r="J11" s="293"/>
      <c r="K11" s="293"/>
      <c r="L11" s="293"/>
    </row>
    <row r="12" spans="1:13" ht="24" customHeight="1">
      <c r="C12" s="300" t="s">
        <v>222</v>
      </c>
      <c r="D12" s="301"/>
      <c r="E12" s="301"/>
      <c r="F12" s="301"/>
      <c r="G12" s="301"/>
      <c r="H12" s="301"/>
      <c r="I12" s="301"/>
      <c r="J12" s="301"/>
      <c r="K12" s="301"/>
      <c r="L12" s="301"/>
    </row>
    <row r="13" spans="1:13">
      <c r="C13" s="255"/>
      <c r="D13" s="73"/>
      <c r="E13" s="73"/>
      <c r="F13" s="73"/>
      <c r="G13" s="73"/>
      <c r="H13" s="73"/>
      <c r="I13" s="73"/>
      <c r="J13" s="73"/>
      <c r="K13" s="73"/>
      <c r="L13" s="73"/>
      <c r="M13" s="73"/>
    </row>
    <row r="14" spans="1:13" ht="13.8" thickBot="1">
      <c r="C14" s="1" t="s">
        <v>12</v>
      </c>
    </row>
    <row r="15" spans="1:13" ht="17.25" customHeight="1" thickTop="1">
      <c r="C15" s="59" t="s">
        <v>15</v>
      </c>
      <c r="D15" s="66"/>
      <c r="E15" s="38"/>
      <c r="F15" s="38"/>
      <c r="G15" s="61"/>
      <c r="H15" t="s">
        <v>197</v>
      </c>
    </row>
    <row r="16" spans="1:13">
      <c r="C16" s="78" t="s">
        <v>63</v>
      </c>
      <c r="D16" s="67">
        <v>250</v>
      </c>
      <c r="E16" s="79" t="s">
        <v>64</v>
      </c>
      <c r="F16" s="50"/>
      <c r="G16" s="51"/>
      <c r="H16" s="35" t="s">
        <v>77</v>
      </c>
    </row>
    <row r="17" spans="3:9">
      <c r="C17" s="78" t="s">
        <v>31</v>
      </c>
      <c r="D17" s="80">
        <v>150</v>
      </c>
      <c r="E17" s="79" t="s">
        <v>179</v>
      </c>
      <c r="F17" s="50"/>
      <c r="G17" s="51"/>
      <c r="H17" s="35" t="s">
        <v>77</v>
      </c>
    </row>
    <row r="18" spans="3:9">
      <c r="C18" s="78"/>
      <c r="D18" s="80"/>
      <c r="E18" s="79"/>
      <c r="G18" s="51"/>
    </row>
    <row r="19" spans="3:9">
      <c r="C19" s="111" t="s">
        <v>66</v>
      </c>
      <c r="D19" s="67"/>
      <c r="E19" s="50"/>
      <c r="F19" s="50"/>
      <c r="G19" s="51"/>
      <c r="H19" s="35" t="s">
        <v>77</v>
      </c>
    </row>
    <row r="20" spans="3:9">
      <c r="C20" s="52" t="s">
        <v>16</v>
      </c>
      <c r="D20" s="67" t="s">
        <v>9</v>
      </c>
      <c r="E20" s="50" t="s">
        <v>14</v>
      </c>
      <c r="F20" s="82"/>
      <c r="G20" s="81"/>
    </row>
    <row r="21" spans="3:9">
      <c r="C21" s="289" t="s">
        <v>237</v>
      </c>
      <c r="D21" s="67" t="s">
        <v>9</v>
      </c>
      <c r="E21" s="50" t="s">
        <v>14</v>
      </c>
      <c r="F21" s="82"/>
      <c r="G21" s="81"/>
    </row>
    <row r="22" spans="3:9">
      <c r="C22" s="4"/>
      <c r="D22" s="67"/>
      <c r="E22" s="50"/>
      <c r="F22" s="50"/>
      <c r="G22" s="51"/>
    </row>
    <row r="23" spans="3:9">
      <c r="C23" s="52" t="s">
        <v>32</v>
      </c>
      <c r="D23" s="265">
        <v>0.01</v>
      </c>
      <c r="E23" s="50" t="s">
        <v>33</v>
      </c>
      <c r="F23" s="79" t="s">
        <v>214</v>
      </c>
      <c r="G23" s="51"/>
    </row>
    <row r="24" spans="3:9">
      <c r="C24" s="52" t="s">
        <v>34</v>
      </c>
      <c r="D24" s="68">
        <v>25</v>
      </c>
      <c r="E24" s="83" t="s">
        <v>35</v>
      </c>
      <c r="F24" s="50" t="s">
        <v>36</v>
      </c>
      <c r="G24" s="51"/>
    </row>
    <row r="25" spans="3:9">
      <c r="C25" s="52" t="s">
        <v>22</v>
      </c>
      <c r="D25" s="265">
        <v>0.98</v>
      </c>
      <c r="E25" s="83" t="s">
        <v>23</v>
      </c>
      <c r="F25" s="115" t="s">
        <v>226</v>
      </c>
      <c r="G25" s="51"/>
      <c r="I25" s="76"/>
    </row>
    <row r="26" spans="3:9">
      <c r="C26" s="52"/>
      <c r="D26" s="67"/>
      <c r="E26" s="50"/>
      <c r="F26" s="50"/>
      <c r="G26" s="51"/>
    </row>
    <row r="27" spans="3:9">
      <c r="C27" s="111" t="s">
        <v>39</v>
      </c>
      <c r="D27" s="67"/>
      <c r="E27" s="50"/>
      <c r="F27" s="50"/>
      <c r="G27" s="51"/>
    </row>
    <row r="28" spans="3:9">
      <c r="C28" s="52" t="s">
        <v>40</v>
      </c>
      <c r="D28" s="265">
        <v>0.5</v>
      </c>
      <c r="E28" s="83" t="s">
        <v>23</v>
      </c>
      <c r="F28" s="115" t="s">
        <v>76</v>
      </c>
      <c r="G28" s="51"/>
      <c r="H28" s="95" t="s">
        <v>135</v>
      </c>
    </row>
    <row r="29" spans="3:9">
      <c r="C29" s="52" t="s">
        <v>41</v>
      </c>
      <c r="D29" s="67">
        <v>3</v>
      </c>
      <c r="E29" s="95" t="s">
        <v>46</v>
      </c>
      <c r="F29" s="50"/>
      <c r="G29" s="51"/>
    </row>
    <row r="30" spans="3:9">
      <c r="C30" s="52" t="s">
        <v>42</v>
      </c>
      <c r="D30" s="67">
        <v>1</v>
      </c>
      <c r="E30" s="95" t="s">
        <v>46</v>
      </c>
      <c r="F30" s="50"/>
      <c r="G30" s="51"/>
    </row>
    <row r="31" spans="3:9">
      <c r="C31" s="52" t="s">
        <v>43</v>
      </c>
      <c r="D31" s="67">
        <v>2</v>
      </c>
      <c r="E31" s="95" t="s">
        <v>46</v>
      </c>
      <c r="F31" s="50"/>
      <c r="G31" s="51"/>
    </row>
    <row r="32" spans="3:9">
      <c r="C32" s="52" t="s">
        <v>44</v>
      </c>
      <c r="D32" s="67">
        <v>1</v>
      </c>
      <c r="E32" s="95" t="s">
        <v>46</v>
      </c>
      <c r="F32" s="50"/>
      <c r="G32" s="51"/>
    </row>
    <row r="33" spans="2:13">
      <c r="C33" s="52" t="s">
        <v>60</v>
      </c>
      <c r="D33" s="80">
        <v>1.8</v>
      </c>
      <c r="E33" s="50" t="s">
        <v>23</v>
      </c>
      <c r="F33" s="115" t="s">
        <v>80</v>
      </c>
      <c r="G33" s="51"/>
    </row>
    <row r="34" spans="2:13">
      <c r="C34" s="52"/>
      <c r="D34" s="67"/>
      <c r="E34" s="50"/>
      <c r="F34" s="50"/>
      <c r="G34" s="51"/>
    </row>
    <row r="35" spans="2:13">
      <c r="C35" s="112" t="s">
        <v>200</v>
      </c>
      <c r="D35" s="67">
        <v>10</v>
      </c>
      <c r="E35" s="79" t="s">
        <v>179</v>
      </c>
      <c r="F35" s="50" t="s">
        <v>130</v>
      </c>
      <c r="G35" s="51"/>
      <c r="H35" s="35" t="s">
        <v>77</v>
      </c>
    </row>
    <row r="36" spans="2:13">
      <c r="C36" s="60" t="s">
        <v>13</v>
      </c>
      <c r="D36" s="67"/>
      <c r="E36" s="50"/>
      <c r="F36" s="50"/>
      <c r="G36" s="51"/>
    </row>
    <row r="37" spans="2:13">
      <c r="C37" s="52" t="s">
        <v>16</v>
      </c>
      <c r="D37" s="67" t="s">
        <v>9</v>
      </c>
      <c r="E37" s="50" t="s">
        <v>14</v>
      </c>
      <c r="G37" s="72" t="str">
        <f>IF(OR(D37="Y",D37="N"),"","ERROR!")</f>
        <v/>
      </c>
    </row>
    <row r="38" spans="2:13">
      <c r="C38" s="114" t="s">
        <v>75</v>
      </c>
      <c r="D38" s="67" t="s">
        <v>9</v>
      </c>
      <c r="E38" s="50" t="s">
        <v>14</v>
      </c>
      <c r="F38" s="34" t="s">
        <v>30</v>
      </c>
      <c r="G38" s="290"/>
    </row>
    <row r="39" spans="2:13">
      <c r="C39" s="289" t="s">
        <v>237</v>
      </c>
      <c r="D39" s="67" t="s">
        <v>9</v>
      </c>
      <c r="E39" s="50" t="s">
        <v>14</v>
      </c>
      <c r="F39" s="284">
        <v>1.5E-3</v>
      </c>
      <c r="G39" s="81" t="s">
        <v>227</v>
      </c>
    </row>
    <row r="40" spans="2:13">
      <c r="C40" s="52"/>
      <c r="D40" s="67"/>
      <c r="E40" s="50"/>
      <c r="F40" s="75"/>
      <c r="G40" s="72"/>
    </row>
    <row r="41" spans="2:13">
      <c r="C41" s="112" t="s">
        <v>73</v>
      </c>
      <c r="D41" s="67">
        <v>500</v>
      </c>
      <c r="E41" s="79" t="s">
        <v>74</v>
      </c>
      <c r="F41" s="50"/>
      <c r="G41" s="51"/>
      <c r="H41" s="302" t="s">
        <v>236</v>
      </c>
      <c r="I41" s="293"/>
      <c r="J41" s="293"/>
      <c r="K41" s="293"/>
      <c r="L41" s="293"/>
      <c r="M41" s="293"/>
    </row>
    <row r="42" spans="2:13">
      <c r="C42" s="60" t="s">
        <v>13</v>
      </c>
      <c r="D42" s="67"/>
      <c r="E42" s="50"/>
      <c r="F42" s="34" t="s">
        <v>30</v>
      </c>
      <c r="G42" s="51"/>
      <c r="H42" s="303"/>
      <c r="I42" s="293"/>
      <c r="J42" s="293"/>
      <c r="K42" s="293"/>
      <c r="L42" s="293"/>
      <c r="M42" s="293"/>
    </row>
    <row r="43" spans="2:13">
      <c r="C43" s="239" t="s">
        <v>185</v>
      </c>
      <c r="D43" s="67" t="s">
        <v>9</v>
      </c>
      <c r="E43" s="50" t="s">
        <v>14</v>
      </c>
      <c r="F43" s="284">
        <v>1.5E-3</v>
      </c>
      <c r="G43" s="81" t="s">
        <v>228</v>
      </c>
    </row>
    <row r="44" spans="2:13" ht="13.8" thickBot="1">
      <c r="C44" s="52"/>
      <c r="D44" s="67"/>
      <c r="E44" s="50"/>
      <c r="F44" s="75"/>
      <c r="G44" s="72"/>
    </row>
    <row r="45" spans="2:13" ht="13.8" thickTop="1">
      <c r="C45" s="97" t="s">
        <v>81</v>
      </c>
      <c r="D45" s="38"/>
      <c r="E45" s="38"/>
      <c r="F45" s="38"/>
      <c r="G45" s="61"/>
    </row>
    <row r="46" spans="2:13">
      <c r="B46" s="50"/>
      <c r="C46" s="4"/>
      <c r="D46" s="50"/>
      <c r="E46" s="50"/>
      <c r="F46" s="50"/>
      <c r="G46" s="51"/>
      <c r="H46" s="50"/>
      <c r="I46" s="50"/>
    </row>
    <row r="47" spans="2:13">
      <c r="B47" s="50"/>
      <c r="C47" s="111" t="s">
        <v>17</v>
      </c>
      <c r="D47" s="67"/>
      <c r="E47" s="50"/>
      <c r="F47" s="50"/>
      <c r="G47" s="51"/>
      <c r="H47" s="50"/>
      <c r="I47" s="50"/>
    </row>
    <row r="48" spans="2:13">
      <c r="B48" s="50"/>
      <c r="C48" s="52" t="s">
        <v>229</v>
      </c>
      <c r="D48" s="80">
        <v>325</v>
      </c>
      <c r="E48" s="50" t="s">
        <v>19</v>
      </c>
      <c r="F48" s="79" t="s">
        <v>78</v>
      </c>
      <c r="G48" s="81" t="s">
        <v>77</v>
      </c>
      <c r="H48" s="50"/>
      <c r="I48" s="50"/>
    </row>
    <row r="49" spans="2:12">
      <c r="B49" s="50"/>
      <c r="C49" s="52" t="s">
        <v>18</v>
      </c>
      <c r="D49" s="80">
        <v>-0.5</v>
      </c>
      <c r="E49" s="50" t="s">
        <v>20</v>
      </c>
      <c r="F49" s="79" t="s">
        <v>79</v>
      </c>
      <c r="G49" s="51"/>
      <c r="H49" s="50"/>
      <c r="I49" s="50"/>
    </row>
    <row r="50" spans="2:12">
      <c r="B50" s="50"/>
      <c r="C50" s="52"/>
      <c r="D50" s="80"/>
      <c r="E50" s="50"/>
      <c r="F50" s="50"/>
      <c r="G50" s="51"/>
      <c r="H50" s="50"/>
      <c r="I50" s="50"/>
    </row>
    <row r="51" spans="2:12">
      <c r="B51" s="50"/>
      <c r="C51" s="111" t="s">
        <v>45</v>
      </c>
      <c r="D51" s="80"/>
      <c r="E51" s="50"/>
      <c r="F51" s="50"/>
      <c r="G51" s="51"/>
    </row>
    <row r="52" spans="2:12" ht="13.8" thickBot="1">
      <c r="B52" s="50"/>
      <c r="C52" s="187" t="s">
        <v>38</v>
      </c>
      <c r="D52" s="99">
        <v>15</v>
      </c>
      <c r="E52" s="188" t="s">
        <v>37</v>
      </c>
      <c r="F52" s="188" t="s">
        <v>157</v>
      </c>
      <c r="G52" s="62"/>
      <c r="H52" s="35" t="s">
        <v>77</v>
      </c>
    </row>
    <row r="53" spans="2:12">
      <c r="B53" s="50"/>
      <c r="C53" s="79"/>
      <c r="D53" s="94"/>
      <c r="E53" s="79"/>
    </row>
    <row r="54" spans="2:12">
      <c r="B54" s="50"/>
      <c r="C54" s="79"/>
      <c r="D54" s="94"/>
      <c r="E54" s="79"/>
    </row>
    <row r="55" spans="2:12">
      <c r="B55" s="50"/>
      <c r="C55" s="50"/>
      <c r="D55" s="50"/>
    </row>
    <row r="56" spans="2:12">
      <c r="B56" s="50"/>
      <c r="C56" s="50"/>
      <c r="D56" s="50"/>
      <c r="L56" t="str">
        <f>I56&amp;" "&amp;E56</f>
        <v xml:space="preserve"> </v>
      </c>
    </row>
    <row r="57" spans="2:12">
      <c r="B57" s="50"/>
      <c r="C57" s="50"/>
      <c r="D57" s="50"/>
      <c r="L57" t="str">
        <f>I57&amp;" "&amp;E57</f>
        <v xml:space="preserve"> </v>
      </c>
    </row>
    <row r="58" spans="2:12">
      <c r="B58" s="50"/>
      <c r="C58" s="50"/>
      <c r="D58" s="50"/>
    </row>
    <row r="62" spans="2:12" ht="13.8" thickBot="1"/>
    <row r="63" spans="2:12" ht="13.8" thickTop="1">
      <c r="B63" s="3" t="s">
        <v>21</v>
      </c>
      <c r="C63" s="61"/>
    </row>
    <row r="64" spans="2:12">
      <c r="B64" s="74" t="e">
        <f>IF((#REF!/D16)&gt;=8760,8760,#REF!/D16)</f>
        <v>#REF!</v>
      </c>
      <c r="C64" s="51" t="s">
        <v>24</v>
      </c>
    </row>
    <row r="65" spans="2:3">
      <c r="B65" s="4" t="s">
        <v>25</v>
      </c>
      <c r="C65" s="292" t="s">
        <v>27</v>
      </c>
    </row>
    <row r="66" spans="2:3">
      <c r="B66" s="4" t="s">
        <v>26</v>
      </c>
      <c r="C66" s="292"/>
    </row>
    <row r="67" spans="2:3">
      <c r="B67" s="4">
        <v>1</v>
      </c>
      <c r="C67" s="51" t="s">
        <v>28</v>
      </c>
    </row>
    <row r="68" spans="2:3">
      <c r="B68" s="104" t="s">
        <v>105</v>
      </c>
      <c r="C68" s="81" t="s">
        <v>106</v>
      </c>
    </row>
    <row r="69" spans="2:3" ht="13.8" thickBot="1">
      <c r="B69" s="131" t="s">
        <v>107</v>
      </c>
      <c r="C69" s="130"/>
    </row>
  </sheetData>
  <mergeCells count="9">
    <mergeCell ref="C65:C66"/>
    <mergeCell ref="C5:L6"/>
    <mergeCell ref="C8:L10"/>
    <mergeCell ref="A1:L1"/>
    <mergeCell ref="A2:L2"/>
    <mergeCell ref="A3:L3"/>
    <mergeCell ref="C11:L11"/>
    <mergeCell ref="C12:L12"/>
    <mergeCell ref="H41:M42"/>
  </mergeCells>
  <phoneticPr fontId="3" type="noConversion"/>
  <pageMargins left="0.75" right="0.75" top="1" bottom="1" header="0.5" footer="0.5"/>
  <pageSetup scale="57" orientation="portrait" copies="0"/>
  <headerFooter alignWithMargins="0">
    <oddFooter>Page &amp;P of &amp;N</oddFooter>
  </headerFooter>
  <colBreaks count="1" manualBreakCount="1">
    <brk id="13" max="1048575" man="1"/>
  </colBreaks>
  <customProperties>
    <customPr name="DVSECTIONID"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4</xdr:col>
                    <xdr:colOff>0</xdr:colOff>
                    <xdr:row>14</xdr:row>
                    <xdr:rowOff>0</xdr:rowOff>
                  </from>
                  <to>
                    <xdr:col>5</xdr:col>
                    <xdr:colOff>198120</xdr:colOff>
                    <xdr:row>15</xdr:row>
                    <xdr:rowOff>15240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6"/>
  <sheetViews>
    <sheetView workbookViewId="0">
      <selection activeCell="A2" sqref="A2:M2"/>
    </sheetView>
  </sheetViews>
  <sheetFormatPr defaultColWidth="8.77734375" defaultRowHeight="13.2"/>
  <cols>
    <col min="1" max="1" width="14.44140625" customWidth="1"/>
    <col min="2" max="2" width="14.33203125" customWidth="1"/>
  </cols>
  <sheetData>
    <row r="1" spans="1:15" ht="21">
      <c r="A1" s="296" t="s">
        <v>230</v>
      </c>
      <c r="B1" s="296"/>
      <c r="C1" s="296"/>
      <c r="D1" s="296"/>
      <c r="E1" s="296"/>
      <c r="F1" s="296"/>
      <c r="G1" s="296"/>
      <c r="H1" s="296"/>
      <c r="I1" s="296"/>
      <c r="J1" s="296"/>
      <c r="K1" s="296"/>
      <c r="L1" s="296"/>
      <c r="M1" s="296"/>
      <c r="N1" s="91"/>
      <c r="O1" s="91"/>
    </row>
    <row r="2" spans="1:15">
      <c r="A2" s="297">
        <v>41590</v>
      </c>
      <c r="B2" s="297"/>
      <c r="C2" s="297"/>
      <c r="D2" s="297"/>
      <c r="E2" s="297"/>
      <c r="F2" s="297"/>
      <c r="G2" s="297"/>
      <c r="H2" s="297"/>
      <c r="I2" s="297"/>
      <c r="J2" s="297"/>
      <c r="K2" s="297"/>
      <c r="L2" s="297"/>
      <c r="M2" s="297"/>
      <c r="N2" s="92"/>
      <c r="O2" s="92"/>
    </row>
    <row r="4" spans="1:15" ht="15.6">
      <c r="B4" s="116" t="s">
        <v>198</v>
      </c>
    </row>
    <row r="5" spans="1:15">
      <c r="B5" s="93">
        <f>Inputs!D35</f>
        <v>10</v>
      </c>
      <c r="C5" s="35" t="s">
        <v>67</v>
      </c>
      <c r="I5" s="47" t="s">
        <v>8</v>
      </c>
    </row>
    <row r="6" spans="1:15">
      <c r="I6" s="2" t="s">
        <v>128</v>
      </c>
    </row>
    <row r="7" spans="1:15" s="118" customFormat="1" ht="12.75" customHeight="1" thickBot="1">
      <c r="B7" s="206"/>
      <c r="C7" s="206"/>
      <c r="D7" s="206"/>
      <c r="E7" s="206"/>
      <c r="F7" s="206"/>
      <c r="G7" s="206"/>
      <c r="H7" s="206" t="s">
        <v>77</v>
      </c>
      <c r="I7" s="206"/>
      <c r="J7" s="206"/>
      <c r="K7" s="202"/>
      <c r="L7" s="202"/>
      <c r="M7" s="202"/>
      <c r="N7" s="202"/>
    </row>
    <row r="8" spans="1:15" s="118" customFormat="1" ht="16.2" thickTop="1">
      <c r="A8" s="202"/>
      <c r="B8" s="209" t="s">
        <v>176</v>
      </c>
      <c r="C8" s="209"/>
      <c r="D8" s="79"/>
      <c r="E8" s="233" t="s">
        <v>117</v>
      </c>
      <c r="F8" s="234" t="s">
        <v>70</v>
      </c>
      <c r="G8" s="234" t="s">
        <v>69</v>
      </c>
      <c r="H8" s="234" t="s">
        <v>71</v>
      </c>
      <c r="I8" s="234" t="s">
        <v>72</v>
      </c>
      <c r="J8" s="234" t="s">
        <v>118</v>
      </c>
      <c r="K8" s="235" t="s">
        <v>126</v>
      </c>
      <c r="L8" s="202"/>
      <c r="M8" s="202"/>
      <c r="N8" s="202"/>
      <c r="O8" s="202"/>
    </row>
    <row r="9" spans="1:15" s="118" customFormat="1" ht="15" customHeight="1" thickBot="1">
      <c r="A9" s="202"/>
      <c r="B9" s="79" t="s">
        <v>77</v>
      </c>
      <c r="C9" s="79"/>
      <c r="D9" s="79"/>
      <c r="E9" s="241">
        <f t="shared" ref="E9:K9" si="0">MAX(E17,E33,E49)</f>
        <v>0.62571428571428567</v>
      </c>
      <c r="F9" s="242">
        <f t="shared" si="0"/>
        <v>1.0324285714285713</v>
      </c>
      <c r="G9" s="242">
        <f t="shared" si="0"/>
        <v>0.7977857142857141</v>
      </c>
      <c r="H9" s="242">
        <f t="shared" si="0"/>
        <v>6.6638571428571422E-2</v>
      </c>
      <c r="I9" s="242">
        <f t="shared" si="0"/>
        <v>6.2571428571428562</v>
      </c>
      <c r="J9" s="242">
        <f t="shared" si="0"/>
        <v>3.6070588235294117</v>
      </c>
      <c r="K9" s="243">
        <f t="shared" si="0"/>
        <v>0.47868852459016392</v>
      </c>
      <c r="L9" s="202"/>
      <c r="M9" s="202"/>
      <c r="N9" s="202"/>
      <c r="O9" s="202"/>
    </row>
    <row r="10" spans="1:15" ht="14.4" thickTop="1" thickBot="1"/>
    <row r="11" spans="1:15" ht="13.8" thickTop="1">
      <c r="A11" s="38"/>
      <c r="B11" s="38"/>
      <c r="C11" s="38"/>
      <c r="D11" s="38"/>
      <c r="E11" s="38"/>
      <c r="F11" s="38"/>
      <c r="G11" s="38"/>
      <c r="H11" s="38"/>
      <c r="I11" s="38"/>
      <c r="J11" s="38"/>
      <c r="K11" s="38"/>
      <c r="L11" s="38"/>
    </row>
    <row r="12" spans="1:15" ht="13.8" thickBot="1">
      <c r="A12" s="1" t="s">
        <v>163</v>
      </c>
      <c r="B12" s="1" t="s">
        <v>127</v>
      </c>
      <c r="D12" s="204" t="s">
        <v>164</v>
      </c>
      <c r="E12" s="93" t="str">
        <f>Inputs!D37</f>
        <v>Y</v>
      </c>
    </row>
    <row r="13" spans="1:15" s="118" customFormat="1" ht="12.75" customHeight="1" thickTop="1">
      <c r="B13" s="215"/>
      <c r="C13" s="216"/>
      <c r="D13" s="216"/>
      <c r="E13" s="217"/>
      <c r="F13" s="216"/>
      <c r="G13" s="216"/>
      <c r="H13" s="216" t="s">
        <v>119</v>
      </c>
      <c r="I13" s="216"/>
      <c r="J13" s="216"/>
      <c r="K13" s="220"/>
      <c r="L13" s="202"/>
      <c r="M13" s="202"/>
      <c r="N13" s="202"/>
    </row>
    <row r="14" spans="1:15" s="118" customFormat="1" ht="16.8">
      <c r="A14" s="202"/>
      <c r="B14" s="104"/>
      <c r="C14" s="79"/>
      <c r="D14" s="79"/>
      <c r="E14" s="221" t="s">
        <v>117</v>
      </c>
      <c r="F14" s="210" t="s">
        <v>95</v>
      </c>
      <c r="G14" s="210" t="s">
        <v>170</v>
      </c>
      <c r="H14" s="210" t="s">
        <v>71</v>
      </c>
      <c r="I14" s="210" t="s">
        <v>72</v>
      </c>
      <c r="J14" s="210" t="s">
        <v>118</v>
      </c>
      <c r="K14" s="222" t="s">
        <v>126</v>
      </c>
      <c r="L14" s="202"/>
      <c r="M14" s="202"/>
      <c r="N14" s="202"/>
      <c r="O14" s="202"/>
    </row>
    <row r="15" spans="1:15" s="118" customFormat="1" ht="15" customHeight="1" thickBot="1">
      <c r="A15" s="202"/>
      <c r="B15" s="223" t="s">
        <v>171</v>
      </c>
      <c r="C15" s="224"/>
      <c r="D15" s="224"/>
      <c r="E15" s="225">
        <v>1.9</v>
      </c>
      <c r="F15" s="226">
        <v>7.6</v>
      </c>
      <c r="G15" s="226">
        <v>7.6</v>
      </c>
      <c r="H15" s="227">
        <v>0.6</v>
      </c>
      <c r="I15" s="124">
        <v>100</v>
      </c>
      <c r="J15" s="227">
        <v>84</v>
      </c>
      <c r="K15" s="228">
        <v>5.5</v>
      </c>
      <c r="L15" s="202"/>
      <c r="M15" s="202"/>
      <c r="N15" s="202"/>
      <c r="O15" s="202"/>
    </row>
    <row r="16" spans="1:15" s="118" customFormat="1">
      <c r="A16" s="202"/>
      <c r="B16" s="104"/>
      <c r="C16" s="79"/>
      <c r="D16" s="79"/>
      <c r="E16" s="218"/>
      <c r="F16" s="208"/>
      <c r="G16" s="208"/>
      <c r="H16" s="207"/>
      <c r="I16" s="207"/>
      <c r="J16" s="207"/>
      <c r="K16" s="211"/>
      <c r="L16" s="202"/>
      <c r="M16" s="202"/>
      <c r="N16" s="202"/>
      <c r="O16" s="202"/>
    </row>
    <row r="17" spans="1:15" s="117" customFormat="1">
      <c r="A17" s="203"/>
      <c r="B17" s="104" t="s">
        <v>165</v>
      </c>
      <c r="C17" s="209"/>
      <c r="D17" s="209"/>
      <c r="E17" s="236">
        <f>IF($E$12="Y",$B$5/1020*E15*8760/2000,0)</f>
        <v>8.1588235294117656E-2</v>
      </c>
      <c r="F17" s="237">
        <f t="shared" ref="F17:K17" si="1">IF($E$12="Y",$B$5/1020*F15*8760/2000,0)</f>
        <v>0.32635294117647062</v>
      </c>
      <c r="G17" s="237">
        <f t="shared" si="1"/>
        <v>0.32635294117647062</v>
      </c>
      <c r="H17" s="237">
        <f t="shared" si="1"/>
        <v>2.5764705882352943E-2</v>
      </c>
      <c r="I17" s="237">
        <f t="shared" si="1"/>
        <v>4.2941176470588234</v>
      </c>
      <c r="J17" s="237">
        <f t="shared" si="1"/>
        <v>3.6070588235294117</v>
      </c>
      <c r="K17" s="238">
        <f t="shared" si="1"/>
        <v>0.23617647058823529</v>
      </c>
      <c r="L17" s="203"/>
      <c r="M17" s="203"/>
      <c r="N17" s="203"/>
      <c r="O17" s="203"/>
    </row>
    <row r="18" spans="1:15" s="118" customFormat="1" ht="13.8" thickBot="1">
      <c r="A18" s="202"/>
      <c r="B18" s="131"/>
      <c r="C18" s="188"/>
      <c r="D18" s="188"/>
      <c r="E18" s="219"/>
      <c r="F18" s="212"/>
      <c r="G18" s="212"/>
      <c r="H18" s="213" t="s">
        <v>77</v>
      </c>
      <c r="I18" s="213"/>
      <c r="J18" s="213"/>
      <c r="K18" s="214"/>
      <c r="L18" s="202"/>
      <c r="M18" s="202"/>
      <c r="N18" s="202"/>
      <c r="O18" s="202"/>
    </row>
    <row r="19" spans="1:15" s="118" customFormat="1" ht="12.6" thickTop="1">
      <c r="B19" s="203" t="s">
        <v>87</v>
      </c>
      <c r="C19" s="202"/>
      <c r="D19" s="202"/>
      <c r="E19" s="205"/>
      <c r="F19" s="206"/>
      <c r="G19" s="206"/>
      <c r="H19" s="206"/>
      <c r="I19" s="206"/>
      <c r="J19" s="206"/>
      <c r="K19" s="206"/>
      <c r="L19" s="202"/>
      <c r="M19" s="202"/>
      <c r="N19" s="202"/>
      <c r="O19" s="202"/>
    </row>
    <row r="20" spans="1:15" s="118" customFormat="1" ht="11.4">
      <c r="B20" s="202" t="s">
        <v>166</v>
      </c>
      <c r="C20" s="202"/>
      <c r="D20" s="202"/>
      <c r="E20" s="205"/>
      <c r="F20" s="206"/>
      <c r="G20" s="206"/>
      <c r="H20" s="206"/>
      <c r="I20" s="206"/>
      <c r="J20" s="206"/>
      <c r="K20" s="206"/>
      <c r="L20" s="202"/>
      <c r="M20" s="202"/>
      <c r="N20" s="202"/>
      <c r="O20" s="202"/>
    </row>
    <row r="21" spans="1:15" s="118" customFormat="1" ht="15">
      <c r="B21" s="118" t="s">
        <v>167</v>
      </c>
      <c r="K21" s="202"/>
      <c r="L21" s="202"/>
      <c r="M21" s="202"/>
      <c r="N21" s="202"/>
    </row>
    <row r="22" spans="1:15" s="118" customFormat="1" ht="15">
      <c r="B22" s="118" t="s">
        <v>168</v>
      </c>
    </row>
    <row r="23" spans="1:15" s="118" customFormat="1" ht="11.4"/>
    <row r="24" spans="1:15" s="118" customFormat="1" ht="12">
      <c r="B24" s="117" t="s">
        <v>86</v>
      </c>
    </row>
    <row r="25" spans="1:15" s="118" customFormat="1" ht="11.4">
      <c r="B25" s="118" t="s">
        <v>169</v>
      </c>
    </row>
    <row r="26" spans="1:15" s="118" customFormat="1" ht="11.4"/>
    <row r="28" spans="1:15" ht="13.8" thickBot="1">
      <c r="A28" s="1" t="s">
        <v>163</v>
      </c>
      <c r="B28" s="1" t="s">
        <v>172</v>
      </c>
      <c r="D28" s="204" t="s">
        <v>164</v>
      </c>
      <c r="E28" s="93" t="str">
        <f>Inputs!D38</f>
        <v>Y</v>
      </c>
      <c r="G28" s="35" t="s">
        <v>173</v>
      </c>
      <c r="I28" s="229">
        <v>0</v>
      </c>
      <c r="J28" s="35" t="s">
        <v>7</v>
      </c>
    </row>
    <row r="29" spans="1:15" s="118" customFormat="1" ht="12.75" customHeight="1" thickTop="1">
      <c r="B29" s="215"/>
      <c r="C29" s="216"/>
      <c r="D29" s="216"/>
      <c r="E29" s="217"/>
      <c r="F29" s="216"/>
      <c r="G29" s="216"/>
      <c r="H29" s="216" t="s">
        <v>119</v>
      </c>
      <c r="I29" s="216"/>
      <c r="J29" s="216"/>
      <c r="K29" s="220"/>
      <c r="L29" s="202"/>
      <c r="M29" s="202"/>
      <c r="N29" s="202"/>
    </row>
    <row r="30" spans="1:15" s="118" customFormat="1" ht="16.8">
      <c r="A30" s="202"/>
      <c r="B30" s="104"/>
      <c r="C30" s="79"/>
      <c r="D30" s="79"/>
      <c r="E30" s="221" t="s">
        <v>117</v>
      </c>
      <c r="F30" s="210" t="s">
        <v>95</v>
      </c>
      <c r="G30" s="210" t="s">
        <v>170</v>
      </c>
      <c r="H30" s="210" t="s">
        <v>71</v>
      </c>
      <c r="I30" s="210" t="s">
        <v>72</v>
      </c>
      <c r="J30" s="210" t="s">
        <v>118</v>
      </c>
      <c r="K30" s="222" t="s">
        <v>126</v>
      </c>
      <c r="L30" s="202"/>
      <c r="M30" s="202"/>
      <c r="N30" s="202"/>
      <c r="O30" s="202"/>
    </row>
    <row r="31" spans="1:15" s="118" customFormat="1" ht="15" customHeight="1" thickBot="1">
      <c r="A31" s="202"/>
      <c r="B31" s="223" t="s">
        <v>177</v>
      </c>
      <c r="C31" s="224"/>
      <c r="D31" s="224"/>
      <c r="E31" s="225">
        <v>0.2</v>
      </c>
      <c r="F31" s="226">
        <v>0.7</v>
      </c>
      <c r="G31" s="226">
        <v>0.7</v>
      </c>
      <c r="H31" s="227">
        <f>0.1*I28</f>
        <v>0</v>
      </c>
      <c r="I31" s="124">
        <v>13</v>
      </c>
      <c r="J31" s="227">
        <v>7.5</v>
      </c>
      <c r="K31" s="228">
        <v>1</v>
      </c>
      <c r="L31" s="202"/>
      <c r="M31" s="202"/>
      <c r="N31" s="202"/>
      <c r="O31" s="202"/>
    </row>
    <row r="32" spans="1:15" s="118" customFormat="1">
      <c r="A32" s="202"/>
      <c r="B32" s="104"/>
      <c r="C32" s="79"/>
      <c r="D32" s="79"/>
      <c r="E32" s="218"/>
      <c r="F32" s="208"/>
      <c r="G32" s="208"/>
      <c r="H32" s="207"/>
      <c r="I32" s="207"/>
      <c r="J32" s="207"/>
      <c r="K32" s="211"/>
      <c r="L32" s="202"/>
      <c r="M32" s="202"/>
      <c r="N32" s="202"/>
      <c r="O32" s="202"/>
    </row>
    <row r="33" spans="1:15" s="117" customFormat="1">
      <c r="A33" s="203"/>
      <c r="B33" s="104" t="s">
        <v>165</v>
      </c>
      <c r="C33" s="209"/>
      <c r="D33" s="209"/>
      <c r="E33" s="236">
        <f>IF($E$28="Y",$B$5/91.5*E31*8760/2000,0)</f>
        <v>9.5737704918032795E-2</v>
      </c>
      <c r="F33" s="237">
        <f t="shared" ref="F33:K33" si="2">IF($E$28="Y",$B$5/91.5*F31*8760/2000,0)</f>
        <v>0.33508196721311467</v>
      </c>
      <c r="G33" s="237">
        <f t="shared" si="2"/>
        <v>0.33508196721311467</v>
      </c>
      <c r="H33" s="237">
        <f t="shared" si="2"/>
        <v>0</v>
      </c>
      <c r="I33" s="237">
        <f t="shared" si="2"/>
        <v>6.222950819672131</v>
      </c>
      <c r="J33" s="237">
        <f t="shared" si="2"/>
        <v>3.5901639344262293</v>
      </c>
      <c r="K33" s="238">
        <f t="shared" si="2"/>
        <v>0.47868852459016392</v>
      </c>
      <c r="L33" s="203"/>
      <c r="M33" s="203"/>
      <c r="N33" s="203"/>
      <c r="O33" s="203"/>
    </row>
    <row r="34" spans="1:15" s="118" customFormat="1" ht="13.8" thickBot="1">
      <c r="A34" s="202"/>
      <c r="B34" s="131"/>
      <c r="C34" s="188"/>
      <c r="D34" s="188"/>
      <c r="E34" s="219"/>
      <c r="F34" s="212"/>
      <c r="G34" s="212"/>
      <c r="H34" s="213" t="s">
        <v>77</v>
      </c>
      <c r="I34" s="213"/>
      <c r="J34" s="213"/>
      <c r="K34" s="214"/>
      <c r="L34" s="202"/>
      <c r="M34" s="202"/>
      <c r="N34" s="202"/>
      <c r="O34" s="202"/>
    </row>
    <row r="35" spans="1:15" s="118" customFormat="1" ht="12.6" thickTop="1">
      <c r="B35" s="203" t="s">
        <v>87</v>
      </c>
      <c r="C35" s="202"/>
      <c r="D35" s="202"/>
      <c r="E35" s="205"/>
      <c r="F35" s="206"/>
      <c r="G35" s="206"/>
      <c r="H35" s="206"/>
      <c r="I35" s="206"/>
      <c r="J35" s="206"/>
      <c r="K35" s="206"/>
      <c r="L35" s="202"/>
      <c r="M35" s="202"/>
      <c r="N35" s="202"/>
      <c r="O35" s="202"/>
    </row>
    <row r="36" spans="1:15" s="118" customFormat="1" ht="11.4">
      <c r="B36" s="202" t="s">
        <v>180</v>
      </c>
      <c r="C36" s="202"/>
      <c r="D36" s="202"/>
      <c r="E36" s="205"/>
      <c r="F36" s="206"/>
      <c r="G36" s="206"/>
      <c r="H36" s="206"/>
      <c r="I36" s="206"/>
      <c r="J36" s="206"/>
      <c r="K36" s="206"/>
      <c r="L36" s="202"/>
      <c r="M36" s="202"/>
      <c r="N36" s="202"/>
      <c r="O36" s="202"/>
    </row>
    <row r="37" spans="1:15" s="118" customFormat="1" ht="15">
      <c r="B37" s="118" t="s">
        <v>167</v>
      </c>
    </row>
    <row r="38" spans="1:15" s="118" customFormat="1" ht="15">
      <c r="B38" s="118" t="s">
        <v>168</v>
      </c>
    </row>
    <row r="39" spans="1:15" s="118" customFormat="1" ht="11.4"/>
    <row r="40" spans="1:15" s="118" customFormat="1" ht="12">
      <c r="B40" s="117" t="s">
        <v>86</v>
      </c>
    </row>
    <row r="41" spans="1:15" s="118" customFormat="1" ht="11.4">
      <c r="B41" s="118" t="s">
        <v>174</v>
      </c>
    </row>
    <row r="44" spans="1:15" ht="13.8" thickBot="1">
      <c r="A44" s="1" t="s">
        <v>163</v>
      </c>
      <c r="B44" s="1" t="s">
        <v>5</v>
      </c>
      <c r="D44" s="204" t="s">
        <v>164</v>
      </c>
      <c r="E44" s="93" t="str">
        <f>Inputs!D39</f>
        <v>Y</v>
      </c>
      <c r="G44" s="35" t="s">
        <v>173</v>
      </c>
      <c r="I44" s="286">
        <f>Inputs!F39</f>
        <v>1.5E-3</v>
      </c>
      <c r="J44" s="35" t="s">
        <v>7</v>
      </c>
    </row>
    <row r="45" spans="1:15" s="118" customFormat="1" ht="12.75" customHeight="1" thickTop="1">
      <c r="B45" s="215"/>
      <c r="C45" s="216"/>
      <c r="D45" s="216"/>
      <c r="E45" s="217"/>
      <c r="F45" s="216"/>
      <c r="G45" s="216"/>
      <c r="H45" s="216" t="s">
        <v>119</v>
      </c>
      <c r="I45" s="216"/>
      <c r="J45" s="216"/>
      <c r="K45" s="220"/>
      <c r="L45" s="202"/>
      <c r="M45" s="202"/>
      <c r="N45" s="202"/>
    </row>
    <row r="46" spans="1:15" s="118" customFormat="1" ht="16.8">
      <c r="A46" s="202"/>
      <c r="B46" s="104"/>
      <c r="C46" s="79"/>
      <c r="D46" s="79"/>
      <c r="E46" s="221" t="s">
        <v>117</v>
      </c>
      <c r="F46" s="210" t="s">
        <v>95</v>
      </c>
      <c r="G46" s="210" t="s">
        <v>69</v>
      </c>
      <c r="H46" s="210" t="s">
        <v>71</v>
      </c>
      <c r="I46" s="210" t="s">
        <v>72</v>
      </c>
      <c r="J46" s="210" t="s">
        <v>118</v>
      </c>
      <c r="K46" s="222" t="s">
        <v>126</v>
      </c>
      <c r="L46" s="202"/>
      <c r="M46" s="202"/>
      <c r="N46" s="202"/>
      <c r="O46" s="202"/>
    </row>
    <row r="47" spans="1:15" s="118" customFormat="1" ht="15" customHeight="1" thickBot="1">
      <c r="A47" s="202"/>
      <c r="B47" s="223" t="s">
        <v>178</v>
      </c>
      <c r="C47" s="224"/>
      <c r="D47" s="224"/>
      <c r="E47" s="232">
        <v>2</v>
      </c>
      <c r="F47" s="226">
        <v>3.3</v>
      </c>
      <c r="G47" s="226">
        <v>2.5499999999999998</v>
      </c>
      <c r="H47" s="227">
        <f>142*I44</f>
        <v>0.21299999999999999</v>
      </c>
      <c r="I47" s="124">
        <v>20</v>
      </c>
      <c r="J47" s="230">
        <v>5</v>
      </c>
      <c r="K47" s="231">
        <v>0.34</v>
      </c>
      <c r="L47" s="202"/>
      <c r="M47" s="202"/>
      <c r="N47" s="202"/>
      <c r="O47" s="202"/>
    </row>
    <row r="48" spans="1:15" s="118" customFormat="1">
      <c r="A48" s="202"/>
      <c r="B48" s="104"/>
      <c r="C48" s="79"/>
      <c r="D48" s="79"/>
      <c r="E48" s="218"/>
      <c r="F48" s="208"/>
      <c r="G48" s="208"/>
      <c r="H48" s="207"/>
      <c r="I48" s="207"/>
      <c r="J48" s="207"/>
      <c r="K48" s="211"/>
      <c r="L48" s="202"/>
      <c r="M48" s="202"/>
      <c r="N48" s="202"/>
      <c r="O48" s="202"/>
    </row>
    <row r="49" spans="1:15" s="117" customFormat="1">
      <c r="A49" s="203"/>
      <c r="B49" s="104" t="s">
        <v>165</v>
      </c>
      <c r="C49" s="209"/>
      <c r="D49" s="209"/>
      <c r="E49" s="236">
        <f t="shared" ref="E49:K49" si="3">IF($E$44="Y",$B$5/140*E47*8760/2000,0)</f>
        <v>0.62571428571428567</v>
      </c>
      <c r="F49" s="237">
        <f t="shared" si="3"/>
        <v>1.0324285714285713</v>
      </c>
      <c r="G49" s="237">
        <f t="shared" si="3"/>
        <v>0.7977857142857141</v>
      </c>
      <c r="H49" s="237">
        <f t="shared" si="3"/>
        <v>6.6638571428571422E-2</v>
      </c>
      <c r="I49" s="237">
        <f t="shared" si="3"/>
        <v>6.2571428571428562</v>
      </c>
      <c r="J49" s="237">
        <f t="shared" si="3"/>
        <v>1.5642857142857141</v>
      </c>
      <c r="K49" s="238">
        <f t="shared" si="3"/>
        <v>0.10637142857142856</v>
      </c>
      <c r="L49" s="203"/>
      <c r="M49" s="203"/>
      <c r="N49" s="203"/>
      <c r="O49" s="203"/>
    </row>
    <row r="50" spans="1:15" s="118" customFormat="1" ht="13.8" thickBot="1">
      <c r="A50" s="202"/>
      <c r="B50" s="131"/>
      <c r="C50" s="188"/>
      <c r="D50" s="188"/>
      <c r="E50" s="219"/>
      <c r="F50" s="212"/>
      <c r="G50" s="212"/>
      <c r="H50" s="213" t="s">
        <v>77</v>
      </c>
      <c r="I50" s="213"/>
      <c r="J50" s="213"/>
      <c r="K50" s="214"/>
      <c r="L50" s="202"/>
      <c r="M50" s="202"/>
      <c r="N50" s="202"/>
      <c r="O50" s="202"/>
    </row>
    <row r="51" spans="1:15" s="118" customFormat="1" ht="12.6" thickTop="1">
      <c r="B51" s="203" t="s">
        <v>87</v>
      </c>
      <c r="C51" s="202"/>
      <c r="D51" s="202"/>
      <c r="E51" s="205"/>
      <c r="F51" s="206"/>
      <c r="G51" s="206"/>
      <c r="H51" s="206"/>
      <c r="I51" s="206"/>
      <c r="J51" s="206"/>
      <c r="K51" s="206"/>
      <c r="L51" s="202"/>
      <c r="M51" s="202"/>
      <c r="N51" s="202"/>
      <c r="O51" s="202"/>
    </row>
    <row r="52" spans="1:15" s="118" customFormat="1" ht="11.4">
      <c r="B52" s="202" t="s">
        <v>181</v>
      </c>
      <c r="C52" s="202"/>
      <c r="D52" s="202"/>
      <c r="E52" s="205"/>
      <c r="F52" s="206"/>
      <c r="G52" s="206"/>
      <c r="H52" s="206"/>
      <c r="I52" s="206"/>
      <c r="J52" s="206"/>
      <c r="K52" s="206"/>
      <c r="L52" s="202"/>
      <c r="M52" s="202"/>
      <c r="N52" s="202"/>
      <c r="O52" s="202"/>
    </row>
    <row r="53" spans="1:15" s="118" customFormat="1" ht="15">
      <c r="B53" s="118" t="s">
        <v>167</v>
      </c>
      <c r="K53" s="202"/>
      <c r="L53" s="202"/>
      <c r="M53" s="202"/>
      <c r="N53" s="202"/>
    </row>
    <row r="54" spans="1:15" s="118" customFormat="1" ht="11.4"/>
    <row r="55" spans="1:15" s="118" customFormat="1" ht="12">
      <c r="B55" s="117" t="s">
        <v>86</v>
      </c>
    </row>
    <row r="56" spans="1:15" s="118" customFormat="1" ht="11.4">
      <c r="B56" s="118" t="s">
        <v>175</v>
      </c>
    </row>
  </sheetData>
  <mergeCells count="2">
    <mergeCell ref="A1:M1"/>
    <mergeCell ref="A2:M2"/>
  </mergeCells>
  <phoneticPr fontId="3"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45"/>
  <sheetViews>
    <sheetView tabSelected="1" workbookViewId="0">
      <selection activeCell="E2" sqref="E2"/>
    </sheetView>
  </sheetViews>
  <sheetFormatPr defaultColWidth="8.77734375" defaultRowHeight="13.2"/>
  <cols>
    <col min="1" max="1" width="14.44140625" customWidth="1"/>
    <col min="2" max="2" width="14.33203125" customWidth="1"/>
    <col min="3" max="3" width="14.44140625" customWidth="1"/>
    <col min="5" max="5" width="10.33203125" customWidth="1"/>
    <col min="12" max="12" width="12.44140625" customWidth="1"/>
  </cols>
  <sheetData>
    <row r="1" spans="1:17" s="283" customFormat="1" ht="21">
      <c r="B1" s="280"/>
      <c r="C1" s="280"/>
      <c r="D1" s="280"/>
      <c r="E1" s="285" t="s">
        <v>230</v>
      </c>
      <c r="F1" s="280"/>
      <c r="G1" s="280"/>
      <c r="H1" s="280"/>
      <c r="I1" s="280"/>
      <c r="J1" s="280"/>
      <c r="K1" s="280"/>
      <c r="L1" s="280"/>
      <c r="M1" s="280"/>
      <c r="N1" s="91"/>
      <c r="O1" s="91"/>
    </row>
    <row r="2" spans="1:17" s="283" customFormat="1">
      <c r="B2" s="291"/>
      <c r="C2" s="291"/>
      <c r="D2" s="291"/>
      <c r="E2" s="92">
        <v>41590</v>
      </c>
      <c r="F2" s="92"/>
      <c r="G2" s="92"/>
      <c r="H2" s="92"/>
      <c r="I2" s="92"/>
      <c r="J2" s="92"/>
      <c r="K2" s="92"/>
      <c r="L2" s="92"/>
      <c r="M2" s="92"/>
      <c r="N2" s="92"/>
      <c r="O2" s="92"/>
      <c r="P2" s="92"/>
      <c r="Q2" s="92"/>
    </row>
    <row r="4" spans="1:17" ht="15.6">
      <c r="B4" s="116" t="s">
        <v>182</v>
      </c>
    </row>
    <row r="5" spans="1:17">
      <c r="A5" s="35" t="s">
        <v>187</v>
      </c>
      <c r="B5" s="93" t="s">
        <v>77</v>
      </c>
      <c r="C5" s="93">
        <f>Inputs!D41</f>
        <v>500</v>
      </c>
      <c r="D5" s="35" t="s">
        <v>188</v>
      </c>
      <c r="I5" s="47" t="s">
        <v>8</v>
      </c>
    </row>
    <row r="6" spans="1:17">
      <c r="A6" s="35"/>
      <c r="B6" s="93"/>
      <c r="C6" s="93"/>
      <c r="D6" s="35"/>
      <c r="I6" s="2" t="s">
        <v>128</v>
      </c>
    </row>
    <row r="7" spans="1:17">
      <c r="A7" s="35" t="s">
        <v>192</v>
      </c>
      <c r="B7" s="93" t="str">
        <f>Inputs!D43</f>
        <v>Y</v>
      </c>
      <c r="C7" s="93"/>
      <c r="D7" s="35"/>
      <c r="I7" s="47"/>
    </row>
    <row r="9" spans="1:17" s="118" customFormat="1" ht="12.75" customHeight="1" thickBot="1">
      <c r="B9" s="206"/>
      <c r="C9" s="206"/>
      <c r="D9" s="206"/>
      <c r="E9" s="206"/>
      <c r="F9" s="206"/>
      <c r="G9" s="206"/>
      <c r="H9" s="206" t="s">
        <v>77</v>
      </c>
      <c r="I9" s="206"/>
      <c r="J9" s="206"/>
      <c r="K9" s="202"/>
      <c r="L9" s="202"/>
      <c r="M9" s="202"/>
      <c r="N9" s="202"/>
    </row>
    <row r="10" spans="1:17" s="118" customFormat="1" ht="16.2" thickTop="1">
      <c r="A10" s="202"/>
      <c r="B10" s="209" t="s">
        <v>176</v>
      </c>
      <c r="C10" s="209"/>
      <c r="D10" s="79"/>
      <c r="E10" s="233" t="s">
        <v>117</v>
      </c>
      <c r="F10" s="234" t="s">
        <v>70</v>
      </c>
      <c r="G10" s="234" t="s">
        <v>69</v>
      </c>
      <c r="H10" s="234" t="s">
        <v>71</v>
      </c>
      <c r="I10" s="234" t="s">
        <v>72</v>
      </c>
      <c r="J10" s="234" t="s">
        <v>118</v>
      </c>
      <c r="K10" s="235" t="s">
        <v>126</v>
      </c>
      <c r="L10" s="202"/>
      <c r="M10" s="202"/>
      <c r="N10" s="202"/>
      <c r="O10" s="202"/>
    </row>
    <row r="11" spans="1:17" s="118" customFormat="1" ht="15" customHeight="1" thickBot="1">
      <c r="A11" s="202"/>
      <c r="B11" s="79" t="s">
        <v>77</v>
      </c>
      <c r="C11" s="79"/>
      <c r="D11" s="79"/>
      <c r="E11" s="241">
        <f t="shared" ref="E11:K11" si="0">MAX(E21,E37)</f>
        <v>4.8179999999999996</v>
      </c>
      <c r="F11" s="242">
        <f t="shared" si="0"/>
        <v>4.8179999999999996</v>
      </c>
      <c r="G11" s="242">
        <f t="shared" si="0"/>
        <v>4.8179999999999996</v>
      </c>
      <c r="H11" s="242">
        <f t="shared" si="0"/>
        <v>4.4895000000000005</v>
      </c>
      <c r="I11" s="242">
        <f t="shared" si="0"/>
        <v>67.89</v>
      </c>
      <c r="J11" s="242">
        <f t="shared" si="0"/>
        <v>14.629200000000001</v>
      </c>
      <c r="K11" s="243">
        <f t="shared" si="0"/>
        <v>5.4092999999999991</v>
      </c>
      <c r="L11" s="202"/>
      <c r="M11" s="202"/>
      <c r="N11" s="202"/>
      <c r="O11" s="202"/>
    </row>
    <row r="12" spans="1:17" ht="14.4" thickTop="1" thickBot="1"/>
    <row r="13" spans="1:17" ht="12" customHeight="1" thickTop="1">
      <c r="A13" s="38"/>
      <c r="B13" s="38"/>
      <c r="C13" s="38"/>
      <c r="D13" s="38"/>
      <c r="E13" s="38"/>
      <c r="F13" s="38"/>
      <c r="G13" s="38"/>
      <c r="H13" s="38"/>
      <c r="I13" s="38"/>
      <c r="J13" s="38"/>
      <c r="K13" s="38"/>
      <c r="L13" s="38"/>
    </row>
    <row r="14" spans="1:17" s="118" customFormat="1" ht="11.4"/>
    <row r="16" spans="1:17" ht="13.8" thickBot="1">
      <c r="A16" s="1" t="s">
        <v>193</v>
      </c>
      <c r="B16" s="1" t="s">
        <v>194</v>
      </c>
      <c r="D16" s="250" t="s">
        <v>164</v>
      </c>
      <c r="E16" s="93" t="str">
        <f>IF(C5&gt;600,"N",IF(B7="Y","Y","N"))</f>
        <v>Y</v>
      </c>
      <c r="F16" s="93"/>
      <c r="G16" s="35" t="s">
        <v>77</v>
      </c>
      <c r="H16" s="35" t="s">
        <v>77</v>
      </c>
      <c r="I16" s="240"/>
      <c r="J16" s="249" t="s">
        <v>77</v>
      </c>
    </row>
    <row r="17" spans="1:15" s="118" customFormat="1" ht="12.75" customHeight="1" thickTop="1">
      <c r="B17" s="215"/>
      <c r="C17" s="216"/>
      <c r="D17" s="216"/>
      <c r="E17" s="217"/>
      <c r="F17" s="216"/>
      <c r="G17" s="216"/>
      <c r="H17" s="216" t="s">
        <v>119</v>
      </c>
      <c r="I17" s="216"/>
      <c r="J17" s="216"/>
      <c r="K17" s="220"/>
      <c r="L17" s="202"/>
      <c r="M17" s="202"/>
      <c r="N17" s="202"/>
    </row>
    <row r="18" spans="1:15" s="118" customFormat="1" ht="16.8">
      <c r="A18" s="202"/>
      <c r="B18" s="104"/>
      <c r="C18" s="79"/>
      <c r="D18" s="79"/>
      <c r="E18" s="221" t="s">
        <v>189</v>
      </c>
      <c r="F18" s="210" t="s">
        <v>70</v>
      </c>
      <c r="G18" s="210" t="s">
        <v>96</v>
      </c>
      <c r="H18" s="210" t="s">
        <v>71</v>
      </c>
      <c r="I18" s="210" t="s">
        <v>72</v>
      </c>
      <c r="J18" s="210" t="s">
        <v>118</v>
      </c>
      <c r="K18" s="222" t="s">
        <v>94</v>
      </c>
      <c r="L18" s="202"/>
      <c r="M18" s="202"/>
      <c r="N18" s="202"/>
      <c r="O18" s="202"/>
    </row>
    <row r="19" spans="1:15" s="118" customFormat="1" ht="15" customHeight="1" thickBot="1">
      <c r="A19" s="202"/>
      <c r="B19" s="223" t="s">
        <v>219</v>
      </c>
      <c r="C19" s="224"/>
      <c r="D19" s="224"/>
      <c r="E19" s="276">
        <v>2.2000000000000001E-3</v>
      </c>
      <c r="F19" s="277">
        <v>2.2000000000000001E-3</v>
      </c>
      <c r="G19" s="277">
        <v>2.2000000000000001E-3</v>
      </c>
      <c r="H19" s="275">
        <v>2.0500000000000002E-3</v>
      </c>
      <c r="I19" s="278">
        <v>3.1E-2</v>
      </c>
      <c r="J19" s="275">
        <v>6.6800000000000002E-3</v>
      </c>
      <c r="K19" s="279">
        <v>2.47E-3</v>
      </c>
      <c r="L19" s="202"/>
      <c r="M19" s="202"/>
      <c r="N19" s="202"/>
      <c r="O19" s="202"/>
    </row>
    <row r="20" spans="1:15" s="118" customFormat="1">
      <c r="A20" s="202"/>
      <c r="B20" s="104"/>
      <c r="C20" s="79"/>
      <c r="D20" s="79"/>
      <c r="E20" s="218"/>
      <c r="F20" s="208"/>
      <c r="G20" s="208"/>
      <c r="H20" s="207"/>
      <c r="I20" s="207"/>
      <c r="J20" s="207"/>
      <c r="K20" s="211"/>
      <c r="L20" s="202"/>
      <c r="M20" s="202"/>
      <c r="N20" s="202"/>
      <c r="O20" s="202"/>
    </row>
    <row r="21" spans="1:15" s="117" customFormat="1">
      <c r="A21" s="203"/>
      <c r="B21" s="104" t="s">
        <v>165</v>
      </c>
      <c r="C21" s="209"/>
      <c r="D21" s="209"/>
      <c r="E21" s="236">
        <f t="shared" ref="E21:K21" si="1">IF($E$16="Y",$C$5*E19*8760/2000,0)</f>
        <v>4.8179999999999996</v>
      </c>
      <c r="F21" s="237">
        <f t="shared" si="1"/>
        <v>4.8179999999999996</v>
      </c>
      <c r="G21" s="237">
        <f t="shared" si="1"/>
        <v>4.8179999999999996</v>
      </c>
      <c r="H21" s="237">
        <f t="shared" si="1"/>
        <v>4.4895000000000005</v>
      </c>
      <c r="I21" s="237">
        <f t="shared" si="1"/>
        <v>67.89</v>
      </c>
      <c r="J21" s="237">
        <f t="shared" si="1"/>
        <v>14.629200000000001</v>
      </c>
      <c r="K21" s="238">
        <f t="shared" si="1"/>
        <v>5.4092999999999991</v>
      </c>
      <c r="L21" s="203"/>
      <c r="M21" s="203"/>
      <c r="N21" s="203"/>
      <c r="O21" s="203"/>
    </row>
    <row r="22" spans="1:15" s="118" customFormat="1" ht="13.8" thickBot="1">
      <c r="A22" s="202"/>
      <c r="B22" s="131"/>
      <c r="C22" s="188"/>
      <c r="D22" s="188"/>
      <c r="E22" s="219"/>
      <c r="F22" s="212"/>
      <c r="G22" s="212"/>
      <c r="H22" s="213" t="s">
        <v>77</v>
      </c>
      <c r="I22" s="213"/>
      <c r="J22" s="213"/>
      <c r="K22" s="214"/>
      <c r="L22" s="202"/>
      <c r="M22" s="202"/>
      <c r="N22" s="202"/>
      <c r="O22" s="202"/>
    </row>
    <row r="23" spans="1:15" s="118" customFormat="1" ht="12.6" thickTop="1">
      <c r="B23" s="203" t="s">
        <v>87</v>
      </c>
      <c r="C23" s="202"/>
      <c r="D23" s="202"/>
      <c r="E23" s="205"/>
      <c r="F23" s="206"/>
      <c r="G23" s="206"/>
      <c r="H23" s="206"/>
      <c r="I23" s="206"/>
      <c r="J23" s="206"/>
      <c r="K23" s="206"/>
      <c r="L23" s="202"/>
      <c r="M23" s="202"/>
      <c r="N23" s="202"/>
      <c r="O23" s="202"/>
    </row>
    <row r="24" spans="1:15" s="118" customFormat="1" ht="11.4">
      <c r="B24" s="202" t="s">
        <v>183</v>
      </c>
      <c r="C24" s="202"/>
      <c r="D24" s="202"/>
      <c r="E24" s="205"/>
      <c r="F24" s="206"/>
      <c r="G24" s="206"/>
      <c r="H24" s="206"/>
      <c r="I24" s="206"/>
      <c r="J24" s="206"/>
      <c r="K24" s="206"/>
      <c r="L24" s="202"/>
      <c r="M24" s="202"/>
      <c r="N24" s="202"/>
      <c r="O24" s="202"/>
    </row>
    <row r="25" spans="1:15" s="118" customFormat="1" ht="15">
      <c r="B25" s="118" t="s">
        <v>190</v>
      </c>
    </row>
    <row r="26" spans="1:15" s="118" customFormat="1" ht="11.4">
      <c r="B26" s="118" t="s">
        <v>184</v>
      </c>
    </row>
    <row r="27" spans="1:15" s="118" customFormat="1" ht="11.4"/>
    <row r="28" spans="1:15" s="118" customFormat="1" ht="12">
      <c r="B28" s="117" t="s">
        <v>86</v>
      </c>
    </row>
    <row r="29" spans="1:15" s="118" customFormat="1" ht="11.4">
      <c r="B29" s="118" t="s">
        <v>218</v>
      </c>
    </row>
    <row r="32" spans="1:15" ht="13.8" thickBot="1">
      <c r="A32" s="1" t="s">
        <v>193</v>
      </c>
      <c r="B32" s="1" t="s">
        <v>191</v>
      </c>
      <c r="D32" s="204" t="s">
        <v>164</v>
      </c>
      <c r="E32" s="93" t="str">
        <f>IF(B7="N","N", IF(C5&gt;600,"Y","N"))</f>
        <v>N</v>
      </c>
      <c r="F32" s="93"/>
      <c r="G32" s="35" t="s">
        <v>173</v>
      </c>
      <c r="H32" s="35"/>
      <c r="I32" s="251">
        <f>Inputs!F43</f>
        <v>1.5E-3</v>
      </c>
      <c r="J32" s="249" t="s">
        <v>7</v>
      </c>
    </row>
    <row r="33" spans="1:15" s="118" customFormat="1" ht="12.75" customHeight="1" thickTop="1">
      <c r="B33" s="215"/>
      <c r="C33" s="216"/>
      <c r="D33" s="216"/>
      <c r="E33" s="217"/>
      <c r="F33" s="216"/>
      <c r="G33" s="216"/>
      <c r="H33" s="216" t="s">
        <v>119</v>
      </c>
      <c r="I33" s="216"/>
      <c r="J33" s="216"/>
      <c r="K33" s="220"/>
      <c r="L33" s="202"/>
      <c r="M33" s="202"/>
      <c r="N33" s="202"/>
    </row>
    <row r="34" spans="1:15" s="118" customFormat="1" ht="16.8">
      <c r="A34" s="202"/>
      <c r="B34" s="104"/>
      <c r="C34" s="79"/>
      <c r="D34" s="79"/>
      <c r="E34" s="221" t="s">
        <v>117</v>
      </c>
      <c r="F34" s="210" t="s">
        <v>70</v>
      </c>
      <c r="G34" s="210" t="s">
        <v>96</v>
      </c>
      <c r="H34" s="210" t="s">
        <v>71</v>
      </c>
      <c r="I34" s="210" t="s">
        <v>72</v>
      </c>
      <c r="J34" s="210" t="s">
        <v>118</v>
      </c>
      <c r="K34" s="222" t="s">
        <v>94</v>
      </c>
      <c r="L34" s="202"/>
      <c r="M34" s="202"/>
      <c r="N34" s="202"/>
      <c r="O34" s="202"/>
    </row>
    <row r="35" spans="1:15" s="118" customFormat="1" ht="15" customHeight="1" thickBot="1">
      <c r="A35" s="202"/>
      <c r="B35" s="223" t="s">
        <v>219</v>
      </c>
      <c r="C35" s="224"/>
      <c r="D35" s="224"/>
      <c r="E35" s="225">
        <v>6.9999999999999999E-4</v>
      </c>
      <c r="F35" s="226">
        <v>6.9999999999999999E-4</v>
      </c>
      <c r="G35" s="226">
        <v>6.9999999999999999E-4</v>
      </c>
      <c r="H35" s="275">
        <f>0.00809*I32</f>
        <v>1.2135E-5</v>
      </c>
      <c r="I35" s="124">
        <v>2.4E-2</v>
      </c>
      <c r="J35" s="275">
        <v>5.4999999999999997E-3</v>
      </c>
      <c r="K35" s="279">
        <v>7.0500000000000001E-4</v>
      </c>
      <c r="L35" s="202"/>
      <c r="M35" s="202"/>
      <c r="N35" s="202"/>
      <c r="O35" s="202"/>
    </row>
    <row r="36" spans="1:15" s="118" customFormat="1">
      <c r="A36" s="202"/>
      <c r="B36" s="104"/>
      <c r="C36" s="79"/>
      <c r="D36" s="79"/>
      <c r="E36" s="218"/>
      <c r="F36" s="208"/>
      <c r="G36" s="208"/>
      <c r="H36" s="207"/>
      <c r="I36" s="207"/>
      <c r="J36" s="207"/>
      <c r="K36" s="211"/>
      <c r="L36" s="202"/>
      <c r="M36" s="202"/>
      <c r="N36" s="202"/>
      <c r="O36" s="202"/>
    </row>
    <row r="37" spans="1:15" s="117" customFormat="1">
      <c r="A37" s="203"/>
      <c r="B37" s="104" t="s">
        <v>186</v>
      </c>
      <c r="C37" s="209"/>
      <c r="D37" s="209"/>
      <c r="E37" s="236">
        <f t="shared" ref="E37:K37" si="2">IF($E$32="Y",$C$5*E35*8760/2000,0)</f>
        <v>0</v>
      </c>
      <c r="F37" s="237">
        <f t="shared" si="2"/>
        <v>0</v>
      </c>
      <c r="G37" s="237">
        <f t="shared" si="2"/>
        <v>0</v>
      </c>
      <c r="H37" s="237">
        <f t="shared" si="2"/>
        <v>0</v>
      </c>
      <c r="I37" s="237">
        <f t="shared" si="2"/>
        <v>0</v>
      </c>
      <c r="J37" s="237">
        <f t="shared" si="2"/>
        <v>0</v>
      </c>
      <c r="K37" s="238">
        <f t="shared" si="2"/>
        <v>0</v>
      </c>
      <c r="L37" s="203"/>
      <c r="M37" s="203"/>
      <c r="N37" s="203"/>
      <c r="O37" s="203"/>
    </row>
    <row r="38" spans="1:15" s="118" customFormat="1" ht="13.8" thickBot="1">
      <c r="A38" s="202"/>
      <c r="B38" s="131"/>
      <c r="C38" s="188"/>
      <c r="D38" s="188"/>
      <c r="E38" s="219"/>
      <c r="F38" s="212"/>
      <c r="G38" s="212"/>
      <c r="H38" s="213" t="s">
        <v>77</v>
      </c>
      <c r="I38" s="213"/>
      <c r="J38" s="213"/>
      <c r="K38" s="214"/>
      <c r="L38" s="202"/>
      <c r="M38" s="202"/>
      <c r="N38" s="202"/>
      <c r="O38" s="202"/>
    </row>
    <row r="39" spans="1:15" s="118" customFormat="1" ht="12.6" thickTop="1">
      <c r="B39" s="203" t="s">
        <v>87</v>
      </c>
      <c r="C39" s="202"/>
      <c r="D39" s="202"/>
      <c r="E39" s="205"/>
      <c r="F39" s="206"/>
      <c r="G39" s="206"/>
      <c r="H39" s="206"/>
      <c r="I39" s="206"/>
      <c r="J39" s="206"/>
      <c r="K39" s="206"/>
      <c r="L39" s="202"/>
      <c r="M39" s="202"/>
      <c r="N39" s="202"/>
      <c r="O39" s="202"/>
    </row>
    <row r="40" spans="1:15" s="118" customFormat="1" ht="11.4">
      <c r="B40" s="202" t="s">
        <v>195</v>
      </c>
      <c r="C40" s="202"/>
      <c r="D40" s="202"/>
      <c r="E40" s="205"/>
      <c r="F40" s="206"/>
      <c r="G40" s="206"/>
      <c r="H40" s="206"/>
      <c r="I40" s="206"/>
      <c r="J40" s="206"/>
      <c r="K40" s="206"/>
      <c r="L40" s="202"/>
      <c r="M40" s="202"/>
      <c r="N40" s="202"/>
      <c r="O40" s="202"/>
    </row>
    <row r="41" spans="1:15" s="118" customFormat="1" ht="15">
      <c r="B41" s="118" t="s">
        <v>115</v>
      </c>
    </row>
    <row r="42" spans="1:15" s="118" customFormat="1" ht="11.4">
      <c r="B42" s="118" t="s">
        <v>184</v>
      </c>
    </row>
    <row r="43" spans="1:15" s="118" customFormat="1" ht="11.4"/>
    <row r="44" spans="1:15" s="118" customFormat="1" ht="12">
      <c r="B44" s="117" t="s">
        <v>86</v>
      </c>
    </row>
    <row r="45" spans="1:15" s="118" customFormat="1" ht="11.4">
      <c r="B45" s="118" t="s">
        <v>218</v>
      </c>
    </row>
  </sheetData>
  <phoneticPr fontId="29" type="noConversion"/>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18"/>
  <sheetViews>
    <sheetView workbookViewId="0">
      <selection activeCell="A2" sqref="A2:I2"/>
    </sheetView>
  </sheetViews>
  <sheetFormatPr defaultColWidth="8.77734375" defaultRowHeight="13.2"/>
  <cols>
    <col min="1" max="1" width="24.44140625" customWidth="1"/>
    <col min="2" max="2" width="12.44140625" customWidth="1"/>
    <col min="3" max="3" width="12.6640625" customWidth="1"/>
    <col min="4" max="4" width="11.44140625" customWidth="1"/>
    <col min="5" max="5" width="12" customWidth="1"/>
    <col min="6" max="6" width="12.109375" customWidth="1"/>
    <col min="7" max="7" width="11" customWidth="1"/>
    <col min="8" max="8" width="13" customWidth="1"/>
    <col min="10" max="10" width="10.44140625" bestFit="1" customWidth="1"/>
    <col min="11" max="13" width="9.33203125" customWidth="1"/>
  </cols>
  <sheetData>
    <row r="1" spans="1:12" ht="21">
      <c r="A1" s="296" t="s">
        <v>230</v>
      </c>
      <c r="B1" s="296"/>
      <c r="C1" s="296"/>
      <c r="D1" s="296"/>
      <c r="E1" s="296"/>
      <c r="F1" s="296"/>
      <c r="G1" s="296"/>
      <c r="H1" s="296"/>
      <c r="I1" s="296"/>
      <c r="J1" s="91"/>
      <c r="K1" s="91"/>
      <c r="L1" s="91"/>
    </row>
    <row r="2" spans="1:12">
      <c r="A2" s="297">
        <v>41590</v>
      </c>
      <c r="B2" s="297"/>
      <c r="C2" s="297"/>
      <c r="D2" s="297"/>
      <c r="E2" s="297"/>
      <c r="F2" s="297"/>
      <c r="G2" s="297"/>
      <c r="H2" s="297"/>
      <c r="I2" s="297"/>
      <c r="J2" s="92"/>
      <c r="K2" s="92"/>
      <c r="L2" s="92"/>
    </row>
    <row r="3" spans="1:12" ht="17.25" customHeight="1">
      <c r="A3" s="110"/>
      <c r="B3" s="110"/>
      <c r="C3" s="110"/>
      <c r="D3" s="110"/>
      <c r="E3" s="110"/>
      <c r="F3" s="110"/>
      <c r="G3" s="110"/>
      <c r="H3" s="110"/>
      <c r="I3" s="110"/>
      <c r="J3" s="92"/>
      <c r="K3" s="92"/>
      <c r="L3" s="92"/>
    </row>
    <row r="4" spans="1:12" ht="17.25" customHeight="1">
      <c r="A4" s="135" t="s">
        <v>220</v>
      </c>
      <c r="B4" s="134" t="str">
        <f>IF(Inputs!B67=1,"Drum Mix","Batch Mix")</f>
        <v>Drum Mix</v>
      </c>
      <c r="C4" s="134"/>
      <c r="D4" s="110"/>
      <c r="E4" s="110"/>
      <c r="F4" s="110"/>
      <c r="G4" s="110"/>
      <c r="H4" s="110"/>
      <c r="I4" s="110"/>
      <c r="J4" s="92"/>
      <c r="K4" s="92"/>
      <c r="L4" s="92"/>
    </row>
    <row r="6" spans="1:12">
      <c r="A6" s="71" t="s">
        <v>165</v>
      </c>
    </row>
    <row r="7" spans="1:12" ht="13.8" thickBot="1">
      <c r="A7" s="71"/>
    </row>
    <row r="8" spans="1:12" ht="16.8" thickTop="1" thickBot="1">
      <c r="A8" s="3" t="s">
        <v>231</v>
      </c>
      <c r="B8" s="140" t="s">
        <v>117</v>
      </c>
      <c r="C8" s="141" t="s">
        <v>70</v>
      </c>
      <c r="D8" s="141" t="s">
        <v>69</v>
      </c>
      <c r="E8" s="141" t="s">
        <v>71</v>
      </c>
      <c r="F8" s="141" t="s">
        <v>72</v>
      </c>
      <c r="G8" s="141" t="s">
        <v>118</v>
      </c>
      <c r="H8" s="142" t="s">
        <v>126</v>
      </c>
    </row>
    <row r="9" spans="1:12">
      <c r="A9" s="143" t="s">
        <v>110</v>
      </c>
      <c r="B9" s="144">
        <f>IF(Inputs!$B$67=1,'Drum - Prod.Crit'!E10,'Batch - Prod.Crit'!E10)</f>
        <v>36.134999999999998</v>
      </c>
      <c r="C9" s="133">
        <f>IF(Inputs!$B$67=1,'Drum - Prod.Crit'!E11,'Batch - Prod.Crit'!E11)</f>
        <v>25.184999999999999</v>
      </c>
      <c r="D9" s="201">
        <f>IF(Inputs!$B$67=1,'Drum - Prod.Crit'!E12,'Batch - Prod.Crit'!E12)</f>
        <v>3.1755</v>
      </c>
      <c r="E9" s="133">
        <f>IF(Inputs!$B$67=1,'Drum - Prod.Crit'!E13,'Batch - Prod.Crit'!E13)</f>
        <v>12.045</v>
      </c>
      <c r="F9" s="133">
        <f>IF(Inputs!$B$67=1,'Drum - Prod.Crit'!E14,'Batch - Prod.Crit'!E14)</f>
        <v>41.61</v>
      </c>
      <c r="G9" s="133">
        <f>IF(Inputs!$B$67=1,'Drum - Prod.Crit'!E15,'Batch - Prod.Crit'!E15)</f>
        <v>142.35</v>
      </c>
      <c r="H9" s="145">
        <f>IF(Inputs!$B$67=1,'Drum - Prod.Crit'!E16,'Batch - Prod.Crit'!E16)</f>
        <v>35.04</v>
      </c>
    </row>
    <row r="10" spans="1:12">
      <c r="A10" s="136" t="s">
        <v>201</v>
      </c>
      <c r="B10" s="137">
        <f>LOSF.Crit!E12</f>
        <v>1.2130698103638107</v>
      </c>
      <c r="C10" s="138">
        <f>LOSF.Crit!E13</f>
        <v>1.2130698103638107</v>
      </c>
      <c r="D10" s="138">
        <f>LOSF.Crit!E14</f>
        <v>1.2130698103638107</v>
      </c>
      <c r="E10" s="151" t="s">
        <v>112</v>
      </c>
      <c r="F10" s="151" t="s">
        <v>112</v>
      </c>
      <c r="G10" s="138">
        <f>LOSF.Crit!E16</f>
        <v>2.6919720666385918</v>
      </c>
      <c r="H10" s="139">
        <f>LOSF.Crit!E15</f>
        <v>17.625225876543965</v>
      </c>
    </row>
    <row r="11" spans="1:12">
      <c r="A11" s="136" t="s">
        <v>55</v>
      </c>
      <c r="B11" s="137">
        <f>'Aggregates Handling'!D15</f>
        <v>16.425000000000001</v>
      </c>
      <c r="C11" s="138">
        <f>'Aggregates Handling'!D16</f>
        <v>6.0224999999999991</v>
      </c>
      <c r="D11" s="138">
        <f>'Aggregates Handling'!D17</f>
        <v>6.0224999999999991</v>
      </c>
      <c r="E11" s="151" t="s">
        <v>112</v>
      </c>
      <c r="F11" s="151" t="s">
        <v>112</v>
      </c>
      <c r="G11" s="151" t="s">
        <v>112</v>
      </c>
      <c r="H11" s="152" t="s">
        <v>112</v>
      </c>
    </row>
    <row r="12" spans="1:12">
      <c r="A12" s="136" t="s">
        <v>59</v>
      </c>
      <c r="B12" s="137">
        <f>'Aggregates Handling'!D18</f>
        <v>2.4089999999999998</v>
      </c>
      <c r="C12" s="138">
        <f>'Aggregates Handling'!D19</f>
        <v>0.81029999999999991</v>
      </c>
      <c r="D12" s="138">
        <f>'Aggregates Handling'!D20</f>
        <v>5.475E-2</v>
      </c>
      <c r="E12" s="151" t="s">
        <v>112</v>
      </c>
      <c r="F12" s="151" t="s">
        <v>112</v>
      </c>
      <c r="G12" s="151" t="s">
        <v>112</v>
      </c>
      <c r="H12" s="152" t="s">
        <v>112</v>
      </c>
    </row>
    <row r="13" spans="1:12">
      <c r="A13" s="136" t="s">
        <v>158</v>
      </c>
      <c r="B13" s="137">
        <f>'Storage Piles'!F26</f>
        <v>6.2673498692850105</v>
      </c>
      <c r="C13" s="138">
        <f>'Storage Piles'!F27</f>
        <v>2.9642871003375046</v>
      </c>
      <c r="D13" s="138">
        <f>'Storage Piles'!F28</f>
        <v>0.44887776090825077</v>
      </c>
      <c r="E13" s="151" t="s">
        <v>112</v>
      </c>
      <c r="F13" s="151" t="s">
        <v>112</v>
      </c>
      <c r="G13" s="151" t="s">
        <v>112</v>
      </c>
      <c r="H13" s="152" t="s">
        <v>112</v>
      </c>
    </row>
    <row r="14" spans="1:12">
      <c r="A14" s="136" t="s">
        <v>131</v>
      </c>
      <c r="B14" s="137">
        <f>'Lime Silo'!F12</f>
        <v>4.8180000000000058</v>
      </c>
      <c r="C14" s="138">
        <f>'Lime Silo'!F13</f>
        <v>4.8180000000000058</v>
      </c>
      <c r="D14" s="138">
        <f>'Lime Silo'!F14</f>
        <v>4.8180000000000058</v>
      </c>
      <c r="E14" s="151" t="s">
        <v>112</v>
      </c>
      <c r="F14" s="151" t="s">
        <v>112</v>
      </c>
      <c r="G14" s="151" t="s">
        <v>112</v>
      </c>
      <c r="H14" s="152" t="s">
        <v>112</v>
      </c>
    </row>
    <row r="15" spans="1:12">
      <c r="A15" s="136" t="s">
        <v>199</v>
      </c>
      <c r="B15" s="137">
        <f>'Auxiliary Heater'!E9</f>
        <v>0.62571428571428567</v>
      </c>
      <c r="C15" s="138">
        <f>'Auxiliary Heater'!F9</f>
        <v>1.0324285714285713</v>
      </c>
      <c r="D15" s="138">
        <f>'Auxiliary Heater'!G9</f>
        <v>0.7977857142857141</v>
      </c>
      <c r="E15" s="248">
        <f>'Auxiliary Heater'!H9</f>
        <v>6.6638571428571422E-2</v>
      </c>
      <c r="F15" s="138">
        <f>'Auxiliary Heater'!I9</f>
        <v>6.2571428571428562</v>
      </c>
      <c r="G15" s="138">
        <f>'Auxiliary Heater'!J9</f>
        <v>3.6070588235294117</v>
      </c>
      <c r="H15" s="139">
        <f>'Auxiliary Heater'!K9</f>
        <v>0.47868852459016392</v>
      </c>
    </row>
    <row r="16" spans="1:12" ht="13.8" thickBot="1">
      <c r="A16" s="146" t="s">
        <v>111</v>
      </c>
      <c r="B16" s="244">
        <f>Engine!E11</f>
        <v>4.8179999999999996</v>
      </c>
      <c r="C16" s="245">
        <f>Engine!F11</f>
        <v>4.8179999999999996</v>
      </c>
      <c r="D16" s="245">
        <f>Engine!G11</f>
        <v>4.8179999999999996</v>
      </c>
      <c r="E16" s="247">
        <f>Engine!H11</f>
        <v>4.4895000000000005</v>
      </c>
      <c r="F16" s="247">
        <f>Engine!I11</f>
        <v>67.89</v>
      </c>
      <c r="G16" s="247">
        <f>Engine!J11</f>
        <v>14.629200000000001</v>
      </c>
      <c r="H16" s="246">
        <f>Engine!K11</f>
        <v>5.4092999999999991</v>
      </c>
    </row>
    <row r="17" spans="1:8" ht="14.4" thickTop="1" thickBot="1">
      <c r="A17" s="147" t="s">
        <v>108</v>
      </c>
      <c r="B17" s="148">
        <f t="shared" ref="B17:H17" si="0">SUM(B9:B16)</f>
        <v>72.711133965363103</v>
      </c>
      <c r="C17" s="149">
        <f t="shared" si="0"/>
        <v>46.863585482129885</v>
      </c>
      <c r="D17" s="149">
        <f t="shared" si="0"/>
        <v>21.348483285557776</v>
      </c>
      <c r="E17" s="149">
        <f t="shared" si="0"/>
        <v>16.601138571428571</v>
      </c>
      <c r="F17" s="149">
        <f t="shared" si="0"/>
        <v>115.75714285714285</v>
      </c>
      <c r="G17" s="149">
        <f t="shared" si="0"/>
        <v>163.27823089016798</v>
      </c>
      <c r="H17" s="150">
        <f t="shared" si="0"/>
        <v>58.553214401134127</v>
      </c>
    </row>
    <row r="18" spans="1:8" ht="13.8" thickTop="1"/>
  </sheetData>
  <mergeCells count="2">
    <mergeCell ref="A1:I1"/>
    <mergeCell ref="A2:I2"/>
  </mergeCells>
  <phoneticPr fontId="3" type="noConversion"/>
  <pageMargins left="0.75" right="0.75" top="1" bottom="1" header="0.5" footer="0.5"/>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sheetPr>
  <dimension ref="A1:Y53"/>
  <sheetViews>
    <sheetView workbookViewId="0">
      <selection activeCell="A2" sqref="A2:K2"/>
    </sheetView>
  </sheetViews>
  <sheetFormatPr defaultColWidth="8.77734375" defaultRowHeight="13.2"/>
  <cols>
    <col min="1" max="1" width="19" customWidth="1"/>
    <col min="2" max="2" width="9.33203125" bestFit="1" customWidth="1"/>
    <col min="3" max="3" width="14.44140625" customWidth="1"/>
    <col min="4" max="4" width="12.33203125" customWidth="1"/>
    <col min="5" max="5" width="10.109375" bestFit="1" customWidth="1"/>
    <col min="6" max="6" width="10.6640625" bestFit="1" customWidth="1"/>
    <col min="7" max="7" width="14.44140625" customWidth="1"/>
    <col min="8" max="8" width="11.4414062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5" ht="21">
      <c r="A1" s="296" t="s">
        <v>230</v>
      </c>
      <c r="B1" s="296"/>
      <c r="C1" s="296"/>
      <c r="D1" s="296"/>
      <c r="E1" s="296"/>
      <c r="F1" s="296"/>
      <c r="G1" s="296"/>
      <c r="H1" s="296"/>
      <c r="I1" s="296"/>
      <c r="J1" s="296"/>
      <c r="K1" s="296"/>
      <c r="L1" s="91"/>
      <c r="M1" s="91"/>
      <c r="N1" s="91"/>
      <c r="O1" s="91"/>
    </row>
    <row r="2" spans="1:15">
      <c r="A2" s="297">
        <v>41590</v>
      </c>
      <c r="B2" s="297"/>
      <c r="C2" s="297"/>
      <c r="D2" s="297"/>
      <c r="E2" s="297"/>
      <c r="F2" s="297"/>
      <c r="G2" s="297"/>
      <c r="H2" s="297"/>
      <c r="I2" s="297"/>
      <c r="J2" s="297"/>
      <c r="K2" s="297"/>
      <c r="L2" s="92"/>
      <c r="M2" s="92"/>
      <c r="N2" s="92"/>
      <c r="O2" s="92"/>
    </row>
    <row r="4" spans="1:15" ht="15.6">
      <c r="B4" s="116" t="s">
        <v>109</v>
      </c>
    </row>
    <row r="5" spans="1:15">
      <c r="A5" s="35" t="s">
        <v>102</v>
      </c>
      <c r="B5" s="47">
        <f>Inputs!D16</f>
        <v>250</v>
      </c>
      <c r="C5" s="35" t="s">
        <v>103</v>
      </c>
    </row>
    <row r="6" spans="1:15">
      <c r="A6" s="35"/>
      <c r="H6" s="47" t="s">
        <v>8</v>
      </c>
    </row>
    <row r="7" spans="1:15" ht="13.8" thickBot="1">
      <c r="C7" s="310" t="str">
        <f>IF(Inputs!$B$67=2,"DO NOT USE THESE, YOU SPECIFIED BATCH MIX IN THE INPUTS!","")</f>
        <v/>
      </c>
      <c r="D7" s="310"/>
      <c r="E7" s="310"/>
      <c r="F7" s="310"/>
      <c r="G7" s="310"/>
      <c r="H7" s="2" t="s">
        <v>128</v>
      </c>
    </row>
    <row r="8" spans="1:15" ht="13.8" thickTop="1">
      <c r="B8" s="46" t="s">
        <v>125</v>
      </c>
      <c r="C8" s="311" t="s">
        <v>119</v>
      </c>
      <c r="D8" s="313" t="s">
        <v>68</v>
      </c>
      <c r="E8" s="314"/>
    </row>
    <row r="9" spans="1:15" ht="13.8" thickBot="1">
      <c r="C9" s="312"/>
      <c r="D9" s="7" t="s">
        <v>123</v>
      </c>
      <c r="E9" s="8" t="s">
        <v>124</v>
      </c>
    </row>
    <row r="10" spans="1:15">
      <c r="C10" s="9" t="s">
        <v>117</v>
      </c>
      <c r="D10" s="11">
        <f>D22</f>
        <v>8.25</v>
      </c>
      <c r="E10" s="12">
        <f>E22</f>
        <v>36.134999999999998</v>
      </c>
    </row>
    <row r="11" spans="1:15" ht="15.6">
      <c r="C11" s="49" t="s">
        <v>91</v>
      </c>
      <c r="D11" s="15">
        <f>D23</f>
        <v>8.25</v>
      </c>
      <c r="E11" s="16">
        <f>E23</f>
        <v>25.184999999999999</v>
      </c>
    </row>
    <row r="12" spans="1:15" ht="15.6">
      <c r="C12" s="49" t="s">
        <v>69</v>
      </c>
      <c r="D12" s="15">
        <f>D29</f>
        <v>0.72499999999999998</v>
      </c>
      <c r="E12" s="16">
        <f>E29</f>
        <v>3.1755</v>
      </c>
    </row>
    <row r="13" spans="1:15" ht="15.6">
      <c r="C13" s="49" t="s">
        <v>71</v>
      </c>
      <c r="D13" s="15">
        <f t="shared" ref="D13:E15" si="0">MAX(D36,H36)</f>
        <v>2.75</v>
      </c>
      <c r="E13" s="16">
        <f t="shared" si="0"/>
        <v>12.045</v>
      </c>
    </row>
    <row r="14" spans="1:15" ht="15.6">
      <c r="C14" s="49" t="s">
        <v>72</v>
      </c>
      <c r="D14" s="15">
        <f t="shared" si="0"/>
        <v>9.5</v>
      </c>
      <c r="E14" s="16">
        <f t="shared" si="0"/>
        <v>41.61</v>
      </c>
    </row>
    <row r="15" spans="1:15">
      <c r="C15" s="13" t="s">
        <v>118</v>
      </c>
      <c r="D15" s="15">
        <f t="shared" si="0"/>
        <v>32.5</v>
      </c>
      <c r="E15" s="16">
        <f t="shared" si="0"/>
        <v>142.35</v>
      </c>
    </row>
    <row r="16" spans="1:15" ht="13.8" thickBot="1">
      <c r="C16" s="17" t="s">
        <v>126</v>
      </c>
      <c r="D16" s="33">
        <f>D44</f>
        <v>8</v>
      </c>
      <c r="E16" s="19">
        <f>E44</f>
        <v>35.04</v>
      </c>
    </row>
    <row r="17" spans="1:9" ht="13.8" thickTop="1"/>
    <row r="18" spans="1:9" ht="13.8" thickBot="1"/>
    <row r="19" spans="1:9" ht="16.8" thickTop="1" thickBot="1">
      <c r="A19" s="77" t="s">
        <v>202</v>
      </c>
      <c r="B19" s="307" t="s">
        <v>68</v>
      </c>
      <c r="C19" s="308"/>
      <c r="D19" s="308"/>
      <c r="E19" s="309"/>
    </row>
    <row r="20" spans="1:9">
      <c r="A20" s="4"/>
      <c r="B20" s="315" t="s">
        <v>119</v>
      </c>
      <c r="C20" s="21" t="s">
        <v>120</v>
      </c>
      <c r="D20" s="305" t="s">
        <v>122</v>
      </c>
      <c r="E20" s="306"/>
    </row>
    <row r="21" spans="1:9" ht="13.8" thickBot="1">
      <c r="A21" s="4"/>
      <c r="B21" s="316"/>
      <c r="C21" s="22" t="s">
        <v>121</v>
      </c>
      <c r="D21" s="7" t="s">
        <v>123</v>
      </c>
      <c r="E21" s="8" t="s">
        <v>124</v>
      </c>
    </row>
    <row r="22" spans="1:9">
      <c r="A22" s="4"/>
      <c r="B22" s="23" t="s">
        <v>117</v>
      </c>
      <c r="C22" s="41">
        <v>3.3000000000000002E-2</v>
      </c>
      <c r="D22" s="125">
        <f>$B$5*C22</f>
        <v>8.25</v>
      </c>
      <c r="E22" s="30">
        <f>$B$5*C22*8760/2000</f>
        <v>36.134999999999998</v>
      </c>
    </row>
    <row r="23" spans="1:9" ht="16.2" thickBot="1">
      <c r="A23" s="5"/>
      <c r="B23" s="45" t="s">
        <v>70</v>
      </c>
      <c r="C23" s="42">
        <v>2.3E-2</v>
      </c>
      <c r="D23" s="126">
        <v>8.25</v>
      </c>
      <c r="E23" s="31">
        <f>$B$5*C23*8760/2000</f>
        <v>25.184999999999999</v>
      </c>
    </row>
    <row r="24" spans="1:9" ht="13.8" thickTop="1">
      <c r="A24" s="35" t="s">
        <v>206</v>
      </c>
    </row>
    <row r="25" spans="1:9" ht="13.8" thickBot="1"/>
    <row r="26" spans="1:9" ht="16.8" thickTop="1" thickBot="1">
      <c r="A26" s="77" t="s">
        <v>203</v>
      </c>
      <c r="B26" s="307" t="s">
        <v>68</v>
      </c>
      <c r="C26" s="308"/>
      <c r="D26" s="308"/>
      <c r="E26" s="309"/>
    </row>
    <row r="27" spans="1:9">
      <c r="A27" s="104" t="s">
        <v>77</v>
      </c>
      <c r="B27" s="315" t="s">
        <v>119</v>
      </c>
      <c r="C27" s="21" t="s">
        <v>120</v>
      </c>
      <c r="D27" s="305" t="s">
        <v>122</v>
      </c>
      <c r="E27" s="306"/>
    </row>
    <row r="28" spans="1:9" ht="13.8" thickBot="1">
      <c r="A28" s="4"/>
      <c r="B28" s="316"/>
      <c r="C28" s="22" t="s">
        <v>121</v>
      </c>
      <c r="D28" s="7" t="s">
        <v>123</v>
      </c>
      <c r="E28" s="8" t="s">
        <v>124</v>
      </c>
    </row>
    <row r="29" spans="1:9" ht="16.2" thickBot="1">
      <c r="A29" s="5"/>
      <c r="B29" s="120" t="s">
        <v>69</v>
      </c>
      <c r="C29" s="44">
        <v>2.8999999999999998E-3</v>
      </c>
      <c r="D29" s="127">
        <f>$B$5*C29</f>
        <v>0.72499999999999998</v>
      </c>
      <c r="E29" s="58">
        <f>B5*C29*8760/2000</f>
        <v>3.1755</v>
      </c>
    </row>
    <row r="30" spans="1:9" ht="13.8" thickTop="1">
      <c r="A30" s="35" t="s">
        <v>207</v>
      </c>
    </row>
    <row r="31" spans="1:9" ht="13.8" thickBot="1"/>
    <row r="32" spans="1:9" ht="16.2" thickTop="1">
      <c r="A32" s="77" t="s">
        <v>101</v>
      </c>
      <c r="B32" s="307" t="s">
        <v>68</v>
      </c>
      <c r="C32" s="322"/>
      <c r="D32" s="322"/>
      <c r="E32" s="322"/>
      <c r="F32" s="322"/>
      <c r="G32" s="322"/>
      <c r="H32" s="322"/>
      <c r="I32" s="323"/>
    </row>
    <row r="33" spans="1:25" ht="13.8" thickBot="1">
      <c r="A33" s="104" t="s">
        <v>77</v>
      </c>
      <c r="B33" s="317" t="s">
        <v>127</v>
      </c>
      <c r="C33" s="318"/>
      <c r="D33" s="318"/>
      <c r="E33" s="319"/>
      <c r="F33" s="320" t="s">
        <v>2</v>
      </c>
      <c r="G33" s="318"/>
      <c r="H33" s="318"/>
      <c r="I33" s="321"/>
    </row>
    <row r="34" spans="1:25">
      <c r="A34" s="4"/>
      <c r="B34" s="315" t="s">
        <v>119</v>
      </c>
      <c r="C34" s="21" t="s">
        <v>120</v>
      </c>
      <c r="D34" s="305" t="s">
        <v>122</v>
      </c>
      <c r="E34" s="324"/>
      <c r="F34" s="315" t="s">
        <v>119</v>
      </c>
      <c r="G34" s="21" t="s">
        <v>120</v>
      </c>
      <c r="H34" s="305" t="s">
        <v>122</v>
      </c>
      <c r="I34" s="306"/>
    </row>
    <row r="35" spans="1:25" ht="13.8" thickBot="1">
      <c r="A35" s="4"/>
      <c r="B35" s="316"/>
      <c r="C35" s="22" t="s">
        <v>121</v>
      </c>
      <c r="D35" s="7" t="s">
        <v>123</v>
      </c>
      <c r="E35" s="20" t="s">
        <v>124</v>
      </c>
      <c r="F35" s="316"/>
      <c r="G35" s="22" t="s">
        <v>121</v>
      </c>
      <c r="H35" s="7" t="s">
        <v>123</v>
      </c>
      <c r="I35" s="8" t="s">
        <v>124</v>
      </c>
    </row>
    <row r="36" spans="1:25" ht="15.6">
      <c r="A36" s="4"/>
      <c r="B36" s="119" t="s">
        <v>71</v>
      </c>
      <c r="C36" s="41">
        <v>3.3999999999999998E-3</v>
      </c>
      <c r="D36" s="125">
        <f>IF(Inputs!$D$20="Y",$B$5*C36,0)</f>
        <v>0.85</v>
      </c>
      <c r="E36" s="25">
        <f>$B$5*C36*8760/2000</f>
        <v>3.7229999999999999</v>
      </c>
      <c r="F36" s="119" t="s">
        <v>71</v>
      </c>
      <c r="G36" s="41">
        <v>1.0999999999999999E-2</v>
      </c>
      <c r="H36" s="125">
        <f>IF(Inputs!$D$21="Y",$B$5*G36,0)</f>
        <v>2.75</v>
      </c>
      <c r="I36" s="30">
        <f>$B$5*G36*8760/2000</f>
        <v>12.045</v>
      </c>
    </row>
    <row r="37" spans="1:25" ht="15.6">
      <c r="A37" s="4"/>
      <c r="B37" s="121" t="s">
        <v>72</v>
      </c>
      <c r="C37" s="43">
        <v>2.5999999999999999E-2</v>
      </c>
      <c r="D37" s="128">
        <f>IF(Inputs!$D$20="Y",$B$5*C37,0)</f>
        <v>6.5</v>
      </c>
      <c r="E37" s="26">
        <f>$B$5*C37*8760/2000</f>
        <v>28.47</v>
      </c>
      <c r="F37" s="121" t="s">
        <v>72</v>
      </c>
      <c r="G37" s="43">
        <v>3.7999999999999999E-2</v>
      </c>
      <c r="H37" s="128">
        <f>IF(Inputs!$D$21="Y",$B$5*G37,0)</f>
        <v>9.5</v>
      </c>
      <c r="I37" s="32">
        <f>$B$5*G37*8760/2000</f>
        <v>41.61</v>
      </c>
    </row>
    <row r="38" spans="1:25" ht="13.8" thickBot="1">
      <c r="A38" s="5"/>
      <c r="B38" s="45" t="s">
        <v>118</v>
      </c>
      <c r="C38" s="42">
        <v>0.13</v>
      </c>
      <c r="D38" s="126">
        <f>IF(Inputs!$D$20="Y",$B$5*C38,0)</f>
        <v>32.5</v>
      </c>
      <c r="E38" s="29">
        <f>$B$5*C38*8760/2000</f>
        <v>142.35</v>
      </c>
      <c r="F38" s="27" t="s">
        <v>118</v>
      </c>
      <c r="G38" s="42">
        <v>0.13</v>
      </c>
      <c r="H38" s="126">
        <f>IF(Inputs!$D$21="Y",$B$5*G38,0)</f>
        <v>32.5</v>
      </c>
      <c r="I38" s="31">
        <f>$B$5*G38*8760/2000</f>
        <v>142.35</v>
      </c>
    </row>
    <row r="39" spans="1:25" ht="13.8" thickTop="1">
      <c r="A39" s="50"/>
      <c r="B39" s="34"/>
      <c r="C39" s="54"/>
      <c r="D39" s="55"/>
      <c r="E39" s="56"/>
      <c r="F39" s="34"/>
      <c r="G39" s="54"/>
      <c r="H39" s="55"/>
      <c r="I39" s="56"/>
      <c r="J39" s="34"/>
      <c r="K39" s="57"/>
      <c r="L39" s="55"/>
      <c r="M39" s="56"/>
      <c r="N39" s="34"/>
      <c r="O39" s="54"/>
      <c r="P39" s="55"/>
      <c r="Q39" s="56"/>
      <c r="R39" s="34"/>
      <c r="S39" s="57"/>
      <c r="T39" s="55"/>
      <c r="U39" s="56"/>
    </row>
    <row r="40" spans="1:25" ht="12.75" customHeight="1" thickBot="1">
      <c r="A40" s="50"/>
      <c r="B40" s="34"/>
      <c r="C40" s="54"/>
      <c r="D40" s="55"/>
      <c r="E40" s="56"/>
      <c r="F40" s="34"/>
      <c r="G40" s="54"/>
      <c r="H40" s="55"/>
      <c r="I40" s="56"/>
      <c r="J40" s="34"/>
      <c r="K40" s="57"/>
      <c r="L40" s="55"/>
      <c r="M40" s="56"/>
      <c r="N40" s="34"/>
      <c r="O40" s="54"/>
      <c r="P40" s="55"/>
      <c r="Q40" s="56"/>
      <c r="R40" s="34"/>
      <c r="S40" s="54"/>
      <c r="T40" s="55"/>
      <c r="U40" s="56"/>
      <c r="V40" s="34"/>
      <c r="W40" s="57"/>
      <c r="X40" s="55"/>
      <c r="Y40" s="56"/>
    </row>
    <row r="41" spans="1:25" ht="14.4" thickTop="1" thickBot="1">
      <c r="A41" s="77" t="s">
        <v>126</v>
      </c>
      <c r="B41" s="307" t="s">
        <v>68</v>
      </c>
      <c r="C41" s="308"/>
      <c r="D41" s="308"/>
      <c r="E41" s="309"/>
      <c r="F41" s="34"/>
      <c r="G41" s="57"/>
      <c r="H41" s="55"/>
      <c r="I41" s="56"/>
      <c r="J41" s="34"/>
      <c r="K41" s="54"/>
      <c r="L41" s="55"/>
      <c r="M41" s="56"/>
      <c r="N41" s="34"/>
      <c r="O41" s="54"/>
      <c r="P41" s="55"/>
      <c r="Q41" s="56"/>
      <c r="R41" s="34"/>
      <c r="S41" s="57"/>
      <c r="T41" s="55"/>
      <c r="U41" s="56"/>
    </row>
    <row r="42" spans="1:25">
      <c r="A42" s="104" t="s">
        <v>77</v>
      </c>
      <c r="B42" s="315" t="s">
        <v>119</v>
      </c>
      <c r="C42" s="21" t="s">
        <v>120</v>
      </c>
      <c r="D42" s="305" t="s">
        <v>122</v>
      </c>
      <c r="E42" s="306"/>
      <c r="F42" s="34"/>
      <c r="G42" s="57"/>
      <c r="H42" s="55"/>
      <c r="I42" s="56"/>
      <c r="J42" s="34"/>
      <c r="K42" s="54"/>
      <c r="L42" s="55"/>
      <c r="M42" s="56"/>
      <c r="N42" s="34"/>
      <c r="O42" s="54"/>
      <c r="P42" s="55"/>
      <c r="Q42" s="56"/>
      <c r="R42" s="34"/>
      <c r="S42" s="57"/>
      <c r="T42" s="55"/>
      <c r="U42" s="56"/>
    </row>
    <row r="43" spans="1:25" ht="13.8" thickBot="1">
      <c r="A43" s="4"/>
      <c r="B43" s="316"/>
      <c r="C43" s="22" t="s">
        <v>121</v>
      </c>
      <c r="D43" s="7" t="s">
        <v>123</v>
      </c>
      <c r="E43" s="8" t="s">
        <v>124</v>
      </c>
      <c r="F43" s="34"/>
      <c r="G43" s="57"/>
      <c r="H43" s="55"/>
      <c r="I43" s="56"/>
      <c r="J43" s="34"/>
      <c r="K43" s="54"/>
      <c r="L43" s="55"/>
      <c r="M43" s="56"/>
      <c r="N43" s="34"/>
      <c r="O43" s="54"/>
      <c r="P43" s="55"/>
      <c r="Q43" s="56"/>
      <c r="R43" s="34"/>
      <c r="S43" s="57"/>
      <c r="T43" s="55"/>
      <c r="U43" s="56"/>
    </row>
    <row r="44" spans="1:25" ht="13.8" thickBot="1">
      <c r="A44" s="5"/>
      <c r="B44" s="87" t="s">
        <v>126</v>
      </c>
      <c r="C44" s="88">
        <v>3.2000000000000001E-2</v>
      </c>
      <c r="D44" s="129">
        <f>$B$5*C44</f>
        <v>8</v>
      </c>
      <c r="E44" s="89">
        <f>$B$5*C44*8760/2000</f>
        <v>35.04</v>
      </c>
      <c r="F44" s="34"/>
      <c r="G44" s="57"/>
      <c r="H44" s="55"/>
      <c r="I44" s="56"/>
      <c r="J44" s="34"/>
      <c r="K44" s="54"/>
      <c r="L44" s="55"/>
      <c r="M44" s="56"/>
      <c r="N44" s="34"/>
      <c r="O44" s="54"/>
      <c r="P44" s="55"/>
      <c r="Q44" s="56"/>
      <c r="R44" s="34"/>
      <c r="S44" s="57"/>
      <c r="T44" s="55"/>
      <c r="U44" s="56"/>
    </row>
    <row r="45" spans="1:25" ht="13.8" thickTop="1">
      <c r="A45" s="50"/>
      <c r="B45" s="34"/>
      <c r="C45" s="54"/>
      <c r="D45" s="55"/>
      <c r="E45" s="56"/>
      <c r="F45" s="34"/>
      <c r="G45" s="54"/>
      <c r="H45" s="55"/>
      <c r="I45" s="56"/>
      <c r="J45" s="34"/>
      <c r="K45" s="57"/>
      <c r="L45" s="55"/>
      <c r="M45" s="56"/>
      <c r="N45" s="34"/>
      <c r="O45" s="54"/>
      <c r="P45" s="55"/>
      <c r="Q45" s="56"/>
      <c r="R45" s="34"/>
      <c r="S45" s="54"/>
      <c r="T45" s="55"/>
      <c r="U45" s="56"/>
      <c r="V45" s="34"/>
      <c r="W45" s="57"/>
      <c r="X45" s="55"/>
      <c r="Y45" s="56"/>
    </row>
    <row r="46" spans="1:25">
      <c r="A46" s="117" t="s">
        <v>87</v>
      </c>
    </row>
    <row r="47" spans="1:25">
      <c r="A47" s="118" t="s">
        <v>1</v>
      </c>
      <c r="C47" s="35"/>
    </row>
    <row r="48" spans="1:25">
      <c r="A48" s="304" t="s">
        <v>4</v>
      </c>
      <c r="B48" s="304"/>
      <c r="C48" s="304"/>
      <c r="D48" s="304"/>
      <c r="E48" s="304"/>
      <c r="F48" s="304"/>
      <c r="G48" s="304"/>
      <c r="H48" s="304"/>
      <c r="I48" s="304"/>
      <c r="J48" s="304"/>
    </row>
    <row r="49" spans="1:10">
      <c r="A49" s="304"/>
      <c r="B49" s="304"/>
      <c r="C49" s="304"/>
      <c r="D49" s="304"/>
      <c r="E49" s="304"/>
      <c r="F49" s="304"/>
      <c r="G49" s="304"/>
      <c r="H49" s="304"/>
      <c r="I49" s="304"/>
      <c r="J49" s="304"/>
    </row>
    <row r="50" spans="1:10">
      <c r="A50" s="288"/>
      <c r="B50" s="288"/>
      <c r="C50" s="288"/>
      <c r="D50" s="288"/>
      <c r="E50" s="288"/>
      <c r="F50" s="288"/>
      <c r="G50" s="288"/>
      <c r="H50" s="288"/>
      <c r="I50" s="288"/>
      <c r="J50" s="288"/>
    </row>
    <row r="51" spans="1:10">
      <c r="A51" s="117" t="s">
        <v>86</v>
      </c>
    </row>
    <row r="52" spans="1:10">
      <c r="A52" s="35" t="s">
        <v>204</v>
      </c>
    </row>
    <row r="53" spans="1:10">
      <c r="A53" s="35" t="s">
        <v>205</v>
      </c>
    </row>
  </sheetData>
  <mergeCells count="22">
    <mergeCell ref="D42:E42"/>
    <mergeCell ref="B41:E41"/>
    <mergeCell ref="D34:E34"/>
    <mergeCell ref="B27:B28"/>
    <mergeCell ref="D27:E27"/>
    <mergeCell ref="B34:B35"/>
    <mergeCell ref="A48:J49"/>
    <mergeCell ref="A1:K1"/>
    <mergeCell ref="A2:K2"/>
    <mergeCell ref="D20:E20"/>
    <mergeCell ref="B26:E26"/>
    <mergeCell ref="C7:G7"/>
    <mergeCell ref="C8:C9"/>
    <mergeCell ref="D8:E8"/>
    <mergeCell ref="B19:E19"/>
    <mergeCell ref="B20:B21"/>
    <mergeCell ref="F34:F35"/>
    <mergeCell ref="H34:I34"/>
    <mergeCell ref="B33:E33"/>
    <mergeCell ref="F33:I33"/>
    <mergeCell ref="B32:I32"/>
    <mergeCell ref="B42:B43"/>
  </mergeCells>
  <phoneticPr fontId="3" type="noConversion"/>
  <pageMargins left="0.75" right="0.75" top="1" bottom="1" header="0.5" footer="0.5"/>
  <pageSetup orientation="portrait" horizontalDpi="4294967292" verticalDpi="4294967292"/>
  <headerFooter alignWithMargins="0">
    <oddFooter>Page &amp;P of &amp;N</oddFooter>
  </headerFooter>
  <colBreaks count="1" manualBreakCount="1">
    <brk id="11" max="1048575" man="1"/>
  </colBreaks>
  <customProperties>
    <customPr name="DVSECTIONID"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Y52"/>
  <sheetViews>
    <sheetView workbookViewId="0">
      <selection activeCell="A2" sqref="A2:K2"/>
    </sheetView>
  </sheetViews>
  <sheetFormatPr defaultColWidth="8.77734375" defaultRowHeight="13.2"/>
  <cols>
    <col min="1" max="1" width="19" customWidth="1"/>
    <col min="2" max="2" width="9.33203125" bestFit="1" customWidth="1"/>
    <col min="3" max="3" width="14.44140625" customWidth="1"/>
    <col min="4" max="4" width="12.33203125" customWidth="1"/>
    <col min="5" max="5" width="10.109375" bestFit="1" customWidth="1"/>
    <col min="6" max="6" width="10.6640625" bestFit="1" customWidth="1"/>
    <col min="7" max="7" width="14.44140625" customWidth="1"/>
    <col min="8" max="8" width="11.4414062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5" ht="21">
      <c r="A1" s="296" t="s">
        <v>230</v>
      </c>
      <c r="B1" s="296"/>
      <c r="C1" s="296"/>
      <c r="D1" s="296"/>
      <c r="E1" s="296"/>
      <c r="F1" s="296"/>
      <c r="G1" s="296"/>
      <c r="H1" s="296"/>
      <c r="I1" s="296"/>
      <c r="J1" s="296"/>
      <c r="K1" s="296"/>
      <c r="L1" s="91"/>
      <c r="M1" s="91"/>
      <c r="N1" s="91"/>
      <c r="O1" s="91"/>
    </row>
    <row r="2" spans="1:15">
      <c r="A2" s="297">
        <v>41590</v>
      </c>
      <c r="B2" s="297"/>
      <c r="C2" s="297"/>
      <c r="D2" s="297"/>
      <c r="E2" s="297"/>
      <c r="F2" s="297"/>
      <c r="G2" s="297"/>
      <c r="H2" s="297"/>
      <c r="I2" s="297"/>
      <c r="J2" s="297"/>
      <c r="K2" s="297"/>
      <c r="L2" s="92"/>
      <c r="M2" s="92"/>
      <c r="N2" s="92"/>
      <c r="O2" s="92"/>
    </row>
    <row r="4" spans="1:15" ht="15.6">
      <c r="B4" s="116" t="s">
        <v>104</v>
      </c>
    </row>
    <row r="5" spans="1:15">
      <c r="A5" s="35" t="s">
        <v>102</v>
      </c>
      <c r="B5" s="47">
        <f>Inputs!D16</f>
        <v>250</v>
      </c>
      <c r="C5" s="35" t="s">
        <v>103</v>
      </c>
    </row>
    <row r="6" spans="1:15">
      <c r="A6" s="35"/>
      <c r="H6" s="47" t="s">
        <v>8</v>
      </c>
    </row>
    <row r="7" spans="1:15" ht="13.8" thickBot="1">
      <c r="C7" s="310" t="str">
        <f>IF(Inputs!$B$67=1,"DO NOT USE THESE, YOU SPECIFIED DRUM MIX IN THE INPUTS!","")</f>
        <v>DO NOT USE THESE, YOU SPECIFIED DRUM MIX IN THE INPUTS!</v>
      </c>
      <c r="D7" s="310"/>
      <c r="E7" s="310"/>
      <c r="F7" s="310"/>
      <c r="G7" s="310"/>
      <c r="H7" s="2" t="s">
        <v>128</v>
      </c>
    </row>
    <row r="8" spans="1:15" ht="13.8" thickTop="1">
      <c r="B8" s="46" t="s">
        <v>125</v>
      </c>
      <c r="C8" s="311" t="s">
        <v>119</v>
      </c>
      <c r="D8" s="313" t="s">
        <v>68</v>
      </c>
      <c r="E8" s="314"/>
    </row>
    <row r="9" spans="1:15" ht="13.8" thickBot="1">
      <c r="C9" s="312"/>
      <c r="D9" s="7" t="s">
        <v>123</v>
      </c>
      <c r="E9" s="8" t="s">
        <v>124</v>
      </c>
    </row>
    <row r="10" spans="1:15">
      <c r="C10" s="9" t="s">
        <v>117</v>
      </c>
      <c r="D10" s="11">
        <f>D22</f>
        <v>10.5</v>
      </c>
      <c r="E10" s="12">
        <f>E22</f>
        <v>45.99</v>
      </c>
    </row>
    <row r="11" spans="1:15" ht="15.6">
      <c r="C11" s="49" t="s">
        <v>91</v>
      </c>
      <c r="D11" s="15">
        <f>D23</f>
        <v>6.75</v>
      </c>
      <c r="E11" s="16">
        <f>E23</f>
        <v>29.565000000000001</v>
      </c>
    </row>
    <row r="12" spans="1:15" ht="15.6">
      <c r="C12" s="49" t="s">
        <v>69</v>
      </c>
      <c r="D12" s="15">
        <f>D29</f>
        <v>2.0750000000000002</v>
      </c>
      <c r="E12" s="16">
        <f>E29</f>
        <v>9.0884999999999998</v>
      </c>
    </row>
    <row r="13" spans="1:15" ht="15.6">
      <c r="C13" s="49" t="s">
        <v>71</v>
      </c>
      <c r="D13" s="15">
        <f t="shared" ref="D13:E15" si="0">MAX(D36,H36)</f>
        <v>22</v>
      </c>
      <c r="E13" s="16">
        <f t="shared" si="0"/>
        <v>96.36</v>
      </c>
    </row>
    <row r="14" spans="1:15" ht="15.6">
      <c r="C14" s="49" t="s">
        <v>72</v>
      </c>
      <c r="D14" s="15">
        <f t="shared" si="0"/>
        <v>28.75</v>
      </c>
      <c r="E14" s="16">
        <f t="shared" si="0"/>
        <v>125.925</v>
      </c>
    </row>
    <row r="15" spans="1:15">
      <c r="C15" s="13" t="s">
        <v>118</v>
      </c>
      <c r="D15" s="15">
        <f t="shared" si="0"/>
        <v>100</v>
      </c>
      <c r="E15" s="16">
        <f t="shared" si="0"/>
        <v>438</v>
      </c>
    </row>
    <row r="16" spans="1:15" ht="13.8" thickBot="1">
      <c r="C16" s="17" t="s">
        <v>126</v>
      </c>
      <c r="D16" s="33">
        <f>D44</f>
        <v>2.0500000000000003</v>
      </c>
      <c r="E16" s="19">
        <f>E44</f>
        <v>8.979000000000001</v>
      </c>
    </row>
    <row r="17" spans="1:9" ht="13.8" thickTop="1"/>
    <row r="18" spans="1:9" ht="13.8" thickBot="1"/>
    <row r="19" spans="1:9" ht="16.8" thickTop="1" thickBot="1">
      <c r="A19" s="77" t="s">
        <v>90</v>
      </c>
      <c r="B19" s="254"/>
      <c r="C19" s="252"/>
      <c r="D19" s="252"/>
      <c r="E19" s="253"/>
    </row>
    <row r="20" spans="1:9">
      <c r="A20" s="4"/>
      <c r="B20" s="315" t="s">
        <v>119</v>
      </c>
      <c r="C20" s="21" t="s">
        <v>120</v>
      </c>
      <c r="D20" s="305" t="s">
        <v>122</v>
      </c>
      <c r="E20" s="306"/>
    </row>
    <row r="21" spans="1:9" ht="13.8" thickBot="1">
      <c r="A21" s="4"/>
      <c r="B21" s="316"/>
      <c r="C21" s="22" t="s">
        <v>121</v>
      </c>
      <c r="D21" s="7" t="s">
        <v>123</v>
      </c>
      <c r="E21" s="8" t="s">
        <v>124</v>
      </c>
    </row>
    <row r="22" spans="1:9">
      <c r="A22" s="4"/>
      <c r="B22" s="23" t="s">
        <v>117</v>
      </c>
      <c r="C22" s="41">
        <v>4.2000000000000003E-2</v>
      </c>
      <c r="D22" s="125">
        <f>$B$5*C22</f>
        <v>10.5</v>
      </c>
      <c r="E22" s="30">
        <f>$B$5*C22*8760/2000</f>
        <v>45.99</v>
      </c>
    </row>
    <row r="23" spans="1:9" ht="16.2" thickBot="1">
      <c r="A23" s="5"/>
      <c r="B23" s="45" t="s">
        <v>70</v>
      </c>
      <c r="C23" s="42">
        <v>2.7E-2</v>
      </c>
      <c r="D23" s="126">
        <f>$B$5*C23</f>
        <v>6.75</v>
      </c>
      <c r="E23" s="31">
        <f>$B$5*C23*8760/2000</f>
        <v>29.565000000000001</v>
      </c>
    </row>
    <row r="24" spans="1:9" ht="13.8" thickTop="1">
      <c r="A24" s="35" t="s">
        <v>206</v>
      </c>
    </row>
    <row r="25" spans="1:9" ht="13.8" thickBot="1"/>
    <row r="26" spans="1:9" ht="16.8" thickTop="1" thickBot="1">
      <c r="A26" s="77" t="s">
        <v>69</v>
      </c>
      <c r="B26" s="307" t="s">
        <v>84</v>
      </c>
      <c r="C26" s="308"/>
      <c r="D26" s="308"/>
      <c r="E26" s="309"/>
    </row>
    <row r="27" spans="1:9">
      <c r="A27" s="104" t="s">
        <v>77</v>
      </c>
      <c r="B27" s="315" t="s">
        <v>119</v>
      </c>
      <c r="C27" s="21" t="s">
        <v>120</v>
      </c>
      <c r="D27" s="305" t="s">
        <v>122</v>
      </c>
      <c r="E27" s="306"/>
    </row>
    <row r="28" spans="1:9" ht="13.8" thickBot="1">
      <c r="A28" s="4"/>
      <c r="B28" s="316"/>
      <c r="C28" s="22" t="s">
        <v>121</v>
      </c>
      <c r="D28" s="7" t="s">
        <v>123</v>
      </c>
      <c r="E28" s="8" t="s">
        <v>124</v>
      </c>
    </row>
    <row r="29" spans="1:9" ht="16.2" thickBot="1">
      <c r="A29" s="5"/>
      <c r="B29" s="120" t="s">
        <v>69</v>
      </c>
      <c r="C29" s="44">
        <v>8.3000000000000001E-3</v>
      </c>
      <c r="D29" s="127">
        <f>$B$5*C29</f>
        <v>2.0750000000000002</v>
      </c>
      <c r="E29" s="58">
        <f>$B$5*C29*8760/2000</f>
        <v>9.0884999999999998</v>
      </c>
    </row>
    <row r="30" spans="1:9" ht="13.8" thickTop="1">
      <c r="A30" s="35" t="s">
        <v>207</v>
      </c>
    </row>
    <row r="31" spans="1:9" ht="13.8" thickBot="1"/>
    <row r="32" spans="1:9" ht="16.2" thickTop="1">
      <c r="A32" s="77" t="s">
        <v>101</v>
      </c>
      <c r="B32" s="307" t="s">
        <v>68</v>
      </c>
      <c r="C32" s="322"/>
      <c r="D32" s="322"/>
      <c r="E32" s="322"/>
      <c r="F32" s="322"/>
      <c r="G32" s="322"/>
      <c r="H32" s="322"/>
      <c r="I32" s="323"/>
    </row>
    <row r="33" spans="1:25" ht="13.8" thickBot="1">
      <c r="A33" s="104" t="s">
        <v>77</v>
      </c>
      <c r="B33" s="317" t="s">
        <v>127</v>
      </c>
      <c r="C33" s="318"/>
      <c r="D33" s="318"/>
      <c r="E33" s="319"/>
      <c r="F33" s="320" t="s">
        <v>3</v>
      </c>
      <c r="G33" s="318"/>
      <c r="H33" s="318"/>
      <c r="I33" s="321"/>
    </row>
    <row r="34" spans="1:25">
      <c r="A34" s="4"/>
      <c r="B34" s="315" t="s">
        <v>119</v>
      </c>
      <c r="C34" s="21" t="s">
        <v>120</v>
      </c>
      <c r="D34" s="305" t="s">
        <v>122</v>
      </c>
      <c r="E34" s="324"/>
      <c r="F34" s="315" t="s">
        <v>119</v>
      </c>
      <c r="G34" s="21" t="s">
        <v>120</v>
      </c>
      <c r="H34" s="305" t="s">
        <v>122</v>
      </c>
      <c r="I34" s="306"/>
    </row>
    <row r="35" spans="1:25" ht="13.8" thickBot="1">
      <c r="A35" s="4"/>
      <c r="B35" s="316"/>
      <c r="C35" s="22" t="s">
        <v>121</v>
      </c>
      <c r="D35" s="7" t="s">
        <v>123</v>
      </c>
      <c r="E35" s="20" t="s">
        <v>124</v>
      </c>
      <c r="F35" s="316"/>
      <c r="G35" s="22" t="s">
        <v>121</v>
      </c>
      <c r="H35" s="7" t="s">
        <v>123</v>
      </c>
      <c r="I35" s="8" t="s">
        <v>124</v>
      </c>
    </row>
    <row r="36" spans="1:25" ht="15.6">
      <c r="A36" s="4"/>
      <c r="B36" s="119" t="s">
        <v>71</v>
      </c>
      <c r="C36" s="41">
        <v>4.5999999999999999E-3</v>
      </c>
      <c r="D36" s="125">
        <f>IF(Inputs!$D$20="Y",$B$5*C36,0)</f>
        <v>1.1499999999999999</v>
      </c>
      <c r="E36" s="25">
        <f>$B$5*C36*8760/2000</f>
        <v>5.0369999999999999</v>
      </c>
      <c r="F36" s="119" t="s">
        <v>71</v>
      </c>
      <c r="G36" s="41">
        <v>8.7999999999999995E-2</v>
      </c>
      <c r="H36" s="125">
        <f>IF(Inputs!$D$21="Y",$B$5*G36,0)</f>
        <v>22</v>
      </c>
      <c r="I36" s="30">
        <f>$B$5*G36*8760/2000</f>
        <v>96.36</v>
      </c>
    </row>
    <row r="37" spans="1:25" ht="15.6">
      <c r="A37" s="4"/>
      <c r="B37" s="121" t="s">
        <v>72</v>
      </c>
      <c r="C37" s="43">
        <v>2.5000000000000001E-2</v>
      </c>
      <c r="D37" s="128">
        <f>IF(Inputs!$D$20="Y",$B$5*C37,0)</f>
        <v>6.25</v>
      </c>
      <c r="E37" s="26">
        <f>$B$5*C37*8760/2000</f>
        <v>27.375</v>
      </c>
      <c r="F37" s="121" t="s">
        <v>72</v>
      </c>
      <c r="G37" s="287">
        <v>0.115</v>
      </c>
      <c r="H37" s="128">
        <f>IF(Inputs!$D$21="Y",$B$5*G37,0)</f>
        <v>28.75</v>
      </c>
      <c r="I37" s="32">
        <f>$B$5*G37*8760/2000</f>
        <v>125.925</v>
      </c>
    </row>
    <row r="38" spans="1:25" ht="13.8" thickBot="1">
      <c r="A38" s="5"/>
      <c r="B38" s="45" t="s">
        <v>118</v>
      </c>
      <c r="C38" s="42">
        <v>0.4</v>
      </c>
      <c r="D38" s="126">
        <f>IF(Inputs!$D$20="Y",$B$5*C38,0)</f>
        <v>100</v>
      </c>
      <c r="E38" s="29">
        <f>$B$5*C38*8760/2000</f>
        <v>438</v>
      </c>
      <c r="F38" s="27" t="s">
        <v>118</v>
      </c>
      <c r="G38" s="42">
        <v>0.4</v>
      </c>
      <c r="H38" s="126">
        <f>IF(Inputs!$D$21="Y",$B$5*G38,0)</f>
        <v>100</v>
      </c>
      <c r="I38" s="31">
        <f>$B$5*G38*8760/2000</f>
        <v>438</v>
      </c>
    </row>
    <row r="39" spans="1:25" ht="13.8" thickTop="1">
      <c r="A39" s="50"/>
      <c r="B39" s="34"/>
      <c r="C39" s="54"/>
      <c r="D39" s="55"/>
      <c r="E39" s="56"/>
      <c r="F39" s="34"/>
      <c r="G39" s="54"/>
      <c r="H39" s="55"/>
      <c r="I39" s="56"/>
      <c r="J39" s="34"/>
      <c r="K39" s="57"/>
      <c r="L39" s="55"/>
      <c r="M39" s="56"/>
      <c r="N39" s="34"/>
      <c r="O39" s="54"/>
      <c r="P39" s="55"/>
      <c r="Q39" s="56"/>
      <c r="R39" s="34"/>
      <c r="S39" s="57"/>
      <c r="T39" s="55"/>
      <c r="U39" s="56"/>
    </row>
    <row r="40" spans="1:25" ht="12.75" customHeight="1" thickBot="1">
      <c r="A40" s="50"/>
      <c r="B40" s="34"/>
      <c r="C40" s="54"/>
      <c r="D40" s="55"/>
      <c r="E40" s="56"/>
      <c r="F40" s="34"/>
      <c r="G40" s="54"/>
      <c r="H40" s="55"/>
      <c r="I40" s="56"/>
      <c r="J40" s="34"/>
      <c r="K40" s="57"/>
      <c r="L40" s="55"/>
      <c r="M40" s="56"/>
      <c r="N40" s="34"/>
      <c r="O40" s="54"/>
      <c r="P40" s="55"/>
      <c r="Q40" s="56"/>
      <c r="R40" s="34"/>
      <c r="S40" s="54"/>
      <c r="T40" s="55"/>
      <c r="U40" s="56"/>
      <c r="V40" s="34"/>
      <c r="W40" s="57"/>
      <c r="X40" s="55"/>
      <c r="Y40" s="56"/>
    </row>
    <row r="41" spans="1:25" ht="14.4" thickTop="1" thickBot="1">
      <c r="A41" s="77" t="s">
        <v>126</v>
      </c>
      <c r="B41" s="307" t="s">
        <v>68</v>
      </c>
      <c r="C41" s="308"/>
      <c r="D41" s="308"/>
      <c r="E41" s="309"/>
      <c r="F41" s="34"/>
      <c r="G41" s="57"/>
      <c r="H41" s="55"/>
      <c r="I41" s="56"/>
      <c r="J41" s="34"/>
      <c r="K41" s="54"/>
      <c r="L41" s="55"/>
      <c r="M41" s="56"/>
      <c r="N41" s="34"/>
      <c r="O41" s="54"/>
      <c r="P41" s="55"/>
      <c r="Q41" s="56"/>
      <c r="R41" s="34"/>
      <c r="S41" s="57"/>
      <c r="T41" s="55"/>
      <c r="U41" s="56"/>
    </row>
    <row r="42" spans="1:25">
      <c r="A42" s="104" t="s">
        <v>77</v>
      </c>
      <c r="B42" s="315" t="s">
        <v>119</v>
      </c>
      <c r="C42" s="21" t="s">
        <v>120</v>
      </c>
      <c r="D42" s="305" t="s">
        <v>122</v>
      </c>
      <c r="E42" s="306"/>
      <c r="F42" s="34"/>
      <c r="G42" s="57"/>
      <c r="H42" s="55"/>
      <c r="I42" s="56"/>
      <c r="J42" s="34"/>
      <c r="K42" s="54"/>
      <c r="L42" s="55"/>
      <c r="M42" s="56"/>
      <c r="N42" s="34"/>
      <c r="O42" s="54"/>
      <c r="P42" s="55"/>
      <c r="Q42" s="56"/>
      <c r="R42" s="34"/>
      <c r="S42" s="57"/>
      <c r="T42" s="55"/>
      <c r="U42" s="56"/>
    </row>
    <row r="43" spans="1:25" ht="13.8" thickBot="1">
      <c r="A43" s="4"/>
      <c r="B43" s="316"/>
      <c r="C43" s="22" t="s">
        <v>121</v>
      </c>
      <c r="D43" s="7" t="s">
        <v>123</v>
      </c>
      <c r="E43" s="8" t="s">
        <v>124</v>
      </c>
      <c r="F43" s="34"/>
      <c r="G43" s="57"/>
      <c r="H43" s="55"/>
      <c r="I43" s="56"/>
      <c r="J43" s="34"/>
      <c r="K43" s="54"/>
      <c r="L43" s="55"/>
      <c r="M43" s="56"/>
      <c r="N43" s="34"/>
      <c r="O43" s="54"/>
      <c r="P43" s="55"/>
      <c r="Q43" s="56"/>
      <c r="R43" s="34"/>
      <c r="S43" s="57"/>
      <c r="T43" s="55"/>
      <c r="U43" s="56"/>
    </row>
    <row r="44" spans="1:25" ht="13.8" thickBot="1">
      <c r="A44" s="5"/>
      <c r="B44" s="87" t="s">
        <v>126</v>
      </c>
      <c r="C44" s="88">
        <v>8.2000000000000007E-3</v>
      </c>
      <c r="D44" s="129">
        <f>$B$5*C44</f>
        <v>2.0500000000000003</v>
      </c>
      <c r="E44" s="89">
        <f>B5*C44*8760/2000</f>
        <v>8.979000000000001</v>
      </c>
      <c r="F44" s="34"/>
      <c r="G44" s="57"/>
      <c r="H44" s="55"/>
      <c r="I44" s="56"/>
      <c r="J44" s="34"/>
      <c r="K44" s="54"/>
      <c r="L44" s="55"/>
      <c r="M44" s="56"/>
      <c r="N44" s="34"/>
      <c r="O44" s="54"/>
      <c r="P44" s="55"/>
      <c r="Q44" s="56"/>
      <c r="R44" s="34"/>
      <c r="S44" s="57"/>
      <c r="T44" s="55"/>
      <c r="U44" s="56"/>
    </row>
    <row r="45" spans="1:25" ht="13.8" thickTop="1">
      <c r="A45" s="50"/>
      <c r="B45" s="34"/>
      <c r="C45" s="54"/>
      <c r="D45" s="55"/>
      <c r="E45" s="56"/>
      <c r="F45" s="34"/>
      <c r="G45" s="54"/>
      <c r="H45" s="55"/>
      <c r="I45" s="56"/>
      <c r="J45" s="34"/>
      <c r="K45" s="57"/>
      <c r="L45" s="55"/>
      <c r="M45" s="56"/>
      <c r="N45" s="34"/>
      <c r="O45" s="54"/>
      <c r="P45" s="55"/>
      <c r="Q45" s="56"/>
      <c r="R45" s="34"/>
      <c r="S45" s="54"/>
      <c r="T45" s="55"/>
      <c r="U45" s="56"/>
      <c r="V45" s="34"/>
      <c r="W45" s="57"/>
      <c r="X45" s="55"/>
      <c r="Y45" s="56"/>
    </row>
    <row r="46" spans="1:25">
      <c r="A46" s="117" t="s">
        <v>87</v>
      </c>
    </row>
    <row r="47" spans="1:25">
      <c r="A47" s="118" t="s">
        <v>0</v>
      </c>
      <c r="C47" s="35"/>
    </row>
    <row r="48" spans="1:25">
      <c r="A48" s="118"/>
    </row>
    <row r="49" spans="1:1">
      <c r="A49" s="118"/>
    </row>
    <row r="50" spans="1:1">
      <c r="A50" s="117" t="s">
        <v>86</v>
      </c>
    </row>
    <row r="51" spans="1:1">
      <c r="A51" s="35" t="s">
        <v>204</v>
      </c>
    </row>
    <row r="52" spans="1:1">
      <c r="A52" s="35" t="s">
        <v>205</v>
      </c>
    </row>
  </sheetData>
  <mergeCells count="20">
    <mergeCell ref="B20:B21"/>
    <mergeCell ref="D20:E20"/>
    <mergeCell ref="A1:K1"/>
    <mergeCell ref="A2:K2"/>
    <mergeCell ref="C7:G7"/>
    <mergeCell ref="C8:C9"/>
    <mergeCell ref="D8:E8"/>
    <mergeCell ref="B42:B43"/>
    <mergeCell ref="D42:E42"/>
    <mergeCell ref="B26:E26"/>
    <mergeCell ref="B27:B28"/>
    <mergeCell ref="D27:E27"/>
    <mergeCell ref="B32:I32"/>
    <mergeCell ref="B33:E33"/>
    <mergeCell ref="F33:I33"/>
    <mergeCell ref="B34:B35"/>
    <mergeCell ref="D34:E34"/>
    <mergeCell ref="F34:F35"/>
    <mergeCell ref="H34:I34"/>
    <mergeCell ref="B41:E41"/>
  </mergeCells>
  <phoneticPr fontId="29" type="noConversion"/>
  <pageMargins left="0.75" right="0.75" top="1" bottom="1" header="0.5" footer="0.5"/>
  <headerFooter alignWithMargins="0">
    <oddFooter>Page &amp;P of &amp;N</oddFooter>
  </headerFooter>
  <colBreaks count="1" manualBreakCount="1">
    <brk id="11"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8"/>
  </sheetPr>
  <dimension ref="A1:L43"/>
  <sheetViews>
    <sheetView workbookViewId="0">
      <selection activeCell="A2" sqref="A2:K2"/>
    </sheetView>
  </sheetViews>
  <sheetFormatPr defaultColWidth="8.77734375" defaultRowHeight="13.2"/>
  <cols>
    <col min="1" max="1" width="12.109375" bestFit="1" customWidth="1"/>
    <col min="2" max="2" width="15.77734375" customWidth="1"/>
    <col min="3" max="3" width="16.77734375" customWidth="1"/>
    <col min="4" max="4" width="11.109375" bestFit="1" customWidth="1"/>
    <col min="7" max="7" width="14.33203125" customWidth="1"/>
  </cols>
  <sheetData>
    <row r="1" spans="1:12" ht="21">
      <c r="A1" s="296" t="s">
        <v>230</v>
      </c>
      <c r="B1" s="296"/>
      <c r="C1" s="296"/>
      <c r="D1" s="296"/>
      <c r="E1" s="296"/>
      <c r="F1" s="296"/>
      <c r="G1" s="296"/>
      <c r="H1" s="296"/>
      <c r="I1" s="296"/>
      <c r="J1" s="296"/>
      <c r="K1" s="91"/>
      <c r="L1" s="91"/>
    </row>
    <row r="2" spans="1:12">
      <c r="A2" s="297">
        <v>41590</v>
      </c>
      <c r="B2" s="297"/>
      <c r="C2" s="297"/>
      <c r="D2" s="297"/>
      <c r="E2" s="297"/>
      <c r="F2" s="297"/>
      <c r="G2" s="297"/>
      <c r="H2" s="297"/>
      <c r="I2" s="297"/>
      <c r="J2" s="297"/>
      <c r="K2" s="297"/>
      <c r="L2" s="92"/>
    </row>
    <row r="4" spans="1:12" ht="15.6">
      <c r="B4" s="116" t="s">
        <v>92</v>
      </c>
    </row>
    <row r="5" spans="1:12">
      <c r="B5" s="47">
        <f>Inputs!D16</f>
        <v>250</v>
      </c>
      <c r="C5" t="s">
        <v>116</v>
      </c>
    </row>
    <row r="6" spans="1:12">
      <c r="B6" s="69">
        <f>Inputs!D48</f>
        <v>325</v>
      </c>
      <c r="C6" t="s">
        <v>10</v>
      </c>
      <c r="E6" s="35" t="s">
        <v>225</v>
      </c>
      <c r="H6" s="2"/>
    </row>
    <row r="7" spans="1:12">
      <c r="B7" s="70">
        <f>Inputs!D49</f>
        <v>-0.5</v>
      </c>
      <c r="C7" t="s">
        <v>11</v>
      </c>
      <c r="E7" s="35" t="s">
        <v>225</v>
      </c>
      <c r="H7" s="2"/>
    </row>
    <row r="9" spans="1:12" ht="13.8" thickBot="1">
      <c r="G9" s="47" t="s">
        <v>8</v>
      </c>
    </row>
    <row r="10" spans="1:12" ht="13.8" thickTop="1">
      <c r="B10" s="46" t="s">
        <v>129</v>
      </c>
      <c r="C10" s="326" t="s">
        <v>119</v>
      </c>
      <c r="D10" s="328" t="s">
        <v>68</v>
      </c>
      <c r="E10" s="329"/>
      <c r="G10" s="2" t="s">
        <v>128</v>
      </c>
    </row>
    <row r="11" spans="1:12" ht="13.8" thickBot="1">
      <c r="C11" s="327"/>
      <c r="D11" s="7" t="s">
        <v>123</v>
      </c>
      <c r="E11" s="8" t="s">
        <v>124</v>
      </c>
    </row>
    <row r="12" spans="1:12">
      <c r="C12" s="122" t="s">
        <v>117</v>
      </c>
      <c r="D12" s="10">
        <f t="shared" ref="D12:E16" si="0">D21+D30</f>
        <v>0.27695657770863258</v>
      </c>
      <c r="E12" s="12">
        <f t="shared" si="0"/>
        <v>1.2130698103638107</v>
      </c>
    </row>
    <row r="13" spans="1:12" ht="15.6">
      <c r="C13" s="122" t="s">
        <v>70</v>
      </c>
      <c r="D13" s="14">
        <f t="shared" si="0"/>
        <v>0.27695657770863258</v>
      </c>
      <c r="E13" s="16">
        <f t="shared" si="0"/>
        <v>1.2130698103638107</v>
      </c>
    </row>
    <row r="14" spans="1:12" ht="15.6">
      <c r="C14" s="122" t="s">
        <v>69</v>
      </c>
      <c r="D14" s="14">
        <f t="shared" si="0"/>
        <v>0.27695657770863258</v>
      </c>
      <c r="E14" s="16">
        <f t="shared" si="0"/>
        <v>1.2130698103638107</v>
      </c>
    </row>
    <row r="15" spans="1:12">
      <c r="C15" s="13" t="s">
        <v>126</v>
      </c>
      <c r="D15" s="14">
        <f t="shared" si="0"/>
        <v>4.0240241727269321</v>
      </c>
      <c r="E15" s="16">
        <f t="shared" si="0"/>
        <v>17.625225876543965</v>
      </c>
    </row>
    <row r="16" spans="1:12" ht="13.8" thickBot="1">
      <c r="C16" s="17" t="s">
        <v>118</v>
      </c>
      <c r="D16" s="18">
        <f t="shared" si="0"/>
        <v>0.61460549466634518</v>
      </c>
      <c r="E16" s="19">
        <f t="shared" si="0"/>
        <v>2.6919720666385918</v>
      </c>
    </row>
    <row r="17" spans="1:10" ht="14.4" thickTop="1" thickBot="1"/>
    <row r="18" spans="1:10" ht="14.4" thickTop="1" thickBot="1">
      <c r="A18" s="38"/>
      <c r="B18" s="38"/>
      <c r="C18" s="38"/>
      <c r="D18" s="38"/>
      <c r="E18" s="38"/>
      <c r="F18" s="38"/>
      <c r="G18" s="38"/>
      <c r="H18" s="38"/>
      <c r="I18" s="38"/>
      <c r="J18" s="38"/>
    </row>
    <row r="19" spans="1:10" ht="16.2" thickTop="1">
      <c r="A19" s="77" t="s">
        <v>89</v>
      </c>
      <c r="B19" s="325" t="s">
        <v>119</v>
      </c>
      <c r="C19" s="282" t="s">
        <v>224</v>
      </c>
      <c r="D19" s="313" t="s">
        <v>68</v>
      </c>
      <c r="E19" s="314"/>
    </row>
    <row r="20" spans="1:10" ht="13.8" thickBot="1">
      <c r="A20" s="4"/>
      <c r="B20" s="316"/>
      <c r="C20" s="22" t="s">
        <v>121</v>
      </c>
      <c r="D20" s="7" t="s">
        <v>123</v>
      </c>
      <c r="E20" s="8" t="s">
        <v>124</v>
      </c>
    </row>
    <row r="21" spans="1:10">
      <c r="A21" s="4"/>
      <c r="B21" s="101" t="s">
        <v>98</v>
      </c>
      <c r="C21" s="63">
        <f>0.000181+0.00141*(-($B$7))*EXP((0.0251)*($B$6+460)-20.43)</f>
        <v>5.2193703181979169E-4</v>
      </c>
      <c r="D21" s="24">
        <f>$B$5*C21</f>
        <v>0.13048425795494792</v>
      </c>
      <c r="E21" s="30">
        <f>$B$5*C21*8760/2000</f>
        <v>0.57152104984267194</v>
      </c>
    </row>
    <row r="22" spans="1:10" ht="16.8">
      <c r="A22" s="4"/>
      <c r="B22" s="121" t="s">
        <v>95</v>
      </c>
      <c r="C22" s="64">
        <f>0.000181+0.00141*(-($B$7))*EXP((0.0251)*($B$6+460)-20.43)</f>
        <v>5.2193703181979169E-4</v>
      </c>
      <c r="D22" s="24">
        <f>$B$5*C22</f>
        <v>0.13048425795494792</v>
      </c>
      <c r="E22" s="30">
        <f>$B$5*C22*8760/2000</f>
        <v>0.57152104984267194</v>
      </c>
    </row>
    <row r="23" spans="1:10" ht="16.8">
      <c r="A23" s="4"/>
      <c r="B23" s="121" t="s">
        <v>96</v>
      </c>
      <c r="C23" s="64">
        <f>0.000181+0.00141*(-($B$7))*EXP((0.0251)*($B$6+460)-20.43)</f>
        <v>5.2193703181979169E-4</v>
      </c>
      <c r="D23" s="24">
        <f>$B$5*C23</f>
        <v>0.13048425795494792</v>
      </c>
      <c r="E23" s="30">
        <f>$B$5*C23*8760/2000</f>
        <v>0.57152104984267194</v>
      </c>
    </row>
    <row r="24" spans="1:10" ht="15.6">
      <c r="A24" s="4"/>
      <c r="B24" s="121" t="s">
        <v>94</v>
      </c>
      <c r="C24" s="64">
        <f>(0.0172*(-($B$7))*EXP((0.0251)*($B$6+460)-20.43))*0.94</f>
        <v>3.9094112982002785E-3</v>
      </c>
      <c r="D24" s="24">
        <f>$B$5*C24</f>
        <v>0.97735282455006967</v>
      </c>
      <c r="E24" s="30">
        <f>$B$5*C24*8760/2000</f>
        <v>4.2808053715293051</v>
      </c>
    </row>
    <row r="25" spans="1:10" ht="13.8" thickBot="1">
      <c r="A25" s="5"/>
      <c r="B25" s="27" t="s">
        <v>118</v>
      </c>
      <c r="C25" s="65">
        <f>(0.00558*(-($B$7))*EXP((0.0251)*($B$6+460)-20.43))</f>
        <v>1.3492401684783249E-3</v>
      </c>
      <c r="D25" s="28">
        <f>$B$5*C25</f>
        <v>0.33731004211958121</v>
      </c>
      <c r="E25" s="31">
        <f>$B$5*C25*8760/2000</f>
        <v>1.4774179844837656</v>
      </c>
    </row>
    <row r="26" spans="1:10" ht="13.8" thickTop="1"/>
    <row r="27" spans="1:10" ht="13.8" thickBot="1"/>
    <row r="28" spans="1:10" ht="16.2" thickTop="1">
      <c r="A28" s="77" t="s">
        <v>88</v>
      </c>
      <c r="B28" s="325" t="s">
        <v>119</v>
      </c>
      <c r="C28" s="282" t="s">
        <v>224</v>
      </c>
      <c r="D28" s="313" t="s">
        <v>68</v>
      </c>
      <c r="E28" s="314"/>
    </row>
    <row r="29" spans="1:10" ht="13.8" thickBot="1">
      <c r="A29" s="4"/>
      <c r="B29" s="316"/>
      <c r="C29" s="22" t="s">
        <v>121</v>
      </c>
      <c r="D29" s="7" t="s">
        <v>123</v>
      </c>
      <c r="E29" s="8" t="s">
        <v>124</v>
      </c>
    </row>
    <row r="30" spans="1:10" ht="13.5" customHeight="1">
      <c r="A30" s="4"/>
      <c r="B30" s="101" t="s">
        <v>98</v>
      </c>
      <c r="C30" s="63">
        <f>0.000332+0.00105*(-($B$7))*EXP((0.0251)*($B$6+460)-20.43)</f>
        <v>5.8588927901473853E-4</v>
      </c>
      <c r="D30" s="24">
        <f>$B$5*C30</f>
        <v>0.14647231975368463</v>
      </c>
      <c r="E30" s="30">
        <f>$B$5*C30*8760/2000</f>
        <v>0.64154876052113863</v>
      </c>
    </row>
    <row r="31" spans="1:10" ht="16.8">
      <c r="A31" s="4"/>
      <c r="B31" s="121" t="s">
        <v>95</v>
      </c>
      <c r="C31" s="64">
        <f>0.000332+0.00105*(-($B$7))*EXP((0.0251)*($B$6+460)-20.43)</f>
        <v>5.8588927901473853E-4</v>
      </c>
      <c r="D31" s="24">
        <f>$B$5*C31</f>
        <v>0.14647231975368463</v>
      </c>
      <c r="E31" s="30">
        <f>$B$5*C31*8760/2000</f>
        <v>0.64154876052113863</v>
      </c>
    </row>
    <row r="32" spans="1:10" ht="16.8">
      <c r="A32" s="4"/>
      <c r="B32" s="121" t="s">
        <v>96</v>
      </c>
      <c r="C32" s="64">
        <f>0.000332+0.00105*(-($B$7))*EXP((0.0251)*($B$6+460)-20.43)</f>
        <v>5.8588927901473853E-4</v>
      </c>
      <c r="D32" s="24">
        <f>$B$5*C32</f>
        <v>0.14647231975368463</v>
      </c>
      <c r="E32" s="30">
        <f>$B$5*C32*8760/2000</f>
        <v>0.64154876052113863</v>
      </c>
    </row>
    <row r="33" spans="1:5" ht="15.6">
      <c r="A33" s="4"/>
      <c r="B33" s="102" t="s">
        <v>94</v>
      </c>
      <c r="C33" s="64">
        <f>0.0504*(-($B$7))*EXP((0.0251)*($B$6+460)-20.43)</f>
        <v>1.2186685392707451E-2</v>
      </c>
      <c r="D33" s="24">
        <f>$B$5*C33</f>
        <v>3.0466713481768628</v>
      </c>
      <c r="E33" s="30">
        <f>$B$5*C33*8760/2000</f>
        <v>13.344420505014659</v>
      </c>
    </row>
    <row r="34" spans="1:5" ht="13.8" thickBot="1">
      <c r="A34" s="5"/>
      <c r="B34" s="27" t="s">
        <v>118</v>
      </c>
      <c r="C34" s="65">
        <f>(0.00488*(-($B$7))*EXP((0.0251)*($B$6+460)-20.43))*0.94</f>
        <v>1.1091818101870558E-3</v>
      </c>
      <c r="D34" s="28">
        <f>$B$5*C34</f>
        <v>0.27729545254676397</v>
      </c>
      <c r="E34" s="31">
        <f>$B$5*C34*8760/2000</f>
        <v>1.2145540821548262</v>
      </c>
    </row>
    <row r="35" spans="1:5" ht="13.8" thickTop="1"/>
    <row r="36" spans="1:5">
      <c r="A36" s="117" t="s">
        <v>87</v>
      </c>
    </row>
    <row r="37" spans="1:5">
      <c r="A37" s="118" t="s">
        <v>99</v>
      </c>
    </row>
    <row r="38" spans="1:5" ht="15">
      <c r="A38" s="118" t="s">
        <v>97</v>
      </c>
    </row>
    <row r="39" spans="1:5">
      <c r="A39" s="118" t="s">
        <v>100</v>
      </c>
    </row>
    <row r="41" spans="1:5">
      <c r="A41" s="117" t="s">
        <v>86</v>
      </c>
    </row>
    <row r="42" spans="1:5">
      <c r="A42" s="35" t="s">
        <v>204</v>
      </c>
    </row>
    <row r="43" spans="1:5">
      <c r="A43" s="35" t="s">
        <v>223</v>
      </c>
    </row>
  </sheetData>
  <mergeCells count="8">
    <mergeCell ref="B28:B29"/>
    <mergeCell ref="D19:E19"/>
    <mergeCell ref="D28:E28"/>
    <mergeCell ref="A1:J1"/>
    <mergeCell ref="C10:C11"/>
    <mergeCell ref="D10:E10"/>
    <mergeCell ref="B19:B20"/>
    <mergeCell ref="A2:K2"/>
  </mergeCells>
  <phoneticPr fontId="3" type="noConversion"/>
  <pageMargins left="0.75" right="0.75" top="1" bottom="1" header="0.5" footer="0.5"/>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pageSetUpPr fitToPage="1"/>
  </sheetPr>
  <dimension ref="A1:M44"/>
  <sheetViews>
    <sheetView workbookViewId="0">
      <selection activeCell="A2" sqref="A2:L2"/>
    </sheetView>
  </sheetViews>
  <sheetFormatPr defaultColWidth="8.77734375" defaultRowHeight="13.2"/>
  <cols>
    <col min="1" max="1" width="14.77734375" customWidth="1"/>
    <col min="2" max="2" width="21" customWidth="1"/>
    <col min="3" max="3" width="14.44140625" customWidth="1"/>
    <col min="4" max="4" width="22.33203125" customWidth="1"/>
    <col min="5" max="5" width="16.77734375" customWidth="1"/>
    <col min="6" max="6" width="12.44140625" customWidth="1"/>
    <col min="7" max="7" width="10.33203125" customWidth="1"/>
    <col min="8" max="8" width="16.6640625" customWidth="1"/>
    <col min="9" max="9" width="13.109375" customWidth="1"/>
    <col min="10" max="10" width="12.33203125" customWidth="1"/>
    <col min="11" max="11" width="16.33203125" customWidth="1"/>
    <col min="12" max="12" width="11.77734375" customWidth="1"/>
    <col min="15" max="15" width="14.77734375" customWidth="1"/>
    <col min="18" max="18" width="15" customWidth="1"/>
  </cols>
  <sheetData>
    <row r="1" spans="1:12" ht="21">
      <c r="A1" s="296" t="s">
        <v>230</v>
      </c>
      <c r="B1" s="296"/>
      <c r="C1" s="296"/>
      <c r="D1" s="296"/>
      <c r="E1" s="296"/>
      <c r="F1" s="296"/>
      <c r="G1" s="296"/>
      <c r="H1" s="296"/>
      <c r="I1" s="296"/>
      <c r="J1" s="296"/>
      <c r="K1" s="296"/>
      <c r="L1" s="296"/>
    </row>
    <row r="2" spans="1:12">
      <c r="A2" s="297">
        <v>41590</v>
      </c>
      <c r="B2" s="297"/>
      <c r="C2" s="297"/>
      <c r="D2" s="297"/>
      <c r="E2" s="297"/>
      <c r="F2" s="297"/>
      <c r="G2" s="297"/>
      <c r="H2" s="297"/>
      <c r="I2" s="297"/>
      <c r="J2" s="297"/>
      <c r="K2" s="297"/>
      <c r="L2" s="297"/>
    </row>
    <row r="4" spans="1:12" ht="15.6">
      <c r="B4" s="116" t="s">
        <v>232</v>
      </c>
    </row>
    <row r="5" spans="1:12">
      <c r="B5" s="100">
        <f>Inputs!D16</f>
        <v>250</v>
      </c>
      <c r="C5" s="35" t="s">
        <v>82</v>
      </c>
      <c r="I5" s="47"/>
    </row>
    <row r="6" spans="1:12">
      <c r="B6" s="266">
        <f>Inputs!D28</f>
        <v>0.5</v>
      </c>
      <c r="C6" t="s">
        <v>49</v>
      </c>
      <c r="H6" s="47" t="s">
        <v>8</v>
      </c>
    </row>
    <row r="7" spans="1:12">
      <c r="B7" s="100">
        <f>Inputs!D29</f>
        <v>3</v>
      </c>
      <c r="C7" t="s">
        <v>50</v>
      </c>
      <c r="H7" s="2" t="s">
        <v>128</v>
      </c>
    </row>
    <row r="8" spans="1:12">
      <c r="B8" s="100">
        <f>Inputs!D30</f>
        <v>1</v>
      </c>
      <c r="C8" t="s">
        <v>51</v>
      </c>
    </row>
    <row r="9" spans="1:12">
      <c r="B9" s="100">
        <f>Inputs!D31</f>
        <v>2</v>
      </c>
      <c r="C9" t="s">
        <v>52</v>
      </c>
    </row>
    <row r="10" spans="1:12">
      <c r="B10" s="100">
        <f>Inputs!D32</f>
        <v>1</v>
      </c>
      <c r="C10" t="s">
        <v>53</v>
      </c>
    </row>
    <row r="12" spans="1:12" ht="13.8" thickBot="1"/>
    <row r="13" spans="1:12" ht="13.8" thickTop="1">
      <c r="C13" s="311" t="s">
        <v>119</v>
      </c>
      <c r="D13" s="261" t="s">
        <v>68</v>
      </c>
    </row>
    <row r="14" spans="1:12" ht="13.8" thickBot="1">
      <c r="B14" s="98"/>
      <c r="C14" s="312"/>
      <c r="D14" s="8" t="s">
        <v>65</v>
      </c>
    </row>
    <row r="15" spans="1:12">
      <c r="B15" s="46" t="s">
        <v>48</v>
      </c>
      <c r="C15" s="258" t="s">
        <v>117</v>
      </c>
      <c r="D15" s="262">
        <f>SUM(G26:G27)</f>
        <v>16.425000000000001</v>
      </c>
    </row>
    <row r="16" spans="1:12" ht="15.6">
      <c r="B16" s="6"/>
      <c r="C16" s="259" t="s">
        <v>70</v>
      </c>
      <c r="D16" s="263">
        <f>SUM(J26:J27)</f>
        <v>6.0224999999999991</v>
      </c>
    </row>
    <row r="17" spans="1:13" ht="16.2" thickBot="1">
      <c r="B17" s="6"/>
      <c r="C17" s="260" t="s">
        <v>69</v>
      </c>
      <c r="D17" s="264">
        <f>SUM(M26:M27)</f>
        <v>6.0224999999999991</v>
      </c>
    </row>
    <row r="18" spans="1:13">
      <c r="B18" s="46" t="s">
        <v>47</v>
      </c>
      <c r="C18" s="258" t="s">
        <v>117</v>
      </c>
      <c r="D18" s="262">
        <f>SUM(G33:G34)</f>
        <v>2.4089999999999998</v>
      </c>
    </row>
    <row r="19" spans="1:13" ht="15.6">
      <c r="B19" s="6"/>
      <c r="C19" s="259" t="s">
        <v>70</v>
      </c>
      <c r="D19" s="263">
        <f>SUM(J33:J34)</f>
        <v>0.81029999999999991</v>
      </c>
    </row>
    <row r="20" spans="1:13" ht="16.2" thickBot="1">
      <c r="B20" s="6"/>
      <c r="C20" s="260" t="s">
        <v>69</v>
      </c>
      <c r="D20" s="264">
        <f>SUM(M33:M34)</f>
        <v>5.475E-2</v>
      </c>
    </row>
    <row r="21" spans="1:13" ht="13.8" thickBot="1"/>
    <row r="22" spans="1:13" ht="13.8" thickTop="1">
      <c r="A22" s="3" t="s">
        <v>55</v>
      </c>
      <c r="B22" s="53"/>
      <c r="C22" s="53"/>
      <c r="D22" s="53"/>
      <c r="E22" s="307" t="s">
        <v>139</v>
      </c>
      <c r="F22" s="308"/>
      <c r="G22" s="308"/>
      <c r="H22" s="308"/>
      <c r="I22" s="308"/>
      <c r="J22" s="308"/>
      <c r="K22" s="308"/>
      <c r="L22" s="308"/>
      <c r="M22" s="309"/>
    </row>
    <row r="23" spans="1:13" ht="17.399999999999999" thickBot="1">
      <c r="A23" s="4"/>
      <c r="B23" s="96"/>
      <c r="C23" s="96"/>
      <c r="D23" s="96"/>
      <c r="E23" s="330" t="s">
        <v>117</v>
      </c>
      <c r="F23" s="330"/>
      <c r="G23" s="330"/>
      <c r="H23" s="332" t="s">
        <v>70</v>
      </c>
      <c r="I23" s="330"/>
      <c r="J23" s="330"/>
      <c r="K23" s="332" t="s">
        <v>96</v>
      </c>
      <c r="L23" s="330"/>
      <c r="M23" s="330"/>
    </row>
    <row r="24" spans="1:13" ht="15.6">
      <c r="A24" s="4" t="s">
        <v>56</v>
      </c>
      <c r="B24" s="315" t="s">
        <v>58</v>
      </c>
      <c r="C24" s="331" t="s">
        <v>134</v>
      </c>
      <c r="D24" s="132" t="s">
        <v>138</v>
      </c>
      <c r="E24" s="123" t="s">
        <v>93</v>
      </c>
      <c r="F24" s="333" t="s">
        <v>68</v>
      </c>
      <c r="G24" s="324"/>
      <c r="H24" s="123" t="s">
        <v>93</v>
      </c>
      <c r="I24" s="333" t="s">
        <v>68</v>
      </c>
      <c r="J24" s="324"/>
      <c r="K24" s="123" t="s">
        <v>93</v>
      </c>
      <c r="L24" s="333" t="s">
        <v>68</v>
      </c>
      <c r="M24" s="306"/>
    </row>
    <row r="25" spans="1:13" ht="13.8" thickBot="1">
      <c r="A25" s="4" t="s">
        <v>57</v>
      </c>
      <c r="B25" s="316"/>
      <c r="C25" s="316"/>
      <c r="D25" s="105" t="s">
        <v>142</v>
      </c>
      <c r="E25" s="105" t="s">
        <v>85</v>
      </c>
      <c r="F25" s="113" t="s">
        <v>143</v>
      </c>
      <c r="G25" s="20" t="s">
        <v>65</v>
      </c>
      <c r="H25" s="22" t="s">
        <v>85</v>
      </c>
      <c r="I25" s="113" t="s">
        <v>143</v>
      </c>
      <c r="J25" s="20" t="s">
        <v>65</v>
      </c>
      <c r="K25" s="22" t="s">
        <v>85</v>
      </c>
      <c r="L25" s="113" t="s">
        <v>143</v>
      </c>
      <c r="M25" s="8" t="s">
        <v>65</v>
      </c>
    </row>
    <row r="26" spans="1:13">
      <c r="A26" s="169"/>
      <c r="B26" s="168" t="s">
        <v>136</v>
      </c>
      <c r="C26" s="256">
        <f>B7</f>
        <v>3</v>
      </c>
      <c r="D26" s="256">
        <f>B5*(1-B6)</f>
        <v>125</v>
      </c>
      <c r="E26" s="103">
        <v>3.0000000000000001E-3</v>
      </c>
      <c r="F26" s="175">
        <f>D26*E26</f>
        <v>0.375</v>
      </c>
      <c r="G26" s="109">
        <f>$B$5*E26*8760/2000*$C26</f>
        <v>9.8550000000000004</v>
      </c>
      <c r="H26" s="103">
        <v>1.1000000000000001E-3</v>
      </c>
      <c r="I26" s="175">
        <f>D26*H26</f>
        <v>0.13750000000000001</v>
      </c>
      <c r="J26" s="109">
        <f>$B$5*H26*8760/2000*$C26</f>
        <v>3.6134999999999997</v>
      </c>
      <c r="K26" s="103">
        <f>H26</f>
        <v>1.1000000000000001E-3</v>
      </c>
      <c r="L26" s="175">
        <f>D26*K26</f>
        <v>0.13750000000000001</v>
      </c>
      <c r="M26" s="106">
        <f>$B$5*K26*8760/2000*$C26</f>
        <v>3.6134999999999997</v>
      </c>
    </row>
    <row r="27" spans="1:13" ht="13.8" thickBot="1">
      <c r="A27" s="170"/>
      <c r="B27" s="171" t="s">
        <v>137</v>
      </c>
      <c r="C27" s="257">
        <f>B9</f>
        <v>2</v>
      </c>
      <c r="D27" s="257">
        <f>B5*B6</f>
        <v>125</v>
      </c>
      <c r="E27" s="172">
        <v>3.0000000000000001E-3</v>
      </c>
      <c r="F27" s="176">
        <f>D27*E27</f>
        <v>0.375</v>
      </c>
      <c r="G27" s="173">
        <f>$B$5*E27*8760/2000*$C27</f>
        <v>6.57</v>
      </c>
      <c r="H27" s="172">
        <v>1.1000000000000001E-3</v>
      </c>
      <c r="I27" s="176">
        <f>D27*H27</f>
        <v>0.13750000000000001</v>
      </c>
      <c r="J27" s="173">
        <f>$B$5*H27*8760/2000*$C27</f>
        <v>2.4089999999999998</v>
      </c>
      <c r="K27" s="172">
        <f>H27</f>
        <v>1.1000000000000001E-3</v>
      </c>
      <c r="L27" s="176">
        <f>D27*K27</f>
        <v>0.13750000000000001</v>
      </c>
      <c r="M27" s="174">
        <f>$B$5*K27*8760/2000*$C27</f>
        <v>2.4089999999999998</v>
      </c>
    </row>
    <row r="28" spans="1:13" ht="14.4" thickTop="1" thickBot="1"/>
    <row r="29" spans="1:13" ht="13.8" thickTop="1">
      <c r="A29" s="77" t="s">
        <v>59</v>
      </c>
      <c r="B29" s="53"/>
      <c r="C29" s="53"/>
      <c r="D29" s="53"/>
      <c r="E29" s="307" t="s">
        <v>139</v>
      </c>
      <c r="F29" s="308"/>
      <c r="G29" s="308"/>
      <c r="H29" s="308"/>
      <c r="I29" s="308"/>
      <c r="J29" s="308"/>
      <c r="K29" s="308"/>
      <c r="L29" s="308"/>
      <c r="M29" s="309"/>
    </row>
    <row r="30" spans="1:13" ht="16.2" thickBot="1">
      <c r="A30" s="4"/>
      <c r="B30" s="96"/>
      <c r="C30" s="96"/>
      <c r="D30" s="96"/>
      <c r="E30" s="330" t="s">
        <v>117</v>
      </c>
      <c r="F30" s="330"/>
      <c r="G30" s="330"/>
      <c r="H30" s="332" t="s">
        <v>70</v>
      </c>
      <c r="I30" s="330"/>
      <c r="J30" s="330"/>
      <c r="K30" s="332" t="s">
        <v>69</v>
      </c>
      <c r="L30" s="330"/>
      <c r="M30" s="330"/>
    </row>
    <row r="31" spans="1:13" ht="15.6">
      <c r="A31" s="4" t="s">
        <v>56</v>
      </c>
      <c r="B31" s="315" t="s">
        <v>58</v>
      </c>
      <c r="C31" s="331" t="s">
        <v>134</v>
      </c>
      <c r="D31" s="132" t="s">
        <v>138</v>
      </c>
      <c r="E31" s="123" t="s">
        <v>93</v>
      </c>
      <c r="F31" s="333" t="s">
        <v>83</v>
      </c>
      <c r="G31" s="324"/>
      <c r="H31" s="123" t="s">
        <v>93</v>
      </c>
      <c r="I31" s="333" t="s">
        <v>83</v>
      </c>
      <c r="J31" s="324"/>
      <c r="K31" s="123" t="s">
        <v>93</v>
      </c>
      <c r="L31" s="333" t="s">
        <v>83</v>
      </c>
      <c r="M31" s="306"/>
    </row>
    <row r="32" spans="1:13" ht="13.8" thickBot="1">
      <c r="A32" s="4" t="s">
        <v>57</v>
      </c>
      <c r="B32" s="316"/>
      <c r="C32" s="316"/>
      <c r="D32" s="105" t="s">
        <v>142</v>
      </c>
      <c r="E32" s="22" t="s">
        <v>85</v>
      </c>
      <c r="F32" s="113" t="s">
        <v>143</v>
      </c>
      <c r="G32" s="20" t="s">
        <v>65</v>
      </c>
      <c r="H32" s="22" t="s">
        <v>85</v>
      </c>
      <c r="I32" s="113" t="s">
        <v>143</v>
      </c>
      <c r="J32" s="20" t="s">
        <v>65</v>
      </c>
      <c r="K32" s="22" t="s">
        <v>85</v>
      </c>
      <c r="L32" s="113" t="s">
        <v>143</v>
      </c>
      <c r="M32" s="8" t="s">
        <v>65</v>
      </c>
    </row>
    <row r="33" spans="1:13">
      <c r="A33" s="169"/>
      <c r="B33" s="168" t="s">
        <v>140</v>
      </c>
      <c r="C33" s="256">
        <f>B8</f>
        <v>1</v>
      </c>
      <c r="D33" s="256">
        <f>B5*(1-B6)</f>
        <v>125</v>
      </c>
      <c r="E33" s="103">
        <v>1.1000000000000001E-3</v>
      </c>
      <c r="F33" s="175">
        <f>D33*E33</f>
        <v>0.13750000000000001</v>
      </c>
      <c r="G33" s="109">
        <f>$B$5*E33*8760/2000*$C33</f>
        <v>1.2044999999999999</v>
      </c>
      <c r="H33" s="177">
        <v>3.6999999999999999E-4</v>
      </c>
      <c r="I33" s="175">
        <f>D33*H33</f>
        <v>4.6249999999999999E-2</v>
      </c>
      <c r="J33" s="109">
        <f>$B$5*H33*8760/2000*$C33</f>
        <v>0.40514999999999995</v>
      </c>
      <c r="K33" s="179">
        <v>2.5000000000000001E-5</v>
      </c>
      <c r="L33" s="175">
        <f>D33*K33</f>
        <v>3.1250000000000002E-3</v>
      </c>
      <c r="M33" s="106">
        <f>$B$5*K33*8760/2000*$C33</f>
        <v>2.7375E-2</v>
      </c>
    </row>
    <row r="34" spans="1:13" ht="13.8" thickBot="1">
      <c r="A34" s="170"/>
      <c r="B34" s="171" t="s">
        <v>141</v>
      </c>
      <c r="C34" s="257">
        <f>B10</f>
        <v>1</v>
      </c>
      <c r="D34" s="257">
        <f>B5*B6</f>
        <v>125</v>
      </c>
      <c r="E34" s="172">
        <v>1.1000000000000001E-3</v>
      </c>
      <c r="F34" s="176">
        <f>D34*E34</f>
        <v>0.13750000000000001</v>
      </c>
      <c r="G34" s="173">
        <f>$B$5*E34*8760/2000*$C34</f>
        <v>1.2044999999999999</v>
      </c>
      <c r="H34" s="178">
        <v>3.6999999999999999E-4</v>
      </c>
      <c r="I34" s="176">
        <f>D34*H34</f>
        <v>4.6249999999999999E-2</v>
      </c>
      <c r="J34" s="173">
        <f>$B$5*H34*8760/2000*$C34</f>
        <v>0.40514999999999995</v>
      </c>
      <c r="K34" s="180">
        <v>2.5000000000000001E-5</v>
      </c>
      <c r="L34" s="176">
        <f>D34*K34</f>
        <v>3.1250000000000002E-3</v>
      </c>
      <c r="M34" s="174">
        <f>$B$5*K34*8760/2000*$C34</f>
        <v>2.7375E-2</v>
      </c>
    </row>
    <row r="35" spans="1:13" ht="13.8" thickTop="1">
      <c r="A35" s="50"/>
      <c r="B35" s="34"/>
      <c r="C35" s="164"/>
      <c r="D35" s="165"/>
      <c r="E35" s="166"/>
      <c r="F35" s="167"/>
      <c r="G35" s="165"/>
      <c r="H35" s="166"/>
      <c r="I35" s="48"/>
      <c r="J35" s="165"/>
      <c r="K35" s="166"/>
    </row>
    <row r="36" spans="1:13">
      <c r="A36" s="117" t="s">
        <v>87</v>
      </c>
    </row>
    <row r="37" spans="1:13">
      <c r="A37" s="118" t="s">
        <v>133</v>
      </c>
    </row>
    <row r="38" spans="1:13">
      <c r="A38" s="118" t="s">
        <v>208</v>
      </c>
    </row>
    <row r="39" spans="1:13" ht="15">
      <c r="A39" s="118" t="s">
        <v>115</v>
      </c>
    </row>
    <row r="41" spans="1:13">
      <c r="A41" s="117" t="s">
        <v>86</v>
      </c>
    </row>
    <row r="42" spans="1:13">
      <c r="A42" s="35" t="s">
        <v>209</v>
      </c>
    </row>
    <row r="43" spans="1:13">
      <c r="A43" s="35" t="s">
        <v>210</v>
      </c>
    </row>
    <row r="44" spans="1:13">
      <c r="A44" s="50"/>
      <c r="B44" s="34"/>
      <c r="C44" s="164"/>
      <c r="D44" s="165"/>
      <c r="E44" s="166"/>
      <c r="F44" s="167"/>
      <c r="G44" s="165"/>
      <c r="H44" s="166"/>
      <c r="I44" s="48"/>
      <c r="J44" s="165"/>
      <c r="K44" s="166"/>
    </row>
  </sheetData>
  <mergeCells count="21">
    <mergeCell ref="B31:B32"/>
    <mergeCell ref="C31:C32"/>
    <mergeCell ref="F31:G31"/>
    <mergeCell ref="I31:J31"/>
    <mergeCell ref="L31:M31"/>
    <mergeCell ref="A1:L1"/>
    <mergeCell ref="A2:L2"/>
    <mergeCell ref="E22:M22"/>
    <mergeCell ref="C13:C14"/>
    <mergeCell ref="E30:G30"/>
    <mergeCell ref="E29:M29"/>
    <mergeCell ref="B24:B25"/>
    <mergeCell ref="C24:C25"/>
    <mergeCell ref="K23:M23"/>
    <mergeCell ref="E23:G23"/>
    <mergeCell ref="H30:J30"/>
    <mergeCell ref="K30:M30"/>
    <mergeCell ref="F24:G24"/>
    <mergeCell ref="I24:J24"/>
    <mergeCell ref="L24:M24"/>
    <mergeCell ref="H23:J23"/>
  </mergeCells>
  <phoneticPr fontId="29" type="noConversion"/>
  <pageMargins left="0.7" right="0.7" top="0.75" bottom="0.75" header="0.3" footer="0.3"/>
  <headerFooter>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35"/>
  <sheetViews>
    <sheetView workbookViewId="0">
      <selection activeCell="D2" sqref="D2"/>
    </sheetView>
  </sheetViews>
  <sheetFormatPr defaultColWidth="8.77734375" defaultRowHeight="13.2"/>
  <cols>
    <col min="1" max="1" width="14.77734375" customWidth="1"/>
    <col min="2" max="2" width="21" customWidth="1"/>
    <col min="3" max="3" width="14.44140625" customWidth="1"/>
    <col min="4" max="4" width="22.33203125" customWidth="1"/>
    <col min="5" max="5" width="16.77734375" customWidth="1"/>
    <col min="6" max="6" width="12.44140625" customWidth="1"/>
    <col min="7" max="7" width="10.33203125" customWidth="1"/>
    <col min="8" max="8" width="16.6640625" customWidth="1"/>
    <col min="9" max="9" width="13.109375" customWidth="1"/>
    <col min="10" max="10" width="12.33203125" customWidth="1"/>
    <col min="11" max="11" width="16.33203125" customWidth="1"/>
    <col min="12" max="12" width="11.77734375" customWidth="1"/>
    <col min="15" max="15" width="14.77734375" customWidth="1"/>
    <col min="18" max="18" width="15" customWidth="1"/>
  </cols>
  <sheetData>
    <row r="1" spans="1:12" s="283" customFormat="1" ht="21">
      <c r="B1" s="280"/>
      <c r="C1" s="280"/>
      <c r="D1" s="285" t="s">
        <v>230</v>
      </c>
      <c r="E1" s="280"/>
      <c r="F1" s="280"/>
      <c r="G1" s="280"/>
      <c r="H1" s="280"/>
      <c r="I1" s="280"/>
      <c r="J1" s="280"/>
      <c r="K1" s="280"/>
      <c r="L1" s="280"/>
    </row>
    <row r="2" spans="1:12" s="283" customFormat="1">
      <c r="B2" s="281"/>
      <c r="C2" s="281"/>
      <c r="D2" s="92">
        <v>41590</v>
      </c>
      <c r="E2" s="281"/>
      <c r="F2" s="281"/>
      <c r="G2" s="281"/>
      <c r="H2" s="281"/>
      <c r="I2" s="281"/>
      <c r="J2" s="281"/>
      <c r="K2" s="281"/>
      <c r="L2" s="281"/>
    </row>
    <row r="4" spans="1:12" ht="15.6">
      <c r="B4" s="116" t="s">
        <v>233</v>
      </c>
    </row>
    <row r="5" spans="1:12">
      <c r="B5" s="100">
        <f>Inputs!D16</f>
        <v>250</v>
      </c>
      <c r="C5" s="35" t="s">
        <v>82</v>
      </c>
    </row>
    <row r="6" spans="1:12">
      <c r="B6" s="267">
        <f>B5*8760</f>
        <v>2190000</v>
      </c>
      <c r="C6" s="35" t="s">
        <v>213</v>
      </c>
      <c r="I6" s="47"/>
    </row>
    <row r="7" spans="1:12">
      <c r="B7" s="100">
        <f>Inputs!D33</f>
        <v>1.8</v>
      </c>
      <c r="C7" s="35" t="s">
        <v>156</v>
      </c>
      <c r="F7" s="47" t="s">
        <v>8</v>
      </c>
    </row>
    <row r="8" spans="1:12">
      <c r="B8" s="100">
        <f>Inputs!D52</f>
        <v>15</v>
      </c>
      <c r="C8" t="s">
        <v>54</v>
      </c>
      <c r="F8" s="2" t="s">
        <v>128</v>
      </c>
    </row>
    <row r="9" spans="1:12">
      <c r="B9" s="100"/>
    </row>
    <row r="10" spans="1:12" s="118" customFormat="1" ht="12.75" customHeight="1">
      <c r="E10"/>
      <c r="F10"/>
    </row>
    <row r="11" spans="1:12" s="118" customFormat="1" ht="12.75" customHeight="1">
      <c r="A11"/>
      <c r="B11" s="183" t="s">
        <v>155</v>
      </c>
      <c r="E11"/>
      <c r="F11"/>
    </row>
    <row r="12" spans="1:12" s="118" customFormat="1">
      <c r="A12"/>
      <c r="B12" s="183" t="s">
        <v>153</v>
      </c>
      <c r="E12"/>
      <c r="F12"/>
    </row>
    <row r="13" spans="1:12" s="118" customFormat="1">
      <c r="A13"/>
      <c r="B13" s="6"/>
      <c r="E13"/>
      <c r="F13"/>
    </row>
    <row r="14" spans="1:12" ht="15.6">
      <c r="C14" s="6" t="s">
        <v>144</v>
      </c>
      <c r="D14" s="181" t="s">
        <v>145</v>
      </c>
      <c r="E14" s="181"/>
      <c r="F14" s="118"/>
      <c r="G14" s="118"/>
    </row>
    <row r="15" spans="1:12" ht="15.6">
      <c r="C15" s="6"/>
      <c r="D15" t="s">
        <v>146</v>
      </c>
      <c r="F15" s="118"/>
      <c r="G15" s="118"/>
    </row>
    <row r="16" spans="1:12">
      <c r="C16" s="6"/>
      <c r="F16" s="118"/>
      <c r="G16" s="118"/>
    </row>
    <row r="17" spans="1:9">
      <c r="B17" s="6"/>
      <c r="C17" t="s">
        <v>147</v>
      </c>
      <c r="E17" s="6"/>
    </row>
    <row r="18" spans="1:9">
      <c r="B18" s="6"/>
      <c r="C18" s="6" t="s">
        <v>144</v>
      </c>
      <c r="D18" t="s">
        <v>148</v>
      </c>
      <c r="E18" s="6"/>
    </row>
    <row r="19" spans="1:9" ht="15.6">
      <c r="B19" s="6"/>
      <c r="C19" s="6" t="s">
        <v>149</v>
      </c>
      <c r="D19" t="s">
        <v>234</v>
      </c>
      <c r="E19" s="6"/>
      <c r="F19" s="118"/>
      <c r="G19" s="184" t="s">
        <v>154</v>
      </c>
    </row>
    <row r="20" spans="1:9">
      <c r="B20" s="6"/>
      <c r="C20" s="6" t="s">
        <v>150</v>
      </c>
      <c r="D20" s="35" t="s">
        <v>159</v>
      </c>
      <c r="E20" s="6"/>
      <c r="F20" s="93">
        <f>B8</f>
        <v>15</v>
      </c>
      <c r="G20" s="35" t="s">
        <v>161</v>
      </c>
    </row>
    <row r="21" spans="1:9">
      <c r="B21" s="6"/>
      <c r="C21" s="6" t="s">
        <v>151</v>
      </c>
      <c r="D21" t="s">
        <v>152</v>
      </c>
      <c r="E21" s="6"/>
      <c r="F21" s="93">
        <f>B7</f>
        <v>1.8</v>
      </c>
      <c r="G21" s="35" t="s">
        <v>160</v>
      </c>
    </row>
    <row r="22" spans="1:9">
      <c r="A22" s="35" t="s">
        <v>77</v>
      </c>
      <c r="B22" s="98" t="s">
        <v>77</v>
      </c>
      <c r="E22" s="6"/>
    </row>
    <row r="23" spans="1:9" ht="13.8" thickBot="1">
      <c r="B23" s="6"/>
      <c r="C23" s="35" t="s">
        <v>77</v>
      </c>
      <c r="E23" s="185" t="s">
        <v>77</v>
      </c>
      <c r="F23" s="35" t="s">
        <v>77</v>
      </c>
    </row>
    <row r="24" spans="1:9" ht="16.2" thickTop="1">
      <c r="C24" s="326" t="s">
        <v>119</v>
      </c>
      <c r="D24" s="186" t="s">
        <v>120</v>
      </c>
      <c r="E24" s="192" t="s">
        <v>162</v>
      </c>
      <c r="F24" s="199" t="s">
        <v>68</v>
      </c>
    </row>
    <row r="25" spans="1:9" ht="13.8" thickBot="1">
      <c r="B25" s="98"/>
      <c r="C25" s="327"/>
      <c r="D25" s="105" t="s">
        <v>121</v>
      </c>
      <c r="E25" s="193" t="s">
        <v>23</v>
      </c>
      <c r="F25" s="200" t="s">
        <v>65</v>
      </c>
    </row>
    <row r="26" spans="1:9">
      <c r="B26" s="46" t="s">
        <v>77</v>
      </c>
      <c r="C26" s="90" t="s">
        <v>117</v>
      </c>
      <c r="D26" s="189">
        <f>0.74*0.0032*($F$20/5)^1.3/($F$21/2)^1.4</f>
        <v>1.1447214373123307E-2</v>
      </c>
      <c r="E26" s="196">
        <v>0.5</v>
      </c>
      <c r="F26" s="106">
        <f>D26*$B$6/2000*(1-E26)</f>
        <v>6.2673498692850105</v>
      </c>
    </row>
    <row r="27" spans="1:9" ht="15.6">
      <c r="B27" s="6"/>
      <c r="C27" s="49" t="s">
        <v>70</v>
      </c>
      <c r="D27" s="190">
        <f>0.35*0.0032*($F$20/5)^1.3/($F$21/2)^1.4</f>
        <v>5.414223014315077E-3</v>
      </c>
      <c r="E27" s="197">
        <v>0.5</v>
      </c>
      <c r="F27" s="107">
        <f>D27*$B$6/2000*(1-E27)</f>
        <v>2.9642871003375046</v>
      </c>
    </row>
    <row r="28" spans="1:9" ht="16.2" thickBot="1">
      <c r="B28" s="6"/>
      <c r="C28" s="86" t="s">
        <v>69</v>
      </c>
      <c r="D28" s="191">
        <f>0.053*0.0032*($F$20/5)^1.3/($F$21/2)^1.4</f>
        <v>8.198680564534261E-4</v>
      </c>
      <c r="E28" s="198">
        <v>0.5</v>
      </c>
      <c r="F28" s="108">
        <f>D28*$B$6/2000*(1-E28)</f>
        <v>0.44887776090825077</v>
      </c>
    </row>
    <row r="29" spans="1:9" ht="13.8" thickTop="1">
      <c r="B29" s="6"/>
      <c r="C29" s="48"/>
      <c r="D29" s="194"/>
      <c r="E29" s="195"/>
      <c r="F29" s="166"/>
    </row>
    <row r="30" spans="1:9">
      <c r="A30" s="1" t="s">
        <v>87</v>
      </c>
      <c r="B30" s="6"/>
      <c r="C30" s="48"/>
      <c r="D30" s="194"/>
      <c r="E30" s="195"/>
      <c r="F30" s="166"/>
    </row>
    <row r="31" spans="1:9">
      <c r="A31" s="35" t="s">
        <v>211</v>
      </c>
      <c r="B31" s="6"/>
      <c r="C31" s="48"/>
      <c r="D31" s="194"/>
      <c r="E31" s="195"/>
      <c r="F31" s="166"/>
    </row>
    <row r="32" spans="1:9" s="118" customFormat="1" ht="17.25" customHeight="1">
      <c r="A32" s="182"/>
      <c r="B32" s="182"/>
      <c r="C32" s="182"/>
      <c r="D32" s="182"/>
      <c r="E32" s="182"/>
      <c r="F32" s="182"/>
      <c r="G32" s="182"/>
      <c r="H32" s="182"/>
      <c r="I32" s="182"/>
    </row>
    <row r="33" spans="1:11">
      <c r="A33" s="117" t="s">
        <v>86</v>
      </c>
    </row>
    <row r="34" spans="1:11">
      <c r="A34" s="35" t="s">
        <v>212</v>
      </c>
    </row>
    <row r="35" spans="1:11">
      <c r="A35" s="50"/>
      <c r="B35" s="34"/>
      <c r="C35" s="164"/>
      <c r="D35" s="165"/>
      <c r="E35" s="166"/>
      <c r="F35" s="167"/>
      <c r="G35" s="165"/>
      <c r="H35" s="166"/>
      <c r="I35" s="48"/>
      <c r="J35" s="165"/>
      <c r="K35" s="166"/>
    </row>
  </sheetData>
  <mergeCells count="1">
    <mergeCell ref="C24:C25"/>
  </mergeCells>
  <phoneticPr fontId="29" type="noConversion"/>
  <pageMargins left="0.7" right="0.7" top="0.75" bottom="0.75" header="0.3" footer="0.3"/>
  <headerFooter>
    <oddFooter>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pageSetUpPr fitToPage="1"/>
  </sheetPr>
  <dimension ref="A1:O23"/>
  <sheetViews>
    <sheetView workbookViewId="0">
      <selection activeCell="D2" sqref="D2"/>
    </sheetView>
  </sheetViews>
  <sheetFormatPr defaultColWidth="8.77734375" defaultRowHeight="13.2"/>
  <cols>
    <col min="1" max="1" width="15.77734375" bestFit="1" customWidth="1"/>
    <col min="3" max="3" width="15.109375" customWidth="1"/>
    <col min="4" max="4" width="10.6640625" customWidth="1"/>
    <col min="7" max="7" width="14.44140625" customWidth="1"/>
    <col min="8" max="8" width="10.44140625" customWidth="1"/>
  </cols>
  <sheetData>
    <row r="1" spans="1:15" s="283" customFormat="1" ht="21">
      <c r="B1" s="280"/>
      <c r="C1" s="280"/>
      <c r="D1" s="285" t="s">
        <v>230</v>
      </c>
      <c r="E1" s="280"/>
      <c r="F1" s="280"/>
      <c r="G1" s="280"/>
      <c r="H1" s="280"/>
      <c r="I1" s="280"/>
      <c r="J1" s="280"/>
      <c r="K1" s="91"/>
      <c r="L1" s="91"/>
      <c r="M1" s="91"/>
      <c r="N1" s="91"/>
      <c r="O1" s="91"/>
    </row>
    <row r="2" spans="1:15" s="283" customFormat="1">
      <c r="B2" s="281"/>
      <c r="C2" s="281"/>
      <c r="D2" s="92">
        <v>41590</v>
      </c>
      <c r="E2" s="281"/>
      <c r="F2" s="281"/>
      <c r="G2" s="281"/>
      <c r="H2" s="281"/>
      <c r="I2" s="281"/>
      <c r="J2" s="281"/>
      <c r="K2" s="92"/>
      <c r="L2" s="92"/>
      <c r="M2" s="92"/>
      <c r="N2" s="92"/>
      <c r="O2" s="92"/>
    </row>
    <row r="4" spans="1:15">
      <c r="B4" s="1" t="s">
        <v>131</v>
      </c>
    </row>
    <row r="5" spans="1:15">
      <c r="B5" s="85">
        <f>Inputs!D24</f>
        <v>25</v>
      </c>
      <c r="C5" s="35" t="s">
        <v>217</v>
      </c>
      <c r="G5" s="47" t="s">
        <v>8</v>
      </c>
    </row>
    <row r="6" spans="1:15">
      <c r="B6" s="271">
        <f>Inputs!D25</f>
        <v>0.98</v>
      </c>
      <c r="C6" s="154" t="s">
        <v>113</v>
      </c>
      <c r="G6" s="2" t="s">
        <v>128</v>
      </c>
    </row>
    <row r="8" spans="1:15" ht="13.8" thickBot="1"/>
    <row r="9" spans="1:15" ht="14.4" thickTop="1" thickBot="1">
      <c r="A9" s="3" t="s">
        <v>131</v>
      </c>
      <c r="B9" s="334" t="s">
        <v>132</v>
      </c>
      <c r="C9" s="308"/>
      <c r="D9" s="308"/>
      <c r="E9" s="308"/>
      <c r="F9" s="309"/>
    </row>
    <row r="10" spans="1:15">
      <c r="A10" s="104" t="s">
        <v>77</v>
      </c>
      <c r="B10" s="315" t="s">
        <v>119</v>
      </c>
      <c r="C10" s="21" t="s">
        <v>120</v>
      </c>
      <c r="D10" s="36" t="s">
        <v>6</v>
      </c>
      <c r="E10" s="333" t="s">
        <v>68</v>
      </c>
      <c r="F10" s="306"/>
    </row>
    <row r="11" spans="1:15" ht="13.8" thickBot="1">
      <c r="A11" s="4"/>
      <c r="B11" s="316"/>
      <c r="C11" s="22" t="s">
        <v>121</v>
      </c>
      <c r="D11" s="37" t="s">
        <v>7</v>
      </c>
      <c r="E11" s="7" t="s">
        <v>123</v>
      </c>
      <c r="F11" s="8" t="s">
        <v>124</v>
      </c>
    </row>
    <row r="12" spans="1:15">
      <c r="A12" s="39"/>
      <c r="B12" s="155" t="s">
        <v>117</v>
      </c>
      <c r="C12" s="156">
        <v>2.2000000000000002</v>
      </c>
      <c r="D12" s="272">
        <f>$B$6</f>
        <v>0.98</v>
      </c>
      <c r="E12" s="161">
        <f>$B$5*C12*(1-D12)</f>
        <v>1.1000000000000012</v>
      </c>
      <c r="F12" s="268">
        <f>E12*8760/2000</f>
        <v>4.8180000000000058</v>
      </c>
    </row>
    <row r="13" spans="1:15" ht="16.8">
      <c r="A13" s="39"/>
      <c r="B13" s="157" t="s">
        <v>95</v>
      </c>
      <c r="C13" s="158">
        <v>2.2000000000000002</v>
      </c>
      <c r="D13" s="273">
        <f>$B$6</f>
        <v>0.98</v>
      </c>
      <c r="E13" s="162">
        <f>$B$5*C13*(1-D13)</f>
        <v>1.1000000000000012</v>
      </c>
      <c r="F13" s="269">
        <f>E13*8760/2000</f>
        <v>4.8180000000000058</v>
      </c>
    </row>
    <row r="14" spans="1:15" ht="17.399999999999999" thickBot="1">
      <c r="A14" s="40"/>
      <c r="B14" s="159" t="s">
        <v>96</v>
      </c>
      <c r="C14" s="160">
        <v>2.2000000000000002</v>
      </c>
      <c r="D14" s="274">
        <f>$B$6</f>
        <v>0.98</v>
      </c>
      <c r="E14" s="163">
        <f>$B$5*C14*(1-D14)</f>
        <v>1.1000000000000012</v>
      </c>
      <c r="F14" s="270">
        <f>E14*8760/2000</f>
        <v>4.8180000000000058</v>
      </c>
    </row>
    <row r="15" spans="1:15" ht="13.8" thickTop="1">
      <c r="A15" s="50"/>
      <c r="B15" s="34"/>
      <c r="C15" s="54"/>
      <c r="D15" s="55"/>
      <c r="E15" s="56"/>
      <c r="F15" s="34"/>
      <c r="G15" s="54"/>
      <c r="H15" s="84"/>
      <c r="I15" s="55"/>
      <c r="J15" s="153"/>
    </row>
    <row r="17" spans="1:1">
      <c r="A17" s="117" t="s">
        <v>87</v>
      </c>
    </row>
    <row r="18" spans="1:1">
      <c r="A18" s="118" t="s">
        <v>114</v>
      </c>
    </row>
    <row r="19" spans="1:1" ht="15">
      <c r="A19" s="118" t="s">
        <v>97</v>
      </c>
    </row>
    <row r="21" spans="1:1">
      <c r="A21" s="117" t="s">
        <v>86</v>
      </c>
    </row>
    <row r="22" spans="1:1">
      <c r="A22" s="35" t="s">
        <v>216</v>
      </c>
    </row>
    <row r="23" spans="1:1">
      <c r="A23" s="35" t="s">
        <v>215</v>
      </c>
    </row>
  </sheetData>
  <mergeCells count="3">
    <mergeCell ref="B10:B11"/>
    <mergeCell ref="E10:F10"/>
    <mergeCell ref="B9:F9"/>
  </mergeCells>
  <phoneticPr fontId="3" type="noConversion"/>
  <pageMargins left="0.75" right="0.75" top="1" bottom="1" header="0.5" footer="0.5"/>
  <headerFooter alignWithMargins="0">
    <oddFooter>Page &amp;P of &amp;N</oddFooter>
  </headerFooter>
  <colBreaks count="1" manualBreakCount="1">
    <brk id="10" max="1048575" man="1"/>
  </colBreaks>
  <customProperties>
    <customPr name="DVSECTIONID" r:id="rId1"/>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77734375" defaultRowHeight="13.2"/>
  <sheetData>
    <row r="1" spans="1:256">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IF(Inputs!13:13,"AAAAAH3zvag=",0)</f>
        <v>0</v>
      </c>
      <c r="FN1" t="e">
        <f>AND(Inputs!A13,"AAAAAH3zvak=")</f>
        <v>#VALUE!</v>
      </c>
      <c r="FO1" t="e">
        <f>AND(Inputs!B13,"AAAAAH3zvao=")</f>
        <v>#VALUE!</v>
      </c>
      <c r="FP1" t="e">
        <f>AND(Inputs!C13,"AAAAAH3zvas=")</f>
        <v>#VALUE!</v>
      </c>
      <c r="FQ1" t="e">
        <f>AND(Inputs!D13,"AAAAAH3zvaw=")</f>
        <v>#VALUE!</v>
      </c>
      <c r="FR1" t="e">
        <f>AND(Inputs!E13,"AAAAAH3zva0=")</f>
        <v>#VALUE!</v>
      </c>
      <c r="FS1" t="e">
        <f>AND(Inputs!F13,"AAAAAH3zva4=")</f>
        <v>#VALUE!</v>
      </c>
      <c r="FT1" t="e">
        <f>AND(Inputs!G13,"AAAAAH3zva8=")</f>
        <v>#VALUE!</v>
      </c>
      <c r="FU1" t="e">
        <f>AND(Inputs!H13,"AAAAAH3zvbA=")</f>
        <v>#VALUE!</v>
      </c>
      <c r="FV1" t="e">
        <f>AND(Inputs!I13,"AAAAAH3zvbE=")</f>
        <v>#VALUE!</v>
      </c>
      <c r="FW1" t="e">
        <f>AND(Inputs!J13,"AAAAAH3zvbI=")</f>
        <v>#VALUE!</v>
      </c>
      <c r="FX1" t="e">
        <f>AND(Inputs!K13,"AAAAAH3zvbM=")</f>
        <v>#VALUE!</v>
      </c>
      <c r="FY1" t="e">
        <f>AND(Inputs!L13,"AAAAAH3zvbQ=")</f>
        <v>#VALUE!</v>
      </c>
      <c r="FZ1" t="e">
        <f>AND(Inputs!M13,"AAAAAH3zvbU=")</f>
        <v>#VALUE!</v>
      </c>
      <c r="GA1">
        <f>IF(Inputs!14:14,"AAAAAH3zvbY=",0)</f>
        <v>0</v>
      </c>
      <c r="GB1" t="e">
        <f>AND(Inputs!A14,"AAAAAH3zvbc=")</f>
        <v>#VALUE!</v>
      </c>
      <c r="GC1" t="e">
        <f>AND(Inputs!B14,"AAAAAH3zvbg=")</f>
        <v>#VALUE!</v>
      </c>
      <c r="GD1" t="e">
        <f>AND(Inputs!C14,"AAAAAH3zvbk=")</f>
        <v>#VALUE!</v>
      </c>
      <c r="GE1" t="e">
        <f>AND(Inputs!D14,"AAAAAH3zvbo=")</f>
        <v>#VALUE!</v>
      </c>
      <c r="GF1" t="e">
        <f>AND(Inputs!E14,"AAAAAH3zvbs=")</f>
        <v>#VALUE!</v>
      </c>
      <c r="GG1" t="e">
        <f>AND(Inputs!F14,"AAAAAH3zvbw=")</f>
        <v>#VALUE!</v>
      </c>
      <c r="GH1" t="e">
        <f>AND(Inputs!G14,"AAAAAH3zvb0=")</f>
        <v>#VALUE!</v>
      </c>
      <c r="GI1" t="e">
        <f>AND(Inputs!H14,"AAAAAH3zvb4=")</f>
        <v>#VALUE!</v>
      </c>
      <c r="GJ1" t="e">
        <f>AND(Inputs!I14,"AAAAAH3zvb8=")</f>
        <v>#VALUE!</v>
      </c>
      <c r="GK1" t="e">
        <f>AND(Inputs!J14,"AAAAAH3zvcA=")</f>
        <v>#VALUE!</v>
      </c>
      <c r="GL1" t="e">
        <f>AND(Inputs!K14,"AAAAAH3zvcE=")</f>
        <v>#VALUE!</v>
      </c>
      <c r="GM1" t="e">
        <f>AND(Inputs!L14,"AAAAAH3zvcI=")</f>
        <v>#VALUE!</v>
      </c>
      <c r="GN1" t="e">
        <f>AND(Inputs!M14,"AAAAAH3zvcM=")</f>
        <v>#VALUE!</v>
      </c>
      <c r="GO1">
        <f>IF(Inputs!15:15,"AAAAAH3zvcQ=",0)</f>
        <v>0</v>
      </c>
      <c r="GP1" t="e">
        <f>AND(Inputs!A15,"AAAAAH3zvcU=")</f>
        <v>#VALUE!</v>
      </c>
      <c r="GQ1" t="e">
        <f>AND(Inputs!B15,"AAAAAH3zvcY=")</f>
        <v>#VALUE!</v>
      </c>
      <c r="GR1" t="e">
        <f>AND(Inputs!C15,"AAAAAH3zvcc=")</f>
        <v>#VALUE!</v>
      </c>
      <c r="GS1" t="e">
        <f>AND(Inputs!D15,"AAAAAH3zvcg=")</f>
        <v>#VALUE!</v>
      </c>
      <c r="GT1" t="e">
        <f>AND(Inputs!E15,"AAAAAH3zvck=")</f>
        <v>#VALUE!</v>
      </c>
      <c r="GU1" t="e">
        <f>AND(Inputs!F15,"AAAAAH3zvco=")</f>
        <v>#VALUE!</v>
      </c>
      <c r="GV1" t="e">
        <f>AND(Inputs!G15,"AAAAAH3zvcs=")</f>
        <v>#VALUE!</v>
      </c>
      <c r="GW1" t="e">
        <f>AND(Inputs!H15,"AAAAAH3zvcw=")</f>
        <v>#VALUE!</v>
      </c>
      <c r="GX1" t="e">
        <f>AND(Inputs!I15,"AAAAAH3zvc0=")</f>
        <v>#VALUE!</v>
      </c>
      <c r="GY1" t="e">
        <f>AND(Inputs!J15,"AAAAAH3zvc4=")</f>
        <v>#VALUE!</v>
      </c>
      <c r="GZ1" t="e">
        <f>AND(Inputs!K15,"AAAAAH3zvc8=")</f>
        <v>#VALUE!</v>
      </c>
      <c r="HA1" t="e">
        <f>AND(Inputs!L15,"AAAAAH3zvdA=")</f>
        <v>#VALUE!</v>
      </c>
      <c r="HB1" t="e">
        <f>AND(Inputs!M15,"AAAAAH3zvdE=")</f>
        <v>#VALUE!</v>
      </c>
      <c r="HC1">
        <f>IF(Inputs!16:16,"AAAAAH3zvdI=",0)</f>
        <v>0</v>
      </c>
      <c r="HD1" t="e">
        <f>AND(Inputs!A16,"AAAAAH3zvdM=")</f>
        <v>#VALUE!</v>
      </c>
      <c r="HE1" t="e">
        <f>AND(Inputs!B16,"AAAAAH3zvdQ=")</f>
        <v>#VALUE!</v>
      </c>
      <c r="HF1" t="e">
        <f>AND(Inputs!C16,"AAAAAH3zvdU=")</f>
        <v>#VALUE!</v>
      </c>
      <c r="HG1" t="e">
        <f>AND(Inputs!D16,"AAAAAH3zvdY=")</f>
        <v>#VALUE!</v>
      </c>
      <c r="HH1" t="e">
        <f>AND(Inputs!E16,"AAAAAH3zvdc=")</f>
        <v>#VALUE!</v>
      </c>
      <c r="HI1" t="e">
        <f>AND(Inputs!F16,"AAAAAH3zvdg=")</f>
        <v>#VALUE!</v>
      </c>
      <c r="HJ1" t="e">
        <f>AND(Inputs!G16,"AAAAAH3zvdk=")</f>
        <v>#VALUE!</v>
      </c>
      <c r="HK1" t="e">
        <f>AND(Inputs!H16,"AAAAAH3zvdo=")</f>
        <v>#VALUE!</v>
      </c>
      <c r="HL1" t="e">
        <f>AND(Inputs!I16,"AAAAAH3zvds=")</f>
        <v>#VALUE!</v>
      </c>
      <c r="HM1" t="e">
        <f>AND(Inputs!J16,"AAAAAH3zvdw=")</f>
        <v>#VALUE!</v>
      </c>
      <c r="HN1" t="e">
        <f>AND(Inputs!K16,"AAAAAH3zvd0=")</f>
        <v>#VALUE!</v>
      </c>
      <c r="HO1" t="e">
        <f>AND(Inputs!L16,"AAAAAH3zvd4=")</f>
        <v>#VALUE!</v>
      </c>
      <c r="HP1" t="e">
        <f>AND(Inputs!M16,"AAAAAH3zvd8=")</f>
        <v>#VALUE!</v>
      </c>
      <c r="HQ1">
        <f>IF(Inputs!17:17,"AAAAAH3zveA=",0)</f>
        <v>0</v>
      </c>
      <c r="HR1" t="e">
        <f>AND(Inputs!A17,"AAAAAH3zveE=")</f>
        <v>#VALUE!</v>
      </c>
      <c r="HS1" t="e">
        <f>AND(Inputs!B17,"AAAAAH3zveI=")</f>
        <v>#VALUE!</v>
      </c>
      <c r="HT1" t="e">
        <f>AND(Inputs!C17,"AAAAAH3zveM=")</f>
        <v>#VALUE!</v>
      </c>
      <c r="HU1" t="e">
        <f>AND(Inputs!D17,"AAAAAH3zveQ=")</f>
        <v>#VALUE!</v>
      </c>
      <c r="HV1" t="e">
        <f>AND(Inputs!E17,"AAAAAH3zveU=")</f>
        <v>#VALUE!</v>
      </c>
      <c r="HW1" t="e">
        <f>AND(Inputs!F17,"AAAAAH3zveY=")</f>
        <v>#VALUE!</v>
      </c>
      <c r="HX1" t="e">
        <f>AND(Inputs!G17,"AAAAAH3zvec=")</f>
        <v>#VALUE!</v>
      </c>
      <c r="HY1" t="e">
        <f>AND(Inputs!H17,"AAAAAH3zveg=")</f>
        <v>#VALUE!</v>
      </c>
      <c r="HZ1" t="e">
        <f>AND(Inputs!I17,"AAAAAH3zvek=")</f>
        <v>#VALUE!</v>
      </c>
      <c r="IA1" t="e">
        <f>AND(Inputs!J17,"AAAAAH3zveo=")</f>
        <v>#VALUE!</v>
      </c>
      <c r="IB1" t="e">
        <f>AND(Inputs!K17,"AAAAAH3zves=")</f>
        <v>#VALUE!</v>
      </c>
      <c r="IC1" t="e">
        <f>AND(Inputs!L17,"AAAAAH3zvew=")</f>
        <v>#VALUE!</v>
      </c>
      <c r="ID1" t="e">
        <f>AND(Inputs!M17,"AAAAAH3zve0=")</f>
        <v>#VALUE!</v>
      </c>
      <c r="IE1">
        <f>IF(Inputs!18:18,"AAAAAH3zve4=",0)</f>
        <v>0</v>
      </c>
      <c r="IF1" t="e">
        <f>AND(Inputs!A18,"AAAAAH3zve8=")</f>
        <v>#VALUE!</v>
      </c>
      <c r="IG1" t="e">
        <f>AND(Inputs!B18,"AAAAAH3zvfA=")</f>
        <v>#VALUE!</v>
      </c>
      <c r="IH1" t="e">
        <f>AND(Inputs!C18,"AAAAAH3zvfE=")</f>
        <v>#VALUE!</v>
      </c>
      <c r="II1" t="e">
        <f>AND(Inputs!D18,"AAAAAH3zvfI=")</f>
        <v>#VALUE!</v>
      </c>
      <c r="IJ1" t="e">
        <f>AND(Inputs!E18,"AAAAAH3zvfM=")</f>
        <v>#VALUE!</v>
      </c>
      <c r="IK1" t="e">
        <f>AND(Inputs!B68,"AAAAAH3zvfQ=")</f>
        <v>#VALUE!</v>
      </c>
      <c r="IL1" t="e">
        <f>AND(Inputs!G18,"AAAAAH3zvfU=")</f>
        <v>#VALUE!</v>
      </c>
      <c r="IM1" t="e">
        <f>AND(Inputs!H18,"AAAAAH3zvfY=")</f>
        <v>#VALUE!</v>
      </c>
      <c r="IN1" t="e">
        <f>AND(Inputs!I18,"AAAAAH3zvfc=")</f>
        <v>#VALUE!</v>
      </c>
      <c r="IO1" t="e">
        <f>AND(Inputs!J18,"AAAAAH3zvfg=")</f>
        <v>#VALUE!</v>
      </c>
      <c r="IP1" t="e">
        <f>AND(Inputs!K18,"AAAAAH3zvfk=")</f>
        <v>#VALUE!</v>
      </c>
      <c r="IQ1" t="e">
        <f>AND(Inputs!L18,"AAAAAH3zvfo=")</f>
        <v>#VALUE!</v>
      </c>
      <c r="IR1" t="e">
        <f>AND(Inputs!M18,"AAAAAH3zvfs=")</f>
        <v>#VALUE!</v>
      </c>
      <c r="IS1" t="e">
        <f>IF(Inputs!#REF!,"AAAAAH3zvfw=",0)</f>
        <v>#REF!</v>
      </c>
      <c r="IT1" t="e">
        <f>AND(Inputs!#REF!,"AAAAAH3zvf0=")</f>
        <v>#REF!</v>
      </c>
      <c r="IU1" t="e">
        <f>AND(Inputs!#REF!,"AAAAAH3zvf4=")</f>
        <v>#REF!</v>
      </c>
      <c r="IV1" t="e">
        <f>AND(Inputs!#REF!,"AAAAAH3zvf8=")</f>
        <v>#REF!</v>
      </c>
    </row>
    <row r="2" spans="1:256">
      <c r="A2" t="e">
        <f>AND(Inputs!#REF!,"AAAAADvfbwA=")</f>
        <v>#REF!</v>
      </c>
      <c r="B2" t="e">
        <f>AND(Inputs!#REF!,"AAAAADvfbwE=")</f>
        <v>#REF!</v>
      </c>
      <c r="C2" t="e">
        <f>AND(Inputs!B69,"AAAAADvfbwI=")</f>
        <v>#VALUE!</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f>IF(Inputs!19:19,"AAAAADvfbxg=",0)</f>
        <v>0</v>
      </c>
      <c r="Z2" t="e">
        <f>AND(Inputs!A19,"AAAAADvfbxk=")</f>
        <v>#VALUE!</v>
      </c>
      <c r="AA2" t="e">
        <f>AND(Inputs!B19,"AAAAADvfbxo=")</f>
        <v>#VALUE!</v>
      </c>
      <c r="AB2" t="e">
        <f>AND(Inputs!C19,"AAAAADvfbxs=")</f>
        <v>#VALUE!</v>
      </c>
      <c r="AC2" t="e">
        <f>AND(Inputs!D19,"AAAAADvfbxw=")</f>
        <v>#VALUE!</v>
      </c>
      <c r="AD2" t="e">
        <f>AND(Inputs!E19,"AAAAADvfbx0=")</f>
        <v>#VALUE!</v>
      </c>
      <c r="AE2" t="e">
        <f>AND(Inputs!F19,"AAAAADvfbx4=")</f>
        <v>#VALUE!</v>
      </c>
      <c r="AF2" t="e">
        <f>AND(Inputs!G19,"AAAAADvfbx8=")</f>
        <v>#VALUE!</v>
      </c>
      <c r="AG2" t="e">
        <f>AND(Inputs!H19,"AAAAADvfbyA=")</f>
        <v>#VALUE!</v>
      </c>
      <c r="AH2" t="e">
        <f>AND(Inputs!I19,"AAAAADvfbyE=")</f>
        <v>#VALUE!</v>
      </c>
      <c r="AI2" t="e">
        <f>AND(Inputs!J19,"AAAAADvfbyI=")</f>
        <v>#VALUE!</v>
      </c>
      <c r="AJ2" t="e">
        <f>AND(Inputs!K19,"AAAAADvfbyM=")</f>
        <v>#VALUE!</v>
      </c>
      <c r="AK2" t="e">
        <f>AND(Inputs!L19,"AAAAADvfbyQ=")</f>
        <v>#VALUE!</v>
      </c>
      <c r="AL2" t="e">
        <f>AND(Inputs!M19,"AAAAADvfbyU=")</f>
        <v>#VALUE!</v>
      </c>
      <c r="AM2">
        <f>IF(Inputs!20:20,"AAAAADvfbyY=",0)</f>
        <v>0</v>
      </c>
      <c r="AN2" t="e">
        <f>AND(Inputs!A20,"AAAAADvfbyc=")</f>
        <v>#VALUE!</v>
      </c>
      <c r="AO2" t="e">
        <f>AND(Inputs!B20,"AAAAADvfbyg=")</f>
        <v>#VALUE!</v>
      </c>
      <c r="AP2" t="e">
        <f>AND(Inputs!C20,"AAAAADvfbyk=")</f>
        <v>#VALUE!</v>
      </c>
      <c r="AQ2" t="e">
        <f>AND(Inputs!D20,"AAAAADvfbyo=")</f>
        <v>#VALUE!</v>
      </c>
      <c r="AR2" t="e">
        <f>AND(Inputs!E20,"AAAAADvfbys=")</f>
        <v>#VALUE!</v>
      </c>
      <c r="AS2" t="e">
        <f>AND(Inputs!F20,"AAAAADvfbyw=")</f>
        <v>#VALUE!</v>
      </c>
      <c r="AT2" t="e">
        <f>AND(Inputs!G20,"AAAAADvfby0=")</f>
        <v>#VALUE!</v>
      </c>
      <c r="AU2" t="e">
        <f>AND(Inputs!H20,"AAAAADvfby4=")</f>
        <v>#VALUE!</v>
      </c>
      <c r="AV2" t="e">
        <f>AND(Inputs!I20,"AAAAADvfby8=")</f>
        <v>#VALUE!</v>
      </c>
      <c r="AW2" t="e">
        <f>AND(Inputs!J20,"AAAAADvfbzA=")</f>
        <v>#VALUE!</v>
      </c>
      <c r="AX2" t="e">
        <f>AND(Inputs!K20,"AAAAADvfbzE=")</f>
        <v>#VALUE!</v>
      </c>
      <c r="AY2" t="e">
        <f>AND(Inputs!L20,"AAAAADvfbzI=")</f>
        <v>#VALUE!</v>
      </c>
      <c r="AZ2" t="e">
        <f>AND(Inputs!M20,"AAAAADvfbzM=")</f>
        <v>#VALUE!</v>
      </c>
      <c r="BA2">
        <f>IF(Inputs!21:21,"AAAAADvfbzQ=",0)</f>
        <v>0</v>
      </c>
      <c r="BB2" t="e">
        <f>AND(Inputs!A21,"AAAAADvfbzU=")</f>
        <v>#VALUE!</v>
      </c>
      <c r="BC2" t="e">
        <f>AND(Inputs!B21,"AAAAADvfbzY=")</f>
        <v>#VALUE!</v>
      </c>
      <c r="BD2" t="e">
        <f>AND(Inputs!C21,"AAAAADvfbzc=")</f>
        <v>#VALUE!</v>
      </c>
      <c r="BE2" t="e">
        <f>AND(Inputs!D21,"AAAAADvfbzg=")</f>
        <v>#VALUE!</v>
      </c>
      <c r="BF2" t="e">
        <f>AND(Inputs!E21,"AAAAADvfbzk=")</f>
        <v>#VALUE!</v>
      </c>
      <c r="BG2" t="e">
        <f>AND(Inputs!F21,"AAAAADvfbzo=")</f>
        <v>#VALUE!</v>
      </c>
      <c r="BH2" t="e">
        <f>AND(Inputs!G21,"AAAAADvfbzs=")</f>
        <v>#VALUE!</v>
      </c>
      <c r="BI2" t="e">
        <f>AND(Inputs!H21,"AAAAADvfbzw=")</f>
        <v>#VALUE!</v>
      </c>
      <c r="BJ2" t="e">
        <f>AND(Inputs!I21,"AAAAADvfbz0=")</f>
        <v>#VALUE!</v>
      </c>
      <c r="BK2" t="e">
        <f>AND(Inputs!J21,"AAAAADvfbz4=")</f>
        <v>#VALUE!</v>
      </c>
      <c r="BL2" t="e">
        <f>AND(Inputs!K21,"AAAAADvfbz8=")</f>
        <v>#VALUE!</v>
      </c>
      <c r="BM2" t="e">
        <f>AND(Inputs!L21,"AAAAADvfb0A=")</f>
        <v>#VALUE!</v>
      </c>
      <c r="BN2" t="e">
        <f>AND(Inputs!M21,"AAAAADvfb0E=")</f>
        <v>#VALUE!</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f>IF(Inputs!22:22,"AAAAADvfb3o=",0)</f>
        <v>0</v>
      </c>
      <c r="DT2" t="e">
        <f>AND(Inputs!A22,"AAAAADvfb3s=")</f>
        <v>#VALUE!</v>
      </c>
      <c r="DU2" t="e">
        <f>AND(Inputs!B22,"AAAAADvfb3w=")</f>
        <v>#VALUE!</v>
      </c>
      <c r="DV2" t="e">
        <f>AND(Inputs!C22,"AAAAADvfb30=")</f>
        <v>#VALUE!</v>
      </c>
      <c r="DW2" t="e">
        <f>AND(Inputs!D22,"AAAAADvfb34=")</f>
        <v>#VALUE!</v>
      </c>
      <c r="DX2" t="e">
        <f>AND(Inputs!E22,"AAAAADvfb38=")</f>
        <v>#VALUE!</v>
      </c>
      <c r="DY2" t="e">
        <f>AND(Inputs!F22,"AAAAADvfb4A=")</f>
        <v>#VALUE!</v>
      </c>
      <c r="DZ2" t="e">
        <f>AND(Inputs!G22,"AAAAADvfb4E=")</f>
        <v>#VALUE!</v>
      </c>
      <c r="EA2" t="e">
        <f>AND(Inputs!H22,"AAAAADvfb4I=")</f>
        <v>#VALUE!</v>
      </c>
      <c r="EB2" t="e">
        <f>AND(Inputs!I22,"AAAAADvfb4M=")</f>
        <v>#VALUE!</v>
      </c>
      <c r="EC2" t="e">
        <f>AND(Inputs!J22,"AAAAADvfb4Q=")</f>
        <v>#VALUE!</v>
      </c>
      <c r="ED2" t="e">
        <f>AND(Inputs!K22,"AAAAADvfb4U=")</f>
        <v>#VALUE!</v>
      </c>
      <c r="EE2" t="e">
        <f>AND(Inputs!L22,"AAAAADvfb4Y=")</f>
        <v>#VALUE!</v>
      </c>
      <c r="EF2" t="e">
        <f>AND(Inputs!M22,"AAAAADvfb4c=")</f>
        <v>#VALUE!</v>
      </c>
      <c r="EG2">
        <f>IF(Inputs!23:23,"AAAAADvfb4g=",0)</f>
        <v>0</v>
      </c>
      <c r="EH2" t="e">
        <f>AND(Inputs!A23,"AAAAADvfb4k=")</f>
        <v>#VALUE!</v>
      </c>
      <c r="EI2" t="e">
        <f>AND(Inputs!B23,"AAAAADvfb4o=")</f>
        <v>#VALUE!</v>
      </c>
      <c r="EJ2" t="e">
        <f>AND(Inputs!C23,"AAAAADvfb4s=")</f>
        <v>#VALUE!</v>
      </c>
      <c r="EK2" t="e">
        <f>AND(Inputs!D23,"AAAAADvfb4w=")</f>
        <v>#VALUE!</v>
      </c>
      <c r="EL2" t="e">
        <f>AND(Inputs!E23,"AAAAADvfb40=")</f>
        <v>#VALUE!</v>
      </c>
      <c r="EM2" t="e">
        <f>AND(Inputs!F23,"AAAAADvfb44=")</f>
        <v>#VALUE!</v>
      </c>
      <c r="EN2" t="e">
        <f>AND(Inputs!G23,"AAAAADvfb48=")</f>
        <v>#VALUE!</v>
      </c>
      <c r="EO2" t="e">
        <f>AND(Inputs!H23,"AAAAADvfb5A=")</f>
        <v>#VALUE!</v>
      </c>
      <c r="EP2" t="e">
        <f>AND(Inputs!I23,"AAAAADvfb5E=")</f>
        <v>#VALUE!</v>
      </c>
      <c r="EQ2" t="e">
        <f>AND(Inputs!J23,"AAAAADvfb5I=")</f>
        <v>#VALUE!</v>
      </c>
      <c r="ER2" t="e">
        <f>AND(Inputs!K23,"AAAAADvfb5M=")</f>
        <v>#VALUE!</v>
      </c>
      <c r="ES2" t="e">
        <f>AND(Inputs!L23,"AAAAADvfb5Q=")</f>
        <v>#VALUE!</v>
      </c>
      <c r="ET2" t="e">
        <f>AND(Inputs!M23,"AAAAADvfb5U=")</f>
        <v>#VALUE!</v>
      </c>
      <c r="EU2">
        <f>IF(Inputs!24:24,"AAAAADvfb5Y=",0)</f>
        <v>0</v>
      </c>
      <c r="EV2" t="e">
        <f>AND(Inputs!A24,"AAAAADvfb5c=")</f>
        <v>#VALUE!</v>
      </c>
      <c r="EW2" t="e">
        <f>AND(Inputs!B24,"AAAAADvfb5g=")</f>
        <v>#VALUE!</v>
      </c>
      <c r="EX2" t="e">
        <f>AND(Inputs!C24,"AAAAADvfb5k=")</f>
        <v>#VALUE!</v>
      </c>
      <c r="EY2" t="e">
        <f>AND(Inputs!D24,"AAAAADvfb5o=")</f>
        <v>#VALUE!</v>
      </c>
      <c r="EZ2" t="e">
        <f>AND(Inputs!E24,"AAAAADvfb5s=")</f>
        <v>#VALUE!</v>
      </c>
      <c r="FA2" t="e">
        <f>AND(Inputs!F24,"AAAAADvfb5w=")</f>
        <v>#VALUE!</v>
      </c>
      <c r="FB2" t="e">
        <f>AND(Inputs!G24,"AAAAADvfb50=")</f>
        <v>#VALUE!</v>
      </c>
      <c r="FC2" t="e">
        <f>AND(Inputs!H24,"AAAAADvfb54=")</f>
        <v>#VALUE!</v>
      </c>
      <c r="FD2" t="e">
        <f>AND(Inputs!I24,"AAAAADvfb58=")</f>
        <v>#VALUE!</v>
      </c>
      <c r="FE2" t="e">
        <f>AND(Inputs!J24,"AAAAADvfb6A=")</f>
        <v>#VALUE!</v>
      </c>
      <c r="FF2" t="e">
        <f>AND(Inputs!K24,"AAAAADvfb6E=")</f>
        <v>#VALUE!</v>
      </c>
      <c r="FG2" t="e">
        <f>AND(Inputs!L24,"AAAAADvfb6I=")</f>
        <v>#VALUE!</v>
      </c>
      <c r="FH2" t="e">
        <f>AND(Inputs!M24,"AAAAADvfb6M=")</f>
        <v>#VALUE!</v>
      </c>
      <c r="FI2">
        <f>IF(Inputs!25:25,"AAAAADvfb6Q=",0)</f>
        <v>0</v>
      </c>
      <c r="FJ2" t="e">
        <f>AND(Inputs!A25,"AAAAADvfb6U=")</f>
        <v>#VALUE!</v>
      </c>
      <c r="FK2" t="e">
        <f>AND(Inputs!B25,"AAAAADvfb6Y=")</f>
        <v>#VALUE!</v>
      </c>
      <c r="FL2" t="e">
        <f>AND(Inputs!C25,"AAAAADvfb6c=")</f>
        <v>#VALUE!</v>
      </c>
      <c r="FM2" t="e">
        <f>AND(Inputs!D25,"AAAAADvfb6g=")</f>
        <v>#VALUE!</v>
      </c>
      <c r="FN2" t="e">
        <f>AND(Inputs!E25,"AAAAADvfb6k=")</f>
        <v>#VALUE!</v>
      </c>
      <c r="FO2" t="e">
        <f>AND(Inputs!F25,"AAAAADvfb6o=")</f>
        <v>#VALUE!</v>
      </c>
      <c r="FP2" t="e">
        <f>AND(Inputs!G25,"AAAAADvfb6s=")</f>
        <v>#VALUE!</v>
      </c>
      <c r="FQ2" t="e">
        <f>AND(Inputs!H25,"AAAAADvfb6w=")</f>
        <v>#VALUE!</v>
      </c>
      <c r="FR2" t="e">
        <f>AND(Inputs!I25,"AAAAADvfb60=")</f>
        <v>#VALUE!</v>
      </c>
      <c r="FS2" t="e">
        <f>AND(Inputs!J25,"AAAAADvfb64=")</f>
        <v>#VALUE!</v>
      </c>
      <c r="FT2" t="e">
        <f>AND(Inputs!K25,"AAAAADvfb68=")</f>
        <v>#VALUE!</v>
      </c>
      <c r="FU2" t="e">
        <f>AND(Inputs!L25,"AAAAADvfb7A=")</f>
        <v>#VALUE!</v>
      </c>
      <c r="FV2" t="e">
        <f>AND(Inputs!M25,"AAAAADvfb7E=")</f>
        <v>#VALUE!</v>
      </c>
      <c r="FW2">
        <f>IF(Inputs!26:26,"AAAAADvfb7I=",0)</f>
        <v>0</v>
      </c>
      <c r="FX2" t="e">
        <f>AND(Inputs!A26,"AAAAADvfb7M=")</f>
        <v>#VALUE!</v>
      </c>
      <c r="FY2" t="e">
        <f>AND(Inputs!B26,"AAAAADvfb7Q=")</f>
        <v>#VALUE!</v>
      </c>
      <c r="FZ2" t="e">
        <f>AND(Inputs!C26,"AAAAADvfb7U=")</f>
        <v>#VALUE!</v>
      </c>
      <c r="GA2" t="e">
        <f>AND(Inputs!D26,"AAAAADvfb7Y=")</f>
        <v>#VALUE!</v>
      </c>
      <c r="GB2" t="e">
        <f>AND(Inputs!E26,"AAAAADvfb7c=")</f>
        <v>#VALUE!</v>
      </c>
      <c r="GC2" t="e">
        <f>AND(Inputs!F26,"AAAAADvfb7g=")</f>
        <v>#VALUE!</v>
      </c>
      <c r="GD2" t="e">
        <f>AND(Inputs!G26,"AAAAADvfb7k=")</f>
        <v>#VALUE!</v>
      </c>
      <c r="GE2" t="e">
        <f>AND(Inputs!H26,"AAAAADvfb7o=")</f>
        <v>#VALUE!</v>
      </c>
      <c r="GF2" t="e">
        <f>AND(Inputs!I26,"AAAAADvfb7s=")</f>
        <v>#VALUE!</v>
      </c>
      <c r="GG2" t="e">
        <f>AND(Inputs!J26,"AAAAADvfb7w=")</f>
        <v>#VALUE!</v>
      </c>
      <c r="GH2" t="e">
        <f>AND(Inputs!K26,"AAAAADvfb70=")</f>
        <v>#VALUE!</v>
      </c>
      <c r="GI2" t="e">
        <f>AND(Inputs!L26,"AAAAADvfb74=")</f>
        <v>#VALUE!</v>
      </c>
      <c r="GJ2" t="e">
        <f>AND(Inputs!M26,"AAAAADvfb78=")</f>
        <v>#VALUE!</v>
      </c>
      <c r="GK2">
        <f>IF(Inputs!27:27,"AAAAADvfb8A=",0)</f>
        <v>0</v>
      </c>
      <c r="GL2" t="e">
        <f>AND(Inputs!A27,"AAAAADvfb8E=")</f>
        <v>#VALUE!</v>
      </c>
      <c r="GM2" t="e">
        <f>AND(Inputs!B27,"AAAAADvfb8I=")</f>
        <v>#VALUE!</v>
      </c>
      <c r="GN2" t="e">
        <f>AND(Inputs!C27,"AAAAADvfb8M=")</f>
        <v>#VALUE!</v>
      </c>
      <c r="GO2" t="e">
        <f>AND(Inputs!D27,"AAAAADvfb8Q=")</f>
        <v>#VALUE!</v>
      </c>
      <c r="GP2" t="e">
        <f>AND(Inputs!E27,"AAAAADvfb8U=")</f>
        <v>#VALUE!</v>
      </c>
      <c r="GQ2" t="e">
        <f>AND(Inputs!F27,"AAAAADvfb8Y=")</f>
        <v>#VALUE!</v>
      </c>
      <c r="GR2" t="e">
        <f>AND(Inputs!G27,"AAAAADvfb8c=")</f>
        <v>#VALUE!</v>
      </c>
      <c r="GS2" t="e">
        <f>AND(Inputs!H27,"AAAAADvfb8g=")</f>
        <v>#VALUE!</v>
      </c>
      <c r="GT2" t="e">
        <f>AND(Inputs!I27,"AAAAADvfb8k=")</f>
        <v>#VALUE!</v>
      </c>
      <c r="GU2" t="e">
        <f>AND(Inputs!J27,"AAAAADvfb8o=")</f>
        <v>#VALUE!</v>
      </c>
      <c r="GV2" t="e">
        <f>AND(Inputs!K27,"AAAAADvfb8s=")</f>
        <v>#VALUE!</v>
      </c>
      <c r="GW2" t="e">
        <f>AND(Inputs!L27,"AAAAADvfb8w=")</f>
        <v>#VALUE!</v>
      </c>
      <c r="GX2" t="e">
        <f>AND(Inputs!M27,"AAAAADvfb80=")</f>
        <v>#VALUE!</v>
      </c>
      <c r="GY2">
        <f>IF(Inputs!28:28,"AAAAADvfb84=",0)</f>
        <v>0</v>
      </c>
      <c r="GZ2" t="e">
        <f>AND(Inputs!A28,"AAAAADvfb88=")</f>
        <v>#VALUE!</v>
      </c>
      <c r="HA2" t="e">
        <f>AND(Inputs!B28,"AAAAADvfb9A=")</f>
        <v>#VALUE!</v>
      </c>
      <c r="HB2" t="e">
        <f>AND(Inputs!C28,"AAAAADvfb9E=")</f>
        <v>#VALUE!</v>
      </c>
      <c r="HC2" t="e">
        <f>AND(Inputs!D28,"AAAAADvfb9I=")</f>
        <v>#VALUE!</v>
      </c>
      <c r="HD2" t="e">
        <f>AND(Inputs!E28,"AAAAADvfb9M=")</f>
        <v>#VALUE!</v>
      </c>
      <c r="HE2" t="e">
        <f>AND(Inputs!F28,"AAAAADvfb9Q=")</f>
        <v>#VALUE!</v>
      </c>
      <c r="HF2" t="e">
        <f>AND(Inputs!G28,"AAAAADvfb9U=")</f>
        <v>#VALUE!</v>
      </c>
      <c r="HG2" t="e">
        <f>AND(Inputs!H28,"AAAAADvfb9Y=")</f>
        <v>#VALUE!</v>
      </c>
      <c r="HH2" t="e">
        <f>AND(Inputs!I28,"AAAAADvfb9c=")</f>
        <v>#VALUE!</v>
      </c>
      <c r="HI2" t="e">
        <f>AND(Inputs!J28,"AAAAADvfb9g=")</f>
        <v>#VALUE!</v>
      </c>
      <c r="HJ2" t="e">
        <f>AND(Inputs!K28,"AAAAADvfb9k=")</f>
        <v>#VALUE!</v>
      </c>
      <c r="HK2" t="e">
        <f>AND(Inputs!L28,"AAAAADvfb9o=")</f>
        <v>#VALUE!</v>
      </c>
      <c r="HL2" t="e">
        <f>AND(Inputs!M28,"AAAAADvfb9s=")</f>
        <v>#VALUE!</v>
      </c>
      <c r="HM2">
        <f>IF(Inputs!29:29,"AAAAADvfb9w=",0)</f>
        <v>0</v>
      </c>
      <c r="HN2" t="e">
        <f>AND(Inputs!A29,"AAAAADvfb90=")</f>
        <v>#VALUE!</v>
      </c>
      <c r="HO2" t="e">
        <f>AND(Inputs!B29,"AAAAADvfb94=")</f>
        <v>#VALUE!</v>
      </c>
      <c r="HP2" t="e">
        <f>AND(Inputs!C29,"AAAAADvfb98=")</f>
        <v>#VALUE!</v>
      </c>
      <c r="HQ2" t="e">
        <f>AND(Inputs!D29,"AAAAADvfb+A=")</f>
        <v>#VALUE!</v>
      </c>
      <c r="HR2" t="e">
        <f>AND(Inputs!E29,"AAAAADvfb+E=")</f>
        <v>#VALUE!</v>
      </c>
      <c r="HS2" t="e">
        <f>AND(Inputs!F29,"AAAAADvfb+I=")</f>
        <v>#VALUE!</v>
      </c>
      <c r="HT2" t="e">
        <f>AND(Inputs!G29,"AAAAADvfb+M=")</f>
        <v>#VALUE!</v>
      </c>
      <c r="HU2" t="e">
        <f>AND(Inputs!H29,"AAAAADvfb+Q=")</f>
        <v>#VALUE!</v>
      </c>
      <c r="HV2" t="e">
        <f>AND(Inputs!I29,"AAAAADvfb+U=")</f>
        <v>#VALUE!</v>
      </c>
      <c r="HW2" t="e">
        <f>AND(Inputs!J29,"AAAAADvfb+Y=")</f>
        <v>#VALUE!</v>
      </c>
      <c r="HX2" t="e">
        <f>AND(Inputs!K29,"AAAAADvfb+c=")</f>
        <v>#VALUE!</v>
      </c>
      <c r="HY2" t="e">
        <f>AND(Inputs!L29,"AAAAADvfb+g=")</f>
        <v>#VALUE!</v>
      </c>
      <c r="HZ2" t="e">
        <f>AND(Inputs!M29,"AAAAADvfb+k=")</f>
        <v>#VALUE!</v>
      </c>
      <c r="IA2">
        <f>IF(Inputs!30:30,"AAAAADvfb+o=",0)</f>
        <v>0</v>
      </c>
      <c r="IB2" t="e">
        <f>AND(Inputs!A30,"AAAAADvfb+s=")</f>
        <v>#VALUE!</v>
      </c>
      <c r="IC2" t="e">
        <f>AND(Inputs!B30,"AAAAADvfb+w=")</f>
        <v>#VALUE!</v>
      </c>
      <c r="ID2" t="e">
        <f>AND(Inputs!C30,"AAAAADvfb+0=")</f>
        <v>#VALUE!</v>
      </c>
      <c r="IE2" t="e">
        <f>AND(Inputs!D30,"AAAAADvfb+4=")</f>
        <v>#VALUE!</v>
      </c>
      <c r="IF2" t="e">
        <f>AND(Inputs!E30,"AAAAADvfb+8=")</f>
        <v>#VALUE!</v>
      </c>
      <c r="IG2" t="e">
        <f>AND(Inputs!F30,"AAAAADvfb/A=")</f>
        <v>#VALUE!</v>
      </c>
      <c r="IH2" t="e">
        <f>AND(Inputs!G30,"AAAAADvfb/E=")</f>
        <v>#VALUE!</v>
      </c>
      <c r="II2" t="e">
        <f>AND(Inputs!H30,"AAAAADvfb/I=")</f>
        <v>#VALUE!</v>
      </c>
      <c r="IJ2" t="e">
        <f>AND(Inputs!I30,"AAAAADvfb/M=")</f>
        <v>#VALUE!</v>
      </c>
      <c r="IK2" t="e">
        <f>AND(Inputs!J30,"AAAAADvfb/Q=")</f>
        <v>#VALUE!</v>
      </c>
      <c r="IL2" t="e">
        <f>AND(Inputs!K30,"AAAAADvfb/U=")</f>
        <v>#VALUE!</v>
      </c>
      <c r="IM2" t="e">
        <f>AND(Inputs!L30,"AAAAADvfb/Y=")</f>
        <v>#VALUE!</v>
      </c>
      <c r="IN2" t="e">
        <f>AND(Inputs!M30,"AAAAADvfb/c=")</f>
        <v>#VALUE!</v>
      </c>
      <c r="IO2">
        <f>IF(Inputs!31:31,"AAAAADvfb/g=",0)</f>
        <v>0</v>
      </c>
      <c r="IP2" t="e">
        <f>AND(Inputs!A31,"AAAAADvfb/k=")</f>
        <v>#VALUE!</v>
      </c>
      <c r="IQ2" t="e">
        <f>AND(Inputs!B31,"AAAAADvfb/o=")</f>
        <v>#VALUE!</v>
      </c>
      <c r="IR2" t="e">
        <f>AND(Inputs!C31,"AAAAADvfb/s=")</f>
        <v>#VALUE!</v>
      </c>
      <c r="IS2" t="e">
        <f>AND(Inputs!D31,"AAAAADvfb/w=")</f>
        <v>#VALUE!</v>
      </c>
      <c r="IT2" t="e">
        <f>AND(Inputs!E31,"AAAAADvfb/0=")</f>
        <v>#VALUE!</v>
      </c>
      <c r="IU2" t="e">
        <f>AND(Inputs!F31,"AAAAADvfb/4=")</f>
        <v>#VALUE!</v>
      </c>
      <c r="IV2" t="e">
        <f>AND(Inputs!G31,"AAAAADvfb/8=")</f>
        <v>#VALUE!</v>
      </c>
    </row>
    <row r="3" spans="1:256">
      <c r="A3" t="e">
        <f>AND(Inputs!H31,"AAAAADZv8wA=")</f>
        <v>#VALUE!</v>
      </c>
      <c r="B3" t="e">
        <f>AND(Inputs!I31,"AAAAADZv8wE=")</f>
        <v>#VALUE!</v>
      </c>
      <c r="C3" t="e">
        <f>AND(Inputs!J31,"AAAAADZv8wI=")</f>
        <v>#VALUE!</v>
      </c>
      <c r="D3" t="e">
        <f>AND(Inputs!K31,"AAAAADZv8wM=")</f>
        <v>#VALUE!</v>
      </c>
      <c r="E3" t="e">
        <f>AND(Inputs!L31,"AAAAADZv8wQ=")</f>
        <v>#VALUE!</v>
      </c>
      <c r="F3" t="e">
        <f>AND(Inputs!M31,"AAAAADZv8wU=")</f>
        <v>#VALUE!</v>
      </c>
      <c r="G3">
        <f>IF(Inputs!32:32,"AAAAADZv8wY=",0)</f>
        <v>0</v>
      </c>
      <c r="H3" t="e">
        <f>AND(Inputs!A32,"AAAAADZv8wc=")</f>
        <v>#VALUE!</v>
      </c>
      <c r="I3" t="e">
        <f>AND(Inputs!B32,"AAAAADZv8wg=")</f>
        <v>#VALUE!</v>
      </c>
      <c r="J3" t="e">
        <f>AND(Inputs!C32,"AAAAADZv8wk=")</f>
        <v>#VALUE!</v>
      </c>
      <c r="K3" t="e">
        <f>AND(Inputs!D32,"AAAAADZv8wo=")</f>
        <v>#VALUE!</v>
      </c>
      <c r="L3" t="e">
        <f>AND(Inputs!E32,"AAAAADZv8ws=")</f>
        <v>#VALUE!</v>
      </c>
      <c r="M3" t="e">
        <f>AND(Inputs!F32,"AAAAADZv8ww=")</f>
        <v>#VALUE!</v>
      </c>
      <c r="N3" t="e">
        <f>AND(Inputs!G32,"AAAAADZv8w0=")</f>
        <v>#VALUE!</v>
      </c>
      <c r="O3" t="e">
        <f>AND(Inputs!H32,"AAAAADZv8w4=")</f>
        <v>#VALUE!</v>
      </c>
      <c r="P3" t="e">
        <f>AND(Inputs!I32,"AAAAADZv8w8=")</f>
        <v>#VALUE!</v>
      </c>
      <c r="Q3" t="e">
        <f>AND(Inputs!J32,"AAAAADZv8xA=")</f>
        <v>#VALUE!</v>
      </c>
      <c r="R3" t="e">
        <f>AND(Inputs!K32,"AAAAADZv8xE=")</f>
        <v>#VALUE!</v>
      </c>
      <c r="S3" t="e">
        <f>AND(Inputs!L32,"AAAAADZv8xI=")</f>
        <v>#VALUE!</v>
      </c>
      <c r="T3" t="e">
        <f>AND(Inputs!M32,"AAAAADZv8xM=")</f>
        <v>#VALUE!</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f>IF(Inputs!33:33,"AAAAADZv8yI=",0)</f>
        <v>0</v>
      </c>
      <c r="AJ3" t="e">
        <f>AND(Inputs!A33,"AAAAADZv8yM=")</f>
        <v>#VALUE!</v>
      </c>
      <c r="AK3" t="e">
        <f>AND(Inputs!B33,"AAAAADZv8yQ=")</f>
        <v>#VALUE!</v>
      </c>
      <c r="AL3" t="e">
        <f>AND(Inputs!C33,"AAAAADZv8yU=")</f>
        <v>#VALUE!</v>
      </c>
      <c r="AM3" t="e">
        <f>AND(Inputs!D33,"AAAAADZv8yY=")</f>
        <v>#VALUE!</v>
      </c>
      <c r="AN3" t="e">
        <f>AND(Inputs!E33,"AAAAADZv8yc=")</f>
        <v>#VALUE!</v>
      </c>
      <c r="AO3" t="e">
        <f>AND(Inputs!F33,"AAAAADZv8yg=")</f>
        <v>#VALUE!</v>
      </c>
      <c r="AP3" t="e">
        <f>AND(Inputs!G33,"AAAAADZv8yk=")</f>
        <v>#VALUE!</v>
      </c>
      <c r="AQ3" t="e">
        <f>AND(Inputs!H33,"AAAAADZv8yo=")</f>
        <v>#VALUE!</v>
      </c>
      <c r="AR3" t="e">
        <f>AND(Inputs!I33,"AAAAADZv8ys=")</f>
        <v>#VALUE!</v>
      </c>
      <c r="AS3" t="e">
        <f>AND(Inputs!J33,"AAAAADZv8yw=")</f>
        <v>#VALUE!</v>
      </c>
      <c r="AT3" t="e">
        <f>AND(Inputs!K33,"AAAAADZv8y0=")</f>
        <v>#VALUE!</v>
      </c>
      <c r="AU3" t="e">
        <f>AND(Inputs!L33,"AAAAADZv8y4=")</f>
        <v>#VALUE!</v>
      </c>
      <c r="AV3" t="e">
        <f>AND(Inputs!M33,"AAAAADZv8y8=")</f>
        <v>#VALUE!</v>
      </c>
      <c r="AW3">
        <f>IF(Inputs!34:34,"AAAAADZv8zA=",0)</f>
        <v>0</v>
      </c>
      <c r="AX3" t="e">
        <f>AND(Inputs!A34,"AAAAADZv8zE=")</f>
        <v>#VALUE!</v>
      </c>
      <c r="AY3" t="e">
        <f>AND(Inputs!B34,"AAAAADZv8zI=")</f>
        <v>#VALUE!</v>
      </c>
      <c r="AZ3" t="e">
        <f>AND(Inputs!C34,"AAAAADZv8zM=")</f>
        <v>#VALUE!</v>
      </c>
      <c r="BA3" t="e">
        <f>AND(Inputs!D34,"AAAAADZv8zQ=")</f>
        <v>#VALUE!</v>
      </c>
      <c r="BB3" t="e">
        <f>AND(Inputs!E34,"AAAAADZv8zU=")</f>
        <v>#VALUE!</v>
      </c>
      <c r="BC3" t="e">
        <f>AND(Inputs!F34,"AAAAADZv8zY=")</f>
        <v>#VALUE!</v>
      </c>
      <c r="BD3" t="e">
        <f>AND(Inputs!G34,"AAAAADZv8zc=")</f>
        <v>#VALUE!</v>
      </c>
      <c r="BE3" t="e">
        <f>AND(Inputs!H34,"AAAAADZv8zg=")</f>
        <v>#VALUE!</v>
      </c>
      <c r="BF3" t="e">
        <f>AND(Inputs!I34,"AAAAADZv8zk=")</f>
        <v>#VALUE!</v>
      </c>
      <c r="BG3" t="e">
        <f>AND(Inputs!J34,"AAAAADZv8zo=")</f>
        <v>#VALUE!</v>
      </c>
      <c r="BH3" t="e">
        <f>AND(Inputs!K34,"AAAAADZv8zs=")</f>
        <v>#VALUE!</v>
      </c>
      <c r="BI3" t="e">
        <f>AND(Inputs!L34,"AAAAADZv8zw=")</f>
        <v>#VALUE!</v>
      </c>
      <c r="BJ3" t="e">
        <f>AND(Inputs!M34,"AAAAADZv8z0=")</f>
        <v>#VALUE!</v>
      </c>
      <c r="BK3">
        <f>IF(Inputs!35:35,"AAAAADZv8z4=",0)</f>
        <v>0</v>
      </c>
      <c r="BL3" t="e">
        <f>AND(Inputs!A35,"AAAAADZv8z8=")</f>
        <v>#VALUE!</v>
      </c>
      <c r="BM3" t="e">
        <f>AND(Inputs!B35,"AAAAADZv80A=")</f>
        <v>#VALUE!</v>
      </c>
      <c r="BN3" t="e">
        <f>AND(Inputs!C35,"AAAAADZv80E=")</f>
        <v>#VALUE!</v>
      </c>
      <c r="BO3" t="e">
        <f>AND(Inputs!D35,"AAAAADZv80I=")</f>
        <v>#VALUE!</v>
      </c>
      <c r="BP3" t="e">
        <f>AND(Inputs!E35,"AAAAADZv80M=")</f>
        <v>#VALUE!</v>
      </c>
      <c r="BQ3" t="e">
        <f>AND(Inputs!F35,"AAAAADZv80Q=")</f>
        <v>#VALUE!</v>
      </c>
      <c r="BR3" t="e">
        <f>AND(Inputs!G35,"AAAAADZv80U=")</f>
        <v>#VALUE!</v>
      </c>
      <c r="BS3" t="e">
        <f>AND(Inputs!H35,"AAAAADZv80Y=")</f>
        <v>#VALUE!</v>
      </c>
      <c r="BT3" t="e">
        <f>AND(Inputs!I35,"AAAAADZv80c=")</f>
        <v>#VALUE!</v>
      </c>
      <c r="BU3" t="e">
        <f>AND(Inputs!J35,"AAAAADZv80g=")</f>
        <v>#VALUE!</v>
      </c>
      <c r="BV3" t="e">
        <f>AND(Inputs!K35,"AAAAADZv80k=")</f>
        <v>#VALUE!</v>
      </c>
      <c r="BW3" t="e">
        <f>AND(Inputs!L35,"AAAAADZv80o=")</f>
        <v>#VALUE!</v>
      </c>
      <c r="BX3" t="e">
        <f>AND(Inputs!M35,"AAAAADZv80s=")</f>
        <v>#VALUE!</v>
      </c>
      <c r="BY3">
        <f>IF(Inputs!36:36,"AAAAADZv80w=",0)</f>
        <v>0</v>
      </c>
      <c r="BZ3" t="e">
        <f>AND(Inputs!A36,"AAAAADZv800=")</f>
        <v>#VALUE!</v>
      </c>
      <c r="CA3" t="e">
        <f>AND(Inputs!B36,"AAAAADZv804=")</f>
        <v>#VALUE!</v>
      </c>
      <c r="CB3" t="e">
        <f>AND(Inputs!C36,"AAAAADZv808=")</f>
        <v>#VALUE!</v>
      </c>
      <c r="CC3" t="e">
        <f>AND(Inputs!D36,"AAAAADZv81A=")</f>
        <v>#VALUE!</v>
      </c>
      <c r="CD3" t="e">
        <f>AND(Inputs!E36,"AAAAADZv81E=")</f>
        <v>#VALUE!</v>
      </c>
      <c r="CE3" t="e">
        <f>AND(Inputs!F36,"AAAAADZv81I=")</f>
        <v>#VALUE!</v>
      </c>
      <c r="CF3" t="e">
        <f>AND(Inputs!G36,"AAAAADZv81M=")</f>
        <v>#VALUE!</v>
      </c>
      <c r="CG3" t="e">
        <f>AND(Inputs!H36,"AAAAADZv81Q=")</f>
        <v>#VALUE!</v>
      </c>
      <c r="CH3" t="e">
        <f>AND(Inputs!I36,"AAAAADZv81U=")</f>
        <v>#VALUE!</v>
      </c>
      <c r="CI3" t="e">
        <f>AND(Inputs!J36,"AAAAADZv81Y=")</f>
        <v>#VALUE!</v>
      </c>
      <c r="CJ3" t="e">
        <f>AND(Inputs!K36,"AAAAADZv81c=")</f>
        <v>#VALUE!</v>
      </c>
      <c r="CK3" t="e">
        <f>AND(Inputs!L36,"AAAAADZv81g=")</f>
        <v>#VALUE!</v>
      </c>
      <c r="CL3" t="e">
        <f>AND(Inputs!M36,"AAAAADZv81k=")</f>
        <v>#VALUE!</v>
      </c>
      <c r="CM3">
        <f>IF(Inputs!37:37,"AAAAADZv81o=",0)</f>
        <v>0</v>
      </c>
      <c r="CN3" t="e">
        <f>AND(Inputs!A37,"AAAAADZv81s=")</f>
        <v>#VALUE!</v>
      </c>
      <c r="CO3" t="e">
        <f>AND(Inputs!B37,"AAAAADZv81w=")</f>
        <v>#VALUE!</v>
      </c>
      <c r="CP3" t="e">
        <f>AND(Inputs!C37,"AAAAADZv810=")</f>
        <v>#VALUE!</v>
      </c>
      <c r="CQ3" t="e">
        <f>AND(Inputs!D37,"AAAAADZv814=")</f>
        <v>#VALUE!</v>
      </c>
      <c r="CR3" t="e">
        <f>AND(Inputs!E37,"AAAAADZv818=")</f>
        <v>#VALUE!</v>
      </c>
      <c r="CS3" t="e">
        <f>AND(Inputs!F38,"AAAAADZv82A=")</f>
        <v>#VALUE!</v>
      </c>
      <c r="CT3" t="e">
        <f>AND(Inputs!G37,"AAAAADZv82E=")</f>
        <v>#VALUE!</v>
      </c>
      <c r="CU3" t="e">
        <f>AND(Inputs!H37,"AAAAADZv82I=")</f>
        <v>#VALUE!</v>
      </c>
      <c r="CV3" t="e">
        <f>AND(Inputs!I37,"AAAAADZv82M=")</f>
        <v>#VALUE!</v>
      </c>
      <c r="CW3" t="e">
        <f>AND(Inputs!J37,"AAAAADZv82Q=")</f>
        <v>#VALUE!</v>
      </c>
      <c r="CX3" t="e">
        <f>AND(Inputs!K37,"AAAAADZv82U=")</f>
        <v>#VALUE!</v>
      </c>
      <c r="CY3" t="e">
        <f>AND(Inputs!L37,"AAAAADZv82Y=")</f>
        <v>#VALUE!</v>
      </c>
      <c r="CZ3" t="e">
        <f>AND(Inputs!M37,"AAAAADZv82c=")</f>
        <v>#VALUE!</v>
      </c>
      <c r="DA3">
        <f>IF(Inputs!39:39,"AAAAADZv82g=",0)</f>
        <v>0</v>
      </c>
      <c r="DB3" t="e">
        <f>AND(Inputs!A39,"AAAAADZv82k=")</f>
        <v>#VALUE!</v>
      </c>
      <c r="DC3" t="e">
        <f>AND(Inputs!B39,"AAAAADZv82o=")</f>
        <v>#VALUE!</v>
      </c>
      <c r="DD3" t="e">
        <f>AND(Inputs!C39,"AAAAADZv82s=")</f>
        <v>#VALUE!</v>
      </c>
      <c r="DE3" t="e">
        <f>AND(Inputs!D39,"AAAAADZv82w=")</f>
        <v>#VALUE!</v>
      </c>
      <c r="DF3" t="e">
        <f>AND(Inputs!E39,"AAAAADZv820=")</f>
        <v>#VALUE!</v>
      </c>
      <c r="DG3" t="e">
        <f>AND(Inputs!F39,"AAAAADZv824=")</f>
        <v>#VALUE!</v>
      </c>
      <c r="DH3" t="e">
        <f>AND(Inputs!G39,"AAAAADZv828=")</f>
        <v>#VALUE!</v>
      </c>
      <c r="DI3" t="e">
        <f>AND(Inputs!H39,"AAAAADZv83A=")</f>
        <v>#VALUE!</v>
      </c>
      <c r="DJ3" t="e">
        <f>AND(Inputs!I39,"AAAAADZv83E=")</f>
        <v>#VALUE!</v>
      </c>
      <c r="DK3" t="e">
        <f>AND(Inputs!J39,"AAAAADZv83I=")</f>
        <v>#VALUE!</v>
      </c>
      <c r="DL3" t="e">
        <f>AND(Inputs!K39,"AAAAADZv83M=")</f>
        <v>#VALUE!</v>
      </c>
      <c r="DM3" t="e">
        <f>AND(Inputs!L39,"AAAAADZv83Q=")</f>
        <v>#VALUE!</v>
      </c>
      <c r="DN3" t="e">
        <f>AND(Inputs!M39,"AAAAADZv83U=")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IF(Inputs!45:45,"AAAAADZv864=",0)</f>
        <v>0</v>
      </c>
      <c r="FT3" t="e">
        <f>AND(Inputs!A45,"AAAAADZv868=")</f>
        <v>#VALUE!</v>
      </c>
      <c r="FU3" t="e">
        <f>AND(Inputs!B45,"AAAAADZv87A=")</f>
        <v>#VALUE!</v>
      </c>
      <c r="FV3" t="e">
        <f>AND(Inputs!C45,"AAAAADZv87E=")</f>
        <v>#VALUE!</v>
      </c>
      <c r="FW3" t="e">
        <f>AND(Inputs!D45,"AAAAADZv87I=")</f>
        <v>#VALUE!</v>
      </c>
      <c r="FX3" t="e">
        <f>AND(Inputs!E45,"AAAAADZv87M=")</f>
        <v>#VALUE!</v>
      </c>
      <c r="FY3" t="e">
        <f>AND(Inputs!F45,"AAAAADZv87Q=")</f>
        <v>#VALUE!</v>
      </c>
      <c r="FZ3" t="e">
        <f>AND(Inputs!G45,"AAAAADZv87U=")</f>
        <v>#VALUE!</v>
      </c>
      <c r="GA3" t="e">
        <f>AND(Inputs!H45,"AAAAADZv87Y=")</f>
        <v>#VALUE!</v>
      </c>
      <c r="GB3" t="e">
        <f>AND(Inputs!I45,"AAAAADZv87c=")</f>
        <v>#VALUE!</v>
      </c>
      <c r="GC3" t="e">
        <f>AND(Inputs!J45,"AAAAADZv87g=")</f>
        <v>#VALUE!</v>
      </c>
      <c r="GD3" t="e">
        <f>AND(Inputs!K45,"AAAAADZv87k=")</f>
        <v>#VALUE!</v>
      </c>
      <c r="GE3" t="e">
        <f>AND(Inputs!L45,"AAAAADZv87o=")</f>
        <v>#VALUE!</v>
      </c>
      <c r="GF3" t="e">
        <f>AND(Inputs!M45,"AAAAADZv87s=")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f>IF(Inputs!46:46,"AAAAADZv88o=",0)</f>
        <v>0</v>
      </c>
      <c r="GV3" t="e">
        <f>AND(Inputs!A46,"AAAAADZv88s=")</f>
        <v>#VALUE!</v>
      </c>
      <c r="GW3" t="e">
        <f>AND(Inputs!B46,"AAAAADZv88w=")</f>
        <v>#VALUE!</v>
      </c>
      <c r="GX3" t="e">
        <f>AND(Inputs!C46,"AAAAADZv880=")</f>
        <v>#VALUE!</v>
      </c>
      <c r="GY3" t="e">
        <f>AND(Inputs!D46,"AAAAADZv884=")</f>
        <v>#VALUE!</v>
      </c>
      <c r="GZ3" t="e">
        <f>AND(Inputs!E46,"AAAAADZv888=")</f>
        <v>#VALUE!</v>
      </c>
      <c r="HA3" t="e">
        <f>AND(Inputs!F46,"AAAAADZv89A=")</f>
        <v>#VALUE!</v>
      </c>
      <c r="HB3" t="e">
        <f>AND(Inputs!G46,"AAAAADZv89E=")</f>
        <v>#VALUE!</v>
      </c>
      <c r="HC3" t="e">
        <f>AND(Inputs!H46,"AAAAADZv89I=")</f>
        <v>#VALUE!</v>
      </c>
      <c r="HD3" t="e">
        <f>AND(Inputs!I46,"AAAAADZv89M=")</f>
        <v>#VALUE!</v>
      </c>
      <c r="HE3" t="e">
        <f>AND(Inputs!J46,"AAAAADZv89Q=")</f>
        <v>#VALUE!</v>
      </c>
      <c r="HF3" t="e">
        <f>AND(Inputs!K46,"AAAAADZv89U=")</f>
        <v>#VALUE!</v>
      </c>
      <c r="HG3" t="e">
        <f>AND(Inputs!L46,"AAAAADZv89Y=")</f>
        <v>#VALUE!</v>
      </c>
      <c r="HH3" t="e">
        <f>AND(Inputs!M46,"AAAAADZv89c=")</f>
        <v>#VALUE!</v>
      </c>
      <c r="HI3">
        <f>IF(Inputs!47:47,"AAAAADZv89g=",0)</f>
        <v>0</v>
      </c>
      <c r="HJ3" t="e">
        <f>AND(Inputs!A47,"AAAAADZv89k=")</f>
        <v>#VALUE!</v>
      </c>
      <c r="HK3" t="e">
        <f>AND(Inputs!B47,"AAAAADZv89o=")</f>
        <v>#VALUE!</v>
      </c>
      <c r="HL3" t="e">
        <f>AND(Inputs!C47,"AAAAADZv89s=")</f>
        <v>#VALUE!</v>
      </c>
      <c r="HM3" t="e">
        <f>AND(Inputs!D47,"AAAAADZv89w=")</f>
        <v>#VALUE!</v>
      </c>
      <c r="HN3" t="e">
        <f>AND(Inputs!E47,"AAAAADZv890=")</f>
        <v>#VALUE!</v>
      </c>
      <c r="HO3" t="e">
        <f>AND(Inputs!F47,"AAAAADZv894=")</f>
        <v>#VALUE!</v>
      </c>
      <c r="HP3" t="e">
        <f>AND(Inputs!G47,"AAAAADZv898=")</f>
        <v>#VALUE!</v>
      </c>
      <c r="HQ3" t="e">
        <f>AND(Inputs!H47,"AAAAADZv8+A=")</f>
        <v>#VALUE!</v>
      </c>
      <c r="HR3" t="e">
        <f>AND(Inputs!I47,"AAAAADZv8+E=")</f>
        <v>#VALUE!</v>
      </c>
      <c r="HS3" t="e">
        <f>AND(Inputs!J47,"AAAAADZv8+I=")</f>
        <v>#VALUE!</v>
      </c>
      <c r="HT3" t="e">
        <f>AND(Inputs!K47,"AAAAADZv8+M=")</f>
        <v>#VALUE!</v>
      </c>
      <c r="HU3" t="e">
        <f>AND(Inputs!L47,"AAAAADZv8+Q=")</f>
        <v>#VALUE!</v>
      </c>
      <c r="HV3" t="e">
        <f>AND(Inputs!M47,"AAAAADZv8+U=")</f>
        <v>#VALUE!</v>
      </c>
      <c r="HW3">
        <f>IF(Inputs!48:48,"AAAAADZv8+Y=",0)</f>
        <v>0</v>
      </c>
      <c r="HX3" t="e">
        <f>AND(Inputs!A48,"AAAAADZv8+c=")</f>
        <v>#VALUE!</v>
      </c>
      <c r="HY3" t="e">
        <f>AND(Inputs!B48,"AAAAADZv8+g=")</f>
        <v>#VALUE!</v>
      </c>
      <c r="HZ3" t="e">
        <f>AND(Inputs!C48,"AAAAADZv8+k=")</f>
        <v>#VALUE!</v>
      </c>
      <c r="IA3" t="e">
        <f>AND(Inputs!D48,"AAAAADZv8+o=")</f>
        <v>#VALUE!</v>
      </c>
      <c r="IB3" t="e">
        <f>AND(Inputs!E48,"AAAAADZv8+s=")</f>
        <v>#VALUE!</v>
      </c>
      <c r="IC3" t="e">
        <f>AND(Inputs!F48,"AAAAADZv8+w=")</f>
        <v>#VALUE!</v>
      </c>
      <c r="ID3" t="e">
        <f>AND(Inputs!G48,"AAAAADZv8+0=")</f>
        <v>#VALUE!</v>
      </c>
      <c r="IE3" t="e">
        <f>AND(Inputs!H48,"AAAAADZv8+4=")</f>
        <v>#VALUE!</v>
      </c>
      <c r="IF3" t="e">
        <f>AND(Inputs!I48,"AAAAADZv8+8=")</f>
        <v>#VALUE!</v>
      </c>
      <c r="IG3" t="e">
        <f>AND(Inputs!J48,"AAAAADZv8/A=")</f>
        <v>#VALUE!</v>
      </c>
      <c r="IH3" t="e">
        <f>AND(Inputs!K48,"AAAAADZv8/E=")</f>
        <v>#VALUE!</v>
      </c>
      <c r="II3" t="e">
        <f>AND(Inputs!L48,"AAAAADZv8/I=")</f>
        <v>#VALUE!</v>
      </c>
      <c r="IJ3" t="e">
        <f>AND(Inputs!M48,"AAAAADZv8/M=")</f>
        <v>#VALUE!</v>
      </c>
      <c r="IK3">
        <f>IF(Inputs!49:49,"AAAAADZv8/Q=",0)</f>
        <v>0</v>
      </c>
      <c r="IL3" t="e">
        <f>AND(Inputs!A49,"AAAAADZv8/U=")</f>
        <v>#VALUE!</v>
      </c>
      <c r="IM3" t="e">
        <f>AND(Inputs!B49,"AAAAADZv8/Y=")</f>
        <v>#VALUE!</v>
      </c>
      <c r="IN3" t="e">
        <f>AND(Inputs!C49,"AAAAADZv8/c=")</f>
        <v>#VALUE!</v>
      </c>
      <c r="IO3" t="e">
        <f>AND(Inputs!D49,"AAAAADZv8/g=")</f>
        <v>#VALUE!</v>
      </c>
      <c r="IP3" t="e">
        <f>AND(Inputs!E49,"AAAAADZv8/k=")</f>
        <v>#VALUE!</v>
      </c>
      <c r="IQ3" t="e">
        <f>AND(Inputs!F49,"AAAAADZv8/o=")</f>
        <v>#VALUE!</v>
      </c>
      <c r="IR3" t="e">
        <f>AND(Inputs!G49,"AAAAADZv8/s=")</f>
        <v>#VALUE!</v>
      </c>
      <c r="IS3" t="e">
        <f>AND(Inputs!H49,"AAAAADZv8/w=")</f>
        <v>#VALUE!</v>
      </c>
      <c r="IT3" t="e">
        <f>AND(Inputs!I49,"AAAAADZv8/0=")</f>
        <v>#VALUE!</v>
      </c>
      <c r="IU3" t="e">
        <f>AND(Inputs!J49,"AAAAADZv8/4=")</f>
        <v>#VALUE!</v>
      </c>
      <c r="IV3" t="e">
        <f>AND(Inputs!K49,"AAAAADZv8/8=")</f>
        <v>#VALUE!</v>
      </c>
    </row>
    <row r="4" spans="1:256">
      <c r="A4" t="e">
        <f>AND(Inputs!L49,"AAAAAHZt9gA=")</f>
        <v>#VALUE!</v>
      </c>
      <c r="B4" t="e">
        <f>AND(Inputs!M49,"AAAAAHZt9gE=")</f>
        <v>#VALUE!</v>
      </c>
      <c r="C4">
        <f>IF(Inputs!50:50,"AAAAAHZt9gI=",0)</f>
        <v>0</v>
      </c>
      <c r="D4" t="e">
        <f>AND(Inputs!A50,"AAAAAHZt9gM=")</f>
        <v>#VALUE!</v>
      </c>
      <c r="E4" t="e">
        <f>AND(Inputs!B50,"AAAAAHZt9gQ=")</f>
        <v>#VALUE!</v>
      </c>
      <c r="F4" t="e">
        <f>AND(Inputs!C50,"AAAAAHZt9gU=")</f>
        <v>#VALUE!</v>
      </c>
      <c r="G4" t="e">
        <f>AND(Inputs!D50,"AAAAAHZt9gY=")</f>
        <v>#VALUE!</v>
      </c>
      <c r="H4" t="e">
        <f>AND(Inputs!E50,"AAAAAHZt9gc=")</f>
        <v>#VALUE!</v>
      </c>
      <c r="I4" t="e">
        <f>AND(Inputs!F50,"AAAAAHZt9gg=")</f>
        <v>#VALUE!</v>
      </c>
      <c r="J4" t="e">
        <f>AND(Inputs!G50,"AAAAAHZt9gk=")</f>
        <v>#VALUE!</v>
      </c>
      <c r="K4" t="e">
        <f>AND(Inputs!H50,"AAAAAHZt9go=")</f>
        <v>#VALUE!</v>
      </c>
      <c r="L4" t="e">
        <f>AND(Inputs!I50,"AAAAAHZt9gs=")</f>
        <v>#VALUE!</v>
      </c>
      <c r="M4" t="e">
        <f>AND(Inputs!J50,"AAAAAHZt9gw=")</f>
        <v>#VALUE!</v>
      </c>
      <c r="N4" t="e">
        <f>AND(Inputs!K50,"AAAAAHZt9g0=")</f>
        <v>#VALUE!</v>
      </c>
      <c r="O4" t="e">
        <f>AND(Inputs!L50,"AAAAAHZt9g4=")</f>
        <v>#VALUE!</v>
      </c>
      <c r="P4" t="e">
        <f>AND(Inputs!M50,"AAAAAHZt9g8=")</f>
        <v>#VALUE!</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f>IF(Inputs!51:51,"AAAAAHZt9lY=",0)</f>
        <v>0</v>
      </c>
      <c r="CJ4" t="e">
        <f>AND(Inputs!A51,"AAAAAHZt9lc=")</f>
        <v>#VALUE!</v>
      </c>
      <c r="CK4" t="e">
        <f>AND(Inputs!B51,"AAAAAHZt9lg=")</f>
        <v>#VALUE!</v>
      </c>
      <c r="CL4" t="e">
        <f>AND(Inputs!C51,"AAAAAHZt9lk=")</f>
        <v>#VALUE!</v>
      </c>
      <c r="CM4" t="e">
        <f>AND(Inputs!D51,"AAAAAHZt9lo=")</f>
        <v>#VALUE!</v>
      </c>
      <c r="CN4" t="e">
        <f>AND(Inputs!E51,"AAAAAHZt9ls=")</f>
        <v>#VALUE!</v>
      </c>
      <c r="CO4" t="e">
        <f>AND(Inputs!F51,"AAAAAHZt9lw=")</f>
        <v>#VALUE!</v>
      </c>
      <c r="CP4" t="e">
        <f>AND(Inputs!G51,"AAAAAHZt9l0=")</f>
        <v>#VALUE!</v>
      </c>
      <c r="CQ4" t="e">
        <f>AND(Inputs!H51,"AAAAAHZt9l4=")</f>
        <v>#VALUE!</v>
      </c>
      <c r="CR4" t="e">
        <f>AND(Inputs!I51,"AAAAAHZt9l8=")</f>
        <v>#VALUE!</v>
      </c>
      <c r="CS4" t="e">
        <f>AND(Inputs!J51,"AAAAAHZt9mA=")</f>
        <v>#VALUE!</v>
      </c>
      <c r="CT4" t="e">
        <f>AND(Inputs!K51,"AAAAAHZt9mE=")</f>
        <v>#VALUE!</v>
      </c>
      <c r="CU4" t="e">
        <f>AND(Inputs!L51,"AAAAAHZt9mI=")</f>
        <v>#VALUE!</v>
      </c>
      <c r="CV4" t="e">
        <f>AND(Inputs!M51,"AAAAAHZt9mM=")</f>
        <v>#VALUE!</v>
      </c>
      <c r="CW4">
        <f>IF(Inputs!52:52,"AAAAAHZt9mQ=",0)</f>
        <v>0</v>
      </c>
      <c r="CX4" t="e">
        <f>AND(Inputs!A52,"AAAAAHZt9mU=")</f>
        <v>#VALUE!</v>
      </c>
      <c r="CY4" t="e">
        <f>AND(Inputs!B52,"AAAAAHZt9mY=")</f>
        <v>#VALUE!</v>
      </c>
      <c r="CZ4" t="e">
        <f>AND(Inputs!C52,"AAAAAHZt9mc=")</f>
        <v>#VALUE!</v>
      </c>
      <c r="DA4" t="e">
        <f>AND(Inputs!D52,"AAAAAHZt9mg=")</f>
        <v>#VALUE!</v>
      </c>
      <c r="DB4" t="e">
        <f>AND(Inputs!E52,"AAAAAHZt9mk=")</f>
        <v>#VALUE!</v>
      </c>
      <c r="DC4" t="e">
        <f>AND(Inputs!F52,"AAAAAHZt9mo=")</f>
        <v>#VALUE!</v>
      </c>
      <c r="DD4" t="e">
        <f>AND(Inputs!G52,"AAAAAHZt9ms=")</f>
        <v>#VALUE!</v>
      </c>
      <c r="DE4" t="e">
        <f>AND(Inputs!H52,"AAAAAHZt9mw=")</f>
        <v>#VALUE!</v>
      </c>
      <c r="DF4" t="e">
        <f>AND(Inputs!I52,"AAAAAHZt9m0=")</f>
        <v>#VALUE!</v>
      </c>
      <c r="DG4" t="e">
        <f>AND(Inputs!J52,"AAAAAHZt9m4=")</f>
        <v>#VALUE!</v>
      </c>
      <c r="DH4" t="e">
        <f>AND(Inputs!K52,"AAAAAHZt9m8=")</f>
        <v>#VALUE!</v>
      </c>
      <c r="DI4" t="e">
        <f>AND(Inputs!L52,"AAAAAHZt9nA=")</f>
        <v>#VALUE!</v>
      </c>
      <c r="DJ4" t="e">
        <f>AND(Inputs!M52,"AAAAAHZt9nE=")</f>
        <v>#VALUE!</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f>IF(Inputs!53:53,"AAAAAHZt9o4=",0)</f>
        <v>0</v>
      </c>
      <c r="EN4" t="e">
        <f>AND(Inputs!A53,"AAAAAHZt9o8=")</f>
        <v>#VALUE!</v>
      </c>
      <c r="EO4" t="e">
        <f>AND(Inputs!B53,"AAAAAHZt9pA=")</f>
        <v>#VALUE!</v>
      </c>
      <c r="EP4" t="e">
        <f>AND(Inputs!C53,"AAAAAHZt9pE=")</f>
        <v>#VALUE!</v>
      </c>
      <c r="EQ4" t="e">
        <f>AND(Inputs!D53,"AAAAAHZt9pI=")</f>
        <v>#VALUE!</v>
      </c>
      <c r="ER4" t="e">
        <f>AND(Inputs!E53,"AAAAAHZt9pM=")</f>
        <v>#VALUE!</v>
      </c>
      <c r="ES4" t="e">
        <f>AND(Inputs!F53,"AAAAAHZt9pQ=")</f>
        <v>#VALUE!</v>
      </c>
      <c r="ET4" t="e">
        <f>AND(Inputs!G53,"AAAAAHZt9pU=")</f>
        <v>#VALUE!</v>
      </c>
      <c r="EU4" t="e">
        <f>AND(Inputs!H53,"AAAAAHZt9pY=")</f>
        <v>#VALUE!</v>
      </c>
      <c r="EV4" t="e">
        <f>AND(Inputs!I53,"AAAAAHZt9pc=")</f>
        <v>#VALUE!</v>
      </c>
      <c r="EW4" t="e">
        <f>AND(Inputs!J53,"AAAAAHZt9pg=")</f>
        <v>#VALUE!</v>
      </c>
      <c r="EX4" t="e">
        <f>AND(Inputs!K53,"AAAAAHZt9pk=")</f>
        <v>#VALUE!</v>
      </c>
      <c r="EY4" t="e">
        <f>AND(Inputs!L53,"AAAAAHZt9po=")</f>
        <v>#VALUE!</v>
      </c>
      <c r="EZ4" t="e">
        <f>AND(Inputs!M53,"AAAAAHZt9ps=")</f>
        <v>#VALUE!</v>
      </c>
      <c r="FA4">
        <f>IF(Inputs!54:54,"AAAAAHZt9pw=",0)</f>
        <v>0</v>
      </c>
      <c r="FB4" t="e">
        <f>AND(Inputs!A54,"AAAAAHZt9p0=")</f>
        <v>#VALUE!</v>
      </c>
      <c r="FC4" t="e">
        <f>AND(Inputs!B54,"AAAAAHZt9p4=")</f>
        <v>#VALUE!</v>
      </c>
      <c r="FD4" t="e">
        <f>AND(Inputs!C54,"AAAAAHZt9p8=")</f>
        <v>#VALUE!</v>
      </c>
      <c r="FE4" t="e">
        <f>AND(Inputs!D54,"AAAAAHZt9qA=")</f>
        <v>#VALUE!</v>
      </c>
      <c r="FF4" t="e">
        <f>AND(Inputs!E54,"AAAAAHZt9qE=")</f>
        <v>#VALUE!</v>
      </c>
      <c r="FG4" t="e">
        <f>AND(Inputs!F54,"AAAAAHZt9qI=")</f>
        <v>#VALUE!</v>
      </c>
      <c r="FH4" t="e">
        <f>AND(Inputs!G54,"AAAAAHZt9qM=")</f>
        <v>#VALUE!</v>
      </c>
      <c r="FI4" t="e">
        <f>AND(Inputs!H54,"AAAAAHZt9qQ=")</f>
        <v>#VALUE!</v>
      </c>
      <c r="FJ4" t="e">
        <f>AND(Inputs!I54,"AAAAAHZt9qU=")</f>
        <v>#VALUE!</v>
      </c>
      <c r="FK4" t="e">
        <f>AND(Inputs!J54,"AAAAAHZt9qY=")</f>
        <v>#VALUE!</v>
      </c>
      <c r="FL4" t="e">
        <f>AND(Inputs!K54,"AAAAAHZt9qc=")</f>
        <v>#VALUE!</v>
      </c>
      <c r="FM4" t="e">
        <f>AND(Inputs!L54,"AAAAAHZt9qg=")</f>
        <v>#VALUE!</v>
      </c>
      <c r="FN4" t="e">
        <f>AND(Inputs!M54,"AAAAAHZt9qk=")</f>
        <v>#VALUE!</v>
      </c>
      <c r="FO4">
        <f>IF(Inputs!55:55,"AAAAAHZt9qo=",0)</f>
        <v>0</v>
      </c>
      <c r="FP4" t="e">
        <f>AND(Inputs!A55,"AAAAAHZt9qs=")</f>
        <v>#VALUE!</v>
      </c>
      <c r="FQ4" t="e">
        <f>AND(Inputs!B55,"AAAAAHZt9qw=")</f>
        <v>#VALUE!</v>
      </c>
      <c r="FR4" t="e">
        <f>AND(Inputs!C55,"AAAAAHZt9q0=")</f>
        <v>#VALUE!</v>
      </c>
      <c r="FS4" t="e">
        <f>AND(Inputs!D55,"AAAAAHZt9q4=")</f>
        <v>#VALUE!</v>
      </c>
      <c r="FT4" t="e">
        <f>AND(Inputs!E55,"AAAAAHZt9q8=")</f>
        <v>#VALUE!</v>
      </c>
      <c r="FU4" t="e">
        <f>AND(Inputs!F55,"AAAAAHZt9rA=")</f>
        <v>#VALUE!</v>
      </c>
      <c r="FV4" t="e">
        <f>AND(Inputs!G55,"AAAAAHZt9rE=")</f>
        <v>#VALUE!</v>
      </c>
      <c r="FW4" t="e">
        <f>AND(Inputs!H55,"AAAAAHZt9rI=")</f>
        <v>#VALUE!</v>
      </c>
      <c r="FX4" t="e">
        <f>AND(Inputs!I55,"AAAAAHZt9rM=")</f>
        <v>#VALUE!</v>
      </c>
      <c r="FY4" t="e">
        <f>AND(Inputs!J55,"AAAAAHZt9rQ=")</f>
        <v>#VALUE!</v>
      </c>
      <c r="FZ4" t="e">
        <f>AND(Inputs!K55,"AAAAAHZt9rU=")</f>
        <v>#VALUE!</v>
      </c>
      <c r="GA4" t="e">
        <f>AND(Inputs!L55,"AAAAAHZt9rY=")</f>
        <v>#VALUE!</v>
      </c>
      <c r="GB4" t="e">
        <f>AND(Inputs!M55,"AAAAAHZt9rc=")</f>
        <v>#VALUE!</v>
      </c>
      <c r="GC4">
        <f>IF(Inputs!56:56,"AAAAAHZt9rg=",0)</f>
        <v>0</v>
      </c>
      <c r="GD4" t="e">
        <f>AND(Inputs!A56,"AAAAAHZt9rk=")</f>
        <v>#VALUE!</v>
      </c>
      <c r="GE4" t="e">
        <f>AND(Inputs!B56,"AAAAAHZt9ro=")</f>
        <v>#VALUE!</v>
      </c>
      <c r="GF4" t="e">
        <f>AND(Inputs!C56,"AAAAAHZt9rs=")</f>
        <v>#VALUE!</v>
      </c>
      <c r="GG4" t="e">
        <f>AND(Inputs!D56,"AAAAAHZt9rw=")</f>
        <v>#VALUE!</v>
      </c>
      <c r="GH4" t="e">
        <f>AND(Inputs!E56,"AAAAAHZt9r0=")</f>
        <v>#VALUE!</v>
      </c>
      <c r="GI4" t="e">
        <f>AND(Inputs!F56,"AAAAAHZt9r4=")</f>
        <v>#VALUE!</v>
      </c>
      <c r="GJ4" t="e">
        <f>AND(Inputs!G56,"AAAAAHZt9r8=")</f>
        <v>#VALUE!</v>
      </c>
      <c r="GK4" t="e">
        <f>AND(Inputs!H56,"AAAAAHZt9sA=")</f>
        <v>#VALUE!</v>
      </c>
      <c r="GL4" t="e">
        <f>AND(Inputs!I56,"AAAAAHZt9sE=")</f>
        <v>#VALUE!</v>
      </c>
      <c r="GM4" t="e">
        <f>AND(Inputs!J56,"AAAAAHZt9sI=")</f>
        <v>#VALUE!</v>
      </c>
      <c r="GN4" t="e">
        <f>AND(Inputs!K56,"AAAAAHZt9sM=")</f>
        <v>#VALUE!</v>
      </c>
      <c r="GO4" t="e">
        <f>AND(Inputs!L56,"AAAAAHZt9sQ=")</f>
        <v>#VALUE!</v>
      </c>
      <c r="GP4" t="e">
        <f>AND(Inputs!M56,"AAAAAHZt9sU=")</f>
        <v>#VALUE!</v>
      </c>
      <c r="GQ4">
        <f>IF(Inputs!57:57,"AAAAAHZt9sY=",0)</f>
        <v>0</v>
      </c>
      <c r="GR4" t="e">
        <f>AND(Inputs!A57,"AAAAAHZt9sc=")</f>
        <v>#VALUE!</v>
      </c>
      <c r="GS4" t="e">
        <f>AND(Inputs!B57,"AAAAAHZt9sg=")</f>
        <v>#VALUE!</v>
      </c>
      <c r="GT4" t="e">
        <f>AND(Inputs!C57,"AAAAAHZt9sk=")</f>
        <v>#VALUE!</v>
      </c>
      <c r="GU4" t="e">
        <f>AND(Inputs!D57,"AAAAAHZt9so=")</f>
        <v>#VALUE!</v>
      </c>
      <c r="GV4" t="e">
        <f>AND(Inputs!E57,"AAAAAHZt9ss=")</f>
        <v>#VALUE!</v>
      </c>
      <c r="GW4" t="e">
        <f>AND(Inputs!F57,"AAAAAHZt9sw=")</f>
        <v>#VALUE!</v>
      </c>
      <c r="GX4" t="e">
        <f>AND(Inputs!G57,"AAAAAHZt9s0=")</f>
        <v>#VALUE!</v>
      </c>
      <c r="GY4" t="e">
        <f>AND(Inputs!H57,"AAAAAHZt9s4=")</f>
        <v>#VALUE!</v>
      </c>
      <c r="GZ4" t="e">
        <f>AND(Inputs!I57,"AAAAAHZt9s8=")</f>
        <v>#VALUE!</v>
      </c>
      <c r="HA4" t="e">
        <f>AND(Inputs!J57,"AAAAAHZt9tA=")</f>
        <v>#VALUE!</v>
      </c>
      <c r="HB4" t="e">
        <f>AND(Inputs!K57,"AAAAAHZt9tE=")</f>
        <v>#VALUE!</v>
      </c>
      <c r="HC4" t="e">
        <f>AND(Inputs!L57,"AAAAAHZt9tI=")</f>
        <v>#VALUE!</v>
      </c>
      <c r="HD4" t="e">
        <f>AND(Inputs!M57,"AAAAAHZt9tM=")</f>
        <v>#VALUE!</v>
      </c>
      <c r="HE4">
        <f>IF(Inputs!58:58,"AAAAAHZt9tQ=",0)</f>
        <v>0</v>
      </c>
      <c r="HF4" t="e">
        <f>AND(Inputs!A58,"AAAAAHZt9tU=")</f>
        <v>#VALUE!</v>
      </c>
      <c r="HG4" t="e">
        <f>AND(Inputs!B58,"AAAAAHZt9tY=")</f>
        <v>#VALUE!</v>
      </c>
      <c r="HH4" t="e">
        <f>AND(Inputs!C58,"AAAAAHZt9tc=")</f>
        <v>#VALUE!</v>
      </c>
      <c r="HI4" t="e">
        <f>AND(Inputs!D58,"AAAAAHZt9tg=")</f>
        <v>#VALUE!</v>
      </c>
      <c r="HJ4" t="e">
        <f>AND(Inputs!E58,"AAAAAHZt9tk=")</f>
        <v>#VALUE!</v>
      </c>
      <c r="HK4" t="e">
        <f>AND(Inputs!F58,"AAAAAHZt9to=")</f>
        <v>#VALUE!</v>
      </c>
      <c r="HL4" t="e">
        <f>AND(Inputs!G58,"AAAAAHZt9ts=")</f>
        <v>#VALUE!</v>
      </c>
      <c r="HM4" t="e">
        <f>AND(Inputs!H58,"AAAAAHZt9tw=")</f>
        <v>#VALUE!</v>
      </c>
      <c r="HN4" t="e">
        <f>AND(Inputs!I58,"AAAAAHZt9t0=")</f>
        <v>#VALUE!</v>
      </c>
      <c r="HO4" t="e">
        <f>AND(Inputs!J58,"AAAAAHZt9t4=")</f>
        <v>#VALUE!</v>
      </c>
      <c r="HP4" t="e">
        <f>AND(Inputs!K58,"AAAAAHZt9t8=")</f>
        <v>#VALUE!</v>
      </c>
      <c r="HQ4" t="e">
        <f>AND(Inputs!L58,"AAAAAHZt9uA=")</f>
        <v>#VALUE!</v>
      </c>
      <c r="HR4" t="e">
        <f>AND(Inputs!M58,"AAAAAHZt9uE=")</f>
        <v>#VALUE!</v>
      </c>
      <c r="HS4">
        <f>IF(Inputs!59:59,"AAAAAHZt9uI=",0)</f>
        <v>0</v>
      </c>
      <c r="HT4" t="e">
        <f>AND(Inputs!A59,"AAAAAHZt9uM=")</f>
        <v>#VALUE!</v>
      </c>
      <c r="HU4" t="e">
        <f>AND(Inputs!B59,"AAAAAHZt9uQ=")</f>
        <v>#VALUE!</v>
      </c>
      <c r="HV4" t="e">
        <f>AND(Inputs!C59,"AAAAAHZt9uU=")</f>
        <v>#VALUE!</v>
      </c>
      <c r="HW4" t="e">
        <f>AND(Inputs!D59,"AAAAAHZt9uY=")</f>
        <v>#VALUE!</v>
      </c>
      <c r="HX4" t="e">
        <f>AND(Inputs!E59,"AAAAAHZt9uc=")</f>
        <v>#VALUE!</v>
      </c>
      <c r="HY4" t="e">
        <f>AND(Inputs!F59,"AAAAAHZt9ug=")</f>
        <v>#VALUE!</v>
      </c>
      <c r="HZ4" t="e">
        <f>AND(Inputs!G59,"AAAAAHZt9uk=")</f>
        <v>#VALUE!</v>
      </c>
      <c r="IA4" t="e">
        <f>AND(Inputs!H59,"AAAAAHZt9uo=")</f>
        <v>#VALUE!</v>
      </c>
      <c r="IB4" t="e">
        <f>AND(Inputs!I59,"AAAAAHZt9us=")</f>
        <v>#VALUE!</v>
      </c>
      <c r="IC4" t="e">
        <f>AND(Inputs!J59,"AAAAAHZt9uw=")</f>
        <v>#VALUE!</v>
      </c>
      <c r="ID4" t="e">
        <f>AND(Inputs!K59,"AAAAAHZt9u0=")</f>
        <v>#VALUE!</v>
      </c>
      <c r="IE4" t="e">
        <f>AND(Inputs!L59,"AAAAAHZt9u4=")</f>
        <v>#VALUE!</v>
      </c>
      <c r="IF4" t="e">
        <f>AND(Inputs!M59,"AAAAAHZt9u8=")</f>
        <v>#VALUE!</v>
      </c>
      <c r="IG4">
        <f>IF(Inputs!60:60,"AAAAAHZt9vA=",0)</f>
        <v>0</v>
      </c>
      <c r="IH4" t="e">
        <f>AND(Inputs!A60,"AAAAAHZt9vE=")</f>
        <v>#VALUE!</v>
      </c>
      <c r="II4" t="e">
        <f>AND(Inputs!B60,"AAAAAHZt9vI=")</f>
        <v>#VALUE!</v>
      </c>
      <c r="IJ4" t="e">
        <f>AND(Inputs!C60,"AAAAAHZt9vM=")</f>
        <v>#VALUE!</v>
      </c>
      <c r="IK4" t="e">
        <f>AND(Inputs!D60,"AAAAAHZt9vQ=")</f>
        <v>#VALUE!</v>
      </c>
      <c r="IL4" t="e">
        <f>AND(Inputs!E60,"AAAAAHZt9vU=")</f>
        <v>#VALUE!</v>
      </c>
      <c r="IM4" t="e">
        <f>AND(Inputs!F60,"AAAAAHZt9vY=")</f>
        <v>#VALUE!</v>
      </c>
      <c r="IN4" t="e">
        <f>AND(Inputs!G60,"AAAAAHZt9vc=")</f>
        <v>#VALUE!</v>
      </c>
      <c r="IO4" t="e">
        <f>AND(Inputs!H60,"AAAAAHZt9vg=")</f>
        <v>#VALUE!</v>
      </c>
      <c r="IP4" t="e">
        <f>AND(Inputs!I60,"AAAAAHZt9vk=")</f>
        <v>#VALUE!</v>
      </c>
      <c r="IQ4" t="e">
        <f>AND(Inputs!J60,"AAAAAHZt9vo=")</f>
        <v>#VALUE!</v>
      </c>
      <c r="IR4" t="e">
        <f>AND(Inputs!K60,"AAAAAHZt9vs=")</f>
        <v>#VALUE!</v>
      </c>
      <c r="IS4" t="e">
        <f>AND(Inputs!L60,"AAAAAHZt9vw=")</f>
        <v>#VALUE!</v>
      </c>
      <c r="IT4" t="e">
        <f>AND(Inputs!M60,"AAAAAHZt9v0=")</f>
        <v>#VALUE!</v>
      </c>
      <c r="IU4">
        <f>IF(Inputs!61:61,"AAAAAHZt9v4=",0)</f>
        <v>0</v>
      </c>
      <c r="IV4" t="e">
        <f>AND(Inputs!A61,"AAAAAHZt9v8=")</f>
        <v>#VALUE!</v>
      </c>
    </row>
    <row r="5" spans="1:256">
      <c r="A5" t="e">
        <f>AND(Inputs!B61,"AAAAAH9/rwA=")</f>
        <v>#VALUE!</v>
      </c>
      <c r="B5" t="e">
        <f>AND(Inputs!C61,"AAAAAH9/rwE=")</f>
        <v>#VALUE!</v>
      </c>
      <c r="C5" t="e">
        <f>AND(Inputs!D61,"AAAAAH9/rwI=")</f>
        <v>#VALUE!</v>
      </c>
      <c r="D5" t="e">
        <f>AND(Inputs!E61,"AAAAAH9/rwM=")</f>
        <v>#VALUE!</v>
      </c>
      <c r="E5" t="e">
        <f>AND(Inputs!F61,"AAAAAH9/rwQ=")</f>
        <v>#VALUE!</v>
      </c>
      <c r="F5" t="e">
        <f>AND(Inputs!G61,"AAAAAH9/rwU=")</f>
        <v>#VALUE!</v>
      </c>
      <c r="G5" t="e">
        <f>AND(Inputs!H61,"AAAAAH9/rwY=")</f>
        <v>#VALUE!</v>
      </c>
      <c r="H5" t="e">
        <f>AND(Inputs!I61,"AAAAAH9/rwc=")</f>
        <v>#VALUE!</v>
      </c>
      <c r="I5" t="e">
        <f>AND(Inputs!J61,"AAAAAH9/rwg=")</f>
        <v>#VALUE!</v>
      </c>
      <c r="J5" t="e">
        <f>AND(Inputs!K61,"AAAAAH9/rwk=")</f>
        <v>#VALUE!</v>
      </c>
      <c r="K5" t="e">
        <f>AND(Inputs!L61,"AAAAAH9/rwo=")</f>
        <v>#VALUE!</v>
      </c>
      <c r="L5" t="e">
        <f>AND(Inputs!M61,"AAAAAH9/rws=")</f>
        <v>#VALUE!</v>
      </c>
      <c r="M5">
        <f>IF(Inputs!62:62,"AAAAAH9/rww=",0)</f>
        <v>0</v>
      </c>
      <c r="N5" t="e">
        <f>AND(Inputs!A62,"AAAAAH9/rw0=")</f>
        <v>#VALUE!</v>
      </c>
      <c r="O5" t="e">
        <f>AND(Inputs!B62,"AAAAAH9/rw4=")</f>
        <v>#VALUE!</v>
      </c>
      <c r="P5" t="e">
        <f>AND(Inputs!C62,"AAAAAH9/rw8=")</f>
        <v>#VALUE!</v>
      </c>
      <c r="Q5" t="e">
        <f>AND(Inputs!D62,"AAAAAH9/rxA=")</f>
        <v>#VALUE!</v>
      </c>
      <c r="R5" t="e">
        <f>AND(Inputs!E62,"AAAAAH9/rxE=")</f>
        <v>#VALUE!</v>
      </c>
      <c r="S5" t="e">
        <f>AND(Inputs!F62,"AAAAAH9/rxI=")</f>
        <v>#VALUE!</v>
      </c>
      <c r="T5" t="e">
        <f>AND(Inputs!G62,"AAAAAH9/rxM=")</f>
        <v>#VALUE!</v>
      </c>
      <c r="U5" t="e">
        <f>AND(Inputs!H62,"AAAAAH9/rxQ=")</f>
        <v>#VALUE!</v>
      </c>
      <c r="V5" t="e">
        <f>AND(Inputs!I62,"AAAAAH9/rxU=")</f>
        <v>#VALUE!</v>
      </c>
      <c r="W5" t="e">
        <f>AND(Inputs!J62,"AAAAAH9/rxY=")</f>
        <v>#VALUE!</v>
      </c>
      <c r="X5" t="e">
        <f>AND(Inputs!K62,"AAAAAH9/rxc=")</f>
        <v>#VALUE!</v>
      </c>
      <c r="Y5" t="e">
        <f>AND(Inputs!L62,"AAAAAH9/rxg=")</f>
        <v>#VALUE!</v>
      </c>
      <c r="Z5" t="e">
        <f>AND(Inputs!M62,"AAAAAH9/rxk=")</f>
        <v>#VALUE!</v>
      </c>
      <c r="AA5">
        <f>IF(Inputs!63:63,"AAAAAH9/rxo=",0)</f>
        <v>0</v>
      </c>
      <c r="AB5" t="e">
        <f>AND(Inputs!A63,"AAAAAH9/rxs=")</f>
        <v>#VALUE!</v>
      </c>
      <c r="AC5" t="e">
        <f>AND(Inputs!B63,"AAAAAH9/rxw=")</f>
        <v>#VALUE!</v>
      </c>
      <c r="AD5" t="e">
        <f>AND(Inputs!C63,"AAAAAH9/rx0=")</f>
        <v>#VALUE!</v>
      </c>
      <c r="AE5" t="e">
        <f>AND(Inputs!D63,"AAAAAH9/rx4=")</f>
        <v>#VALUE!</v>
      </c>
      <c r="AF5" t="e">
        <f>AND(Inputs!E63,"AAAAAH9/rx8=")</f>
        <v>#VALUE!</v>
      </c>
      <c r="AG5" t="e">
        <f>AND(Inputs!F63,"AAAAAH9/ryA=")</f>
        <v>#VALUE!</v>
      </c>
      <c r="AH5" t="e">
        <f>AND(Inputs!G63,"AAAAAH9/ryE=")</f>
        <v>#VALUE!</v>
      </c>
      <c r="AI5" t="e">
        <f>AND(Inputs!H63,"AAAAAH9/ryI=")</f>
        <v>#VALUE!</v>
      </c>
      <c r="AJ5" t="e">
        <f>AND(Inputs!I63,"AAAAAH9/ryM=")</f>
        <v>#VALUE!</v>
      </c>
      <c r="AK5" t="e">
        <f>AND(Inputs!J63,"AAAAAH9/ryQ=")</f>
        <v>#VALUE!</v>
      </c>
      <c r="AL5" t="e">
        <f>AND(Inputs!K63,"AAAAAH9/ryU=")</f>
        <v>#VALUE!</v>
      </c>
      <c r="AM5" t="e">
        <f>AND(Inputs!L63,"AAAAAH9/ryY=")</f>
        <v>#VALUE!</v>
      </c>
      <c r="AN5" t="e">
        <f>AND(Inputs!M63,"AAAAAH9/ryc=")</f>
        <v>#VALUE!</v>
      </c>
      <c r="AO5">
        <f>IF(Inputs!64:64,"AAAAAH9/ryg=",0)</f>
        <v>0</v>
      </c>
      <c r="AP5" t="e">
        <f>AND(Inputs!A64,"AAAAAH9/ryk=")</f>
        <v>#VALUE!</v>
      </c>
      <c r="AQ5" t="e">
        <f>AND(Inputs!B64,"AAAAAH9/ryo=")</f>
        <v>#VALUE!</v>
      </c>
      <c r="AR5" t="e">
        <f>AND(Inputs!C64,"AAAAAH9/rys=")</f>
        <v>#VALUE!</v>
      </c>
      <c r="AS5" t="e">
        <f>AND(Inputs!D64,"AAAAAH9/ryw=")</f>
        <v>#VALUE!</v>
      </c>
      <c r="AT5" t="e">
        <f>AND(Inputs!E64,"AAAAAH9/ry0=")</f>
        <v>#VALUE!</v>
      </c>
      <c r="AU5" t="e">
        <f>AND(Inputs!F64,"AAAAAH9/ry4=")</f>
        <v>#VALUE!</v>
      </c>
      <c r="AV5" t="e">
        <f>AND(Inputs!G64,"AAAAAH9/ry8=")</f>
        <v>#VALUE!</v>
      </c>
      <c r="AW5" t="e">
        <f>AND(Inputs!H64,"AAAAAH9/rzA=")</f>
        <v>#VALUE!</v>
      </c>
      <c r="AX5" t="e">
        <f>AND(Inputs!I64,"AAAAAH9/rzE=")</f>
        <v>#VALUE!</v>
      </c>
      <c r="AY5" t="e">
        <f>AND(Inputs!J64,"AAAAAH9/rzI=")</f>
        <v>#VALUE!</v>
      </c>
      <c r="AZ5" t="e">
        <f>AND(Inputs!K64,"AAAAAH9/rzM=")</f>
        <v>#VALUE!</v>
      </c>
      <c r="BA5" t="e">
        <f>AND(Inputs!L64,"AAAAAH9/rzQ=")</f>
        <v>#VALUE!</v>
      </c>
      <c r="BB5" t="e">
        <f>AND(Inputs!M64,"AAAAAH9/rzU=")</f>
        <v>#VALUE!</v>
      </c>
      <c r="BC5">
        <f>IF(Inputs!65:65,"AAAAAH9/rzY=",0)</f>
        <v>0</v>
      </c>
      <c r="BD5" t="e">
        <f>AND(Inputs!A65,"AAAAAH9/rzc=")</f>
        <v>#VALUE!</v>
      </c>
      <c r="BE5" t="e">
        <f>AND(Inputs!B65,"AAAAAH9/rzg=")</f>
        <v>#VALUE!</v>
      </c>
      <c r="BF5" t="e">
        <f>AND(Inputs!C65,"AAAAAH9/rzk=")</f>
        <v>#VALUE!</v>
      </c>
      <c r="BG5" t="e">
        <f>AND(Inputs!D65,"AAAAAH9/rzo=")</f>
        <v>#VALUE!</v>
      </c>
      <c r="BH5" t="e">
        <f>AND(Inputs!E65,"AAAAAH9/rzs=")</f>
        <v>#VALUE!</v>
      </c>
      <c r="BI5" t="e">
        <f>AND(Inputs!F65,"AAAAAH9/rzw=")</f>
        <v>#VALUE!</v>
      </c>
      <c r="BJ5" t="e">
        <f>AND(Inputs!G65,"AAAAAH9/rz0=")</f>
        <v>#VALUE!</v>
      </c>
      <c r="BK5" t="e">
        <f>AND(Inputs!H65,"AAAAAH9/rz4=")</f>
        <v>#VALUE!</v>
      </c>
      <c r="BL5" t="e">
        <f>AND(Inputs!I65,"AAAAAH9/rz8=")</f>
        <v>#VALUE!</v>
      </c>
      <c r="BM5" t="e">
        <f>AND(Inputs!J65,"AAAAAH9/r0A=")</f>
        <v>#VALUE!</v>
      </c>
      <c r="BN5" t="e">
        <f>AND(Inputs!K65,"AAAAAH9/r0E=")</f>
        <v>#VALUE!</v>
      </c>
      <c r="BO5" t="e">
        <f>AND(Inputs!L65,"AAAAAH9/r0I=")</f>
        <v>#VALUE!</v>
      </c>
      <c r="BP5" t="e">
        <f>AND(Inputs!M65,"AAAAAH9/r0M=")</f>
        <v>#VALUE!</v>
      </c>
      <c r="BQ5">
        <f>IF(Inputs!66:66,"AAAAAH9/r0Q=",0)</f>
        <v>0</v>
      </c>
      <c r="BR5" t="e">
        <f>AND(Inputs!A66,"AAAAAH9/r0U=")</f>
        <v>#VALUE!</v>
      </c>
      <c r="BS5" t="e">
        <f>AND(Inputs!B66,"AAAAAH9/r0Y=")</f>
        <v>#VALUE!</v>
      </c>
      <c r="BT5" t="e">
        <f>AND(Inputs!C66,"AAAAAH9/r0c=")</f>
        <v>#VALUE!</v>
      </c>
      <c r="BU5" t="e">
        <f>AND(Inputs!D66,"AAAAAH9/r0g=")</f>
        <v>#VALUE!</v>
      </c>
      <c r="BV5" t="e">
        <f>AND(Inputs!E66,"AAAAAH9/r0k=")</f>
        <v>#VALUE!</v>
      </c>
      <c r="BW5" t="e">
        <f>AND(Inputs!F66,"AAAAAH9/r0o=")</f>
        <v>#VALUE!</v>
      </c>
      <c r="BX5" t="e">
        <f>AND(Inputs!G66,"AAAAAH9/r0s=")</f>
        <v>#VALUE!</v>
      </c>
      <c r="BY5" t="e">
        <f>AND(Inputs!H66,"AAAAAH9/r0w=")</f>
        <v>#VALUE!</v>
      </c>
      <c r="BZ5" t="e">
        <f>AND(Inputs!I66,"AAAAAH9/r00=")</f>
        <v>#VALUE!</v>
      </c>
      <c r="CA5" t="e">
        <f>AND(Inputs!J66,"AAAAAH9/r04=")</f>
        <v>#VALUE!</v>
      </c>
      <c r="CB5" t="e">
        <f>AND(Inputs!K66,"AAAAAH9/r08=")</f>
        <v>#VALUE!</v>
      </c>
      <c r="CC5" t="e">
        <f>AND(Inputs!L66,"AAAAAH9/r1A=")</f>
        <v>#VALUE!</v>
      </c>
      <c r="CD5" t="e">
        <f>AND(Inputs!M66,"AAAAAH9/r1E=")</f>
        <v>#VALUE!</v>
      </c>
      <c r="CE5">
        <f>IF(Inputs!67:67,"AAAAAH9/r1I=",0)</f>
        <v>0</v>
      </c>
      <c r="CF5" t="e">
        <f>AND(Inputs!A67,"AAAAAH9/r1M=")</f>
        <v>#VALUE!</v>
      </c>
      <c r="CG5" t="e">
        <f>AND(Inputs!B67,"AAAAAH9/r1Q=")</f>
        <v>#VALUE!</v>
      </c>
      <c r="CH5" t="e">
        <f>AND(Inputs!C67,"AAAAAH9/r1U=")</f>
        <v>#VALUE!</v>
      </c>
      <c r="CI5" t="e">
        <f>AND(Inputs!D67,"AAAAAH9/r1Y=")</f>
        <v>#VALUE!</v>
      </c>
      <c r="CJ5" t="e">
        <f>AND(Inputs!E67,"AAAAAH9/r1c=")</f>
        <v>#VALUE!</v>
      </c>
      <c r="CK5" t="e">
        <f>AND(Inputs!F67,"AAAAAH9/r1g=")</f>
        <v>#VALUE!</v>
      </c>
      <c r="CL5" t="e">
        <f>AND(Inputs!G67,"AAAAAH9/r1k=")</f>
        <v>#VALUE!</v>
      </c>
      <c r="CM5" t="e">
        <f>AND(Inputs!H67,"AAAAAH9/r1o=")</f>
        <v>#VALUE!</v>
      </c>
      <c r="CN5" t="e">
        <f>AND(Inputs!I67,"AAAAAH9/r1s=")</f>
        <v>#VALUE!</v>
      </c>
      <c r="CO5" t="e">
        <f>AND(Inputs!J67,"AAAAAH9/r1w=")</f>
        <v>#VALUE!</v>
      </c>
      <c r="CP5" t="e">
        <f>AND(Inputs!K67,"AAAAAH9/r10=")</f>
        <v>#VALUE!</v>
      </c>
      <c r="CQ5" t="e">
        <f>AND(Inputs!L67,"AAAAAH9/r14=")</f>
        <v>#VALUE!</v>
      </c>
      <c r="CR5" t="e">
        <f>AND(Inputs!M67,"AAAAAH9/r18=")</f>
        <v>#VALUE!</v>
      </c>
      <c r="CS5">
        <f>IF(Inputs!68:68,"AAAAAH9/r2A=",0)</f>
        <v>0</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 - Criteria'!1:1,"AAAAAH9/r24=",0)</f>
        <v>0</v>
      </c>
      <c r="DH5" t="e">
        <f>AND('Output - Criteria'!A1,"AAAAAH9/r28=")</f>
        <v>#VALUE!</v>
      </c>
      <c r="DI5" t="e">
        <f>AND('Output - Criteria'!B1,"AAAAAH9/r3A=")</f>
        <v>#VALUE!</v>
      </c>
      <c r="DJ5" t="e">
        <f>AND('Output - Criteria'!C1,"AAAAAH9/r3E=")</f>
        <v>#VALUE!</v>
      </c>
      <c r="DK5" t="e">
        <f>AND('Output - Criteria'!D1,"AAAAAH9/r3I=")</f>
        <v>#VALUE!</v>
      </c>
      <c r="DL5" t="e">
        <f>AND('Output - Criteria'!E1,"AAAAAH9/r3M=")</f>
        <v>#VALUE!</v>
      </c>
      <c r="DM5" t="e">
        <f>AND('Output - Criteria'!F1,"AAAAAH9/r3Q=")</f>
        <v>#VALUE!</v>
      </c>
      <c r="DN5" t="e">
        <f>AND('Output - Criteria'!G1,"AAAAAH9/r3U=")</f>
        <v>#VALUE!</v>
      </c>
      <c r="DO5" t="e">
        <f>AND('Output - Criteria'!H1,"AAAAAH9/r3Y=")</f>
        <v>#VALUE!</v>
      </c>
      <c r="DP5" t="e">
        <f>AND('Output - Criteria'!I1,"AAAAAH9/r3c=")</f>
        <v>#VALUE!</v>
      </c>
      <c r="DQ5" t="e">
        <f>AND('Output - Criteria'!J1,"AAAAAH9/r3g=")</f>
        <v>#VALUE!</v>
      </c>
      <c r="DR5" t="e">
        <f>AND('Output - Criteria'!K1,"AAAAAH9/r3k=")</f>
        <v>#VALUE!</v>
      </c>
      <c r="DS5" t="e">
        <f>AND('Output - Criteria'!L1,"AAAAAH9/r3o=")</f>
        <v>#VALUE!</v>
      </c>
      <c r="DT5">
        <f>IF('Output - Criteria'!2:2,"AAAAAH9/r3s=",0)</f>
        <v>0</v>
      </c>
      <c r="DU5" t="e">
        <f>AND('Output - Criteria'!A2,"AAAAAH9/r3w=")</f>
        <v>#VALUE!</v>
      </c>
      <c r="DV5" t="e">
        <f>AND('Output - Criteria'!B2,"AAAAAH9/r30=")</f>
        <v>#VALUE!</v>
      </c>
      <c r="DW5" t="e">
        <f>AND('Output - Criteria'!C2,"AAAAAH9/r34=")</f>
        <v>#VALUE!</v>
      </c>
      <c r="DX5" t="e">
        <f>AND('Output - Criteria'!D2,"AAAAAH9/r38=")</f>
        <v>#VALUE!</v>
      </c>
      <c r="DY5" t="e">
        <f>AND('Output - Criteria'!E2,"AAAAAH9/r4A=")</f>
        <v>#VALUE!</v>
      </c>
      <c r="DZ5" t="e">
        <f>AND('Output - Criteria'!F2,"AAAAAH9/r4E=")</f>
        <v>#VALUE!</v>
      </c>
      <c r="EA5" t="e">
        <f>AND('Output - Criteria'!G2,"AAAAAH9/r4I=")</f>
        <v>#VALUE!</v>
      </c>
      <c r="EB5" t="e">
        <f>AND('Output - Criteria'!H2,"AAAAAH9/r4M=")</f>
        <v>#VALUE!</v>
      </c>
      <c r="EC5" t="e">
        <f>AND('Output - Criteria'!I2,"AAAAAH9/r4Q=")</f>
        <v>#VALUE!</v>
      </c>
      <c r="ED5" t="e">
        <f>AND('Output - Criteria'!J2,"AAAAAH9/r4U=")</f>
        <v>#VALUE!</v>
      </c>
      <c r="EE5" t="e">
        <f>AND('Output - Criteria'!K2,"AAAAAH9/r4Y=")</f>
        <v>#VALUE!</v>
      </c>
      <c r="EF5" t="e">
        <f>AND('Output - Criteria'!L2,"AAAAAH9/r4c=")</f>
        <v>#VALUE!</v>
      </c>
      <c r="EG5" t="e">
        <f>IF('Output - Criteria'!#REF!,"AAAAAH9/r4g=",0)</f>
        <v>#REF!</v>
      </c>
      <c r="EH5" t="e">
        <f>AND('Output - Criteria'!#REF!,"AAAAAH9/r4k=")</f>
        <v>#REF!</v>
      </c>
      <c r="EI5" t="e">
        <f>AND('Output - Criteria'!#REF!,"AAAAAH9/r4o=")</f>
        <v>#REF!</v>
      </c>
      <c r="EJ5" t="e">
        <f>AND('Output - Criteria'!#REF!,"AAAAAH9/r4s=")</f>
        <v>#REF!</v>
      </c>
      <c r="EK5" t="e">
        <f>AND('Output - Criteria'!#REF!,"AAAAAH9/r4w=")</f>
        <v>#REF!</v>
      </c>
      <c r="EL5" t="e">
        <f>AND('Output - Criteria'!#REF!,"AAAAAH9/r40=")</f>
        <v>#REF!</v>
      </c>
      <c r="EM5" t="e">
        <f>AND('Output - Criteria'!#REF!,"AAAAAH9/r44=")</f>
        <v>#REF!</v>
      </c>
      <c r="EN5" t="e">
        <f>AND('Output - Criteria'!#REF!,"AAAAAH9/r48=")</f>
        <v>#REF!</v>
      </c>
      <c r="EO5" t="e">
        <f>AND('Output - Criteria'!#REF!,"AAAAAH9/r5A=")</f>
        <v>#REF!</v>
      </c>
      <c r="EP5" t="e">
        <f>AND('Output - Criteria'!#REF!,"AAAAAH9/r5E=")</f>
        <v>#REF!</v>
      </c>
      <c r="EQ5" t="e">
        <f>AND('Output - Criteria'!#REF!,"AAAAAH9/r5I=")</f>
        <v>#REF!</v>
      </c>
      <c r="ER5" t="e">
        <f>AND('Output - Criteria'!#REF!,"AAAAAH9/r5M=")</f>
        <v>#REF!</v>
      </c>
      <c r="ES5" t="e">
        <f>AND('Output - Criteria'!#REF!,"AAAAAH9/r5Q=")</f>
        <v>#REF!</v>
      </c>
      <c r="ET5">
        <f>IF('Output - Criteria'!5:5,"AAAAAH9/r5U=",0)</f>
        <v>0</v>
      </c>
      <c r="EU5" t="e">
        <f>AND('Output - Criteria'!A5,"AAAAAH9/r5Y=")</f>
        <v>#VALUE!</v>
      </c>
      <c r="EV5" t="e">
        <f>AND('Output - Criteria'!B5,"AAAAAH9/r5c=")</f>
        <v>#VALUE!</v>
      </c>
      <c r="EW5" t="e">
        <f>AND('Output - Criteria'!C5,"AAAAAH9/r5g=")</f>
        <v>#VALUE!</v>
      </c>
      <c r="EX5" t="e">
        <f>AND('Output - Criteria'!D5,"AAAAAH9/r5k=")</f>
        <v>#VALUE!</v>
      </c>
      <c r="EY5" t="e">
        <f>AND('Output - Criteria'!E5,"AAAAAH9/r5o=")</f>
        <v>#VALUE!</v>
      </c>
      <c r="EZ5" t="e">
        <f>AND('Output - Criteria'!F5,"AAAAAH9/r5s=")</f>
        <v>#VALUE!</v>
      </c>
      <c r="FA5" t="e">
        <f>AND('Output - Criteria'!G5,"AAAAAH9/r5w=")</f>
        <v>#VALUE!</v>
      </c>
      <c r="FB5" t="e">
        <f>AND('Output - Criteria'!H5,"AAAAAH9/r50=")</f>
        <v>#VALUE!</v>
      </c>
      <c r="FC5" t="e">
        <f>AND('Output - Criteria'!I5,"AAAAAH9/r54=")</f>
        <v>#VALUE!</v>
      </c>
      <c r="FD5" t="e">
        <f>AND('Output - Criteria'!J5,"AAAAAH9/r58=")</f>
        <v>#VALUE!</v>
      </c>
      <c r="FE5" t="e">
        <f>AND('Output - Criteria'!K5,"AAAAAH9/r6A=")</f>
        <v>#VALUE!</v>
      </c>
      <c r="FF5" t="e">
        <f>AND('Output - Criteria'!L5,"AAAAAH9/r6E=")</f>
        <v>#VALUE!</v>
      </c>
      <c r="FG5">
        <f>IF('Output - Criteria'!6:6,"AAAAAH9/r6I=",0)</f>
        <v>0</v>
      </c>
      <c r="FH5" t="e">
        <f>AND('Output - Criteria'!A6,"AAAAAH9/r6M=")</f>
        <v>#VALUE!</v>
      </c>
      <c r="FI5" t="e">
        <f>AND('Output - Criteria'!B6,"AAAAAH9/r6Q=")</f>
        <v>#VALUE!</v>
      </c>
      <c r="FJ5" t="e">
        <f>AND('Output - Criteria'!#REF!,"AAAAAH9/r6U=")</f>
        <v>#REF!</v>
      </c>
      <c r="FK5" t="e">
        <f>AND('Output - Criteria'!#REF!,"AAAAAH9/r6Y=")</f>
        <v>#REF!</v>
      </c>
      <c r="FL5" t="e">
        <f>AND('Output - Criteria'!C6,"AAAAAH9/r6c=")</f>
        <v>#VALUE!</v>
      </c>
      <c r="FM5" t="e">
        <f>AND('Output - Criteria'!D6,"AAAAAH9/r6g=")</f>
        <v>#VALUE!</v>
      </c>
      <c r="FN5" t="e">
        <f>AND('Output - Criteria'!E6,"AAAAAH9/r6k=")</f>
        <v>#VALUE!</v>
      </c>
      <c r="FO5" t="e">
        <f>AND('Output - Criteria'!F6,"AAAAAH9/r6o=")</f>
        <v>#VALUE!</v>
      </c>
      <c r="FP5" t="e">
        <f>AND('Output - Criteria'!G6,"AAAAAH9/r6s=")</f>
        <v>#VALUE!</v>
      </c>
      <c r="FQ5" t="e">
        <f>AND('Output - Criteria'!H6,"AAAAAH9/r6w=")</f>
        <v>#VALUE!</v>
      </c>
      <c r="FR5" t="e">
        <f>AND('Output - Criteria'!I6,"AAAAAH9/r60=")</f>
        <v>#VALUE!</v>
      </c>
      <c r="FS5" t="e">
        <f>AND('Output - Criteria'!J6,"AAAAAH9/r64=")</f>
        <v>#VALUE!</v>
      </c>
      <c r="FT5">
        <f>IF('Output - Criteria'!15:15,"AAAAAH9/r68=",0)</f>
        <v>0</v>
      </c>
      <c r="FU5" t="e">
        <f>AND('Output - Criteria'!A15,"AAAAAH9/r7A=")</f>
        <v>#VALUE!</v>
      </c>
      <c r="FV5" t="e">
        <f>AND('Output - Criteria'!B15,"AAAAAH9/r7E=")</f>
        <v>#VALUE!</v>
      </c>
      <c r="FW5" t="e">
        <f>AND('Output - Criteria'!#REF!,"AAAAAH9/r7I=")</f>
        <v>#REF!</v>
      </c>
      <c r="FX5" t="e">
        <f>AND('Output - Criteria'!#REF!,"AAAAAH9/r7M=")</f>
        <v>#REF!</v>
      </c>
      <c r="FY5" t="e">
        <f>AND('Output - Criteria'!C15,"AAAAAH9/r7Q=")</f>
        <v>#VALUE!</v>
      </c>
      <c r="FZ5" t="e">
        <f>AND('Output - Criteria'!D15,"AAAAAH9/r7U=")</f>
        <v>#VALUE!</v>
      </c>
      <c r="GA5" t="e">
        <f>AND('Output - Criteria'!E15,"AAAAAH9/r7Y=")</f>
        <v>#VALUE!</v>
      </c>
      <c r="GB5" t="e">
        <f>AND('Output - Criteria'!F15,"AAAAAH9/r7c=")</f>
        <v>#VALUE!</v>
      </c>
      <c r="GC5" t="e">
        <f>AND('Output - Criteria'!G15,"AAAAAH9/r7g=")</f>
        <v>#VALUE!</v>
      </c>
      <c r="GD5" t="e">
        <f>AND('Output - Criteria'!H15,"AAAAAH9/r7k=")</f>
        <v>#VALUE!</v>
      </c>
      <c r="GE5" t="e">
        <f>AND('Output - Criteria'!I15,"AAAAAH9/r7o=")</f>
        <v>#VALUE!</v>
      </c>
      <c r="GF5" t="e">
        <f>AND('Output - Criteria'!J15,"AAAAAH9/r7s=")</f>
        <v>#VALUE!</v>
      </c>
      <c r="GG5" t="e">
        <f>IF('Output - Criteria'!#REF!,"AAAAAH9/r7w=",0)</f>
        <v>#REF!</v>
      </c>
      <c r="GH5" t="e">
        <f>AND('Output - Criteria'!#REF!,"AAAAAH9/r70=")</f>
        <v>#REF!</v>
      </c>
      <c r="GI5" t="e">
        <f>AND('Output - Criteria'!#REF!,"AAAAAH9/r74=")</f>
        <v>#REF!</v>
      </c>
      <c r="GJ5" t="e">
        <f>AND('Output - Criteria'!#REF!,"AAAAAH9/r78=")</f>
        <v>#REF!</v>
      </c>
      <c r="GK5" t="e">
        <f>AND('Output - Criteria'!#REF!,"AAAAAH9/r8A=")</f>
        <v>#REF!</v>
      </c>
      <c r="GL5" t="e">
        <f>AND('Output - Criteria'!#REF!,"AAAAAH9/r8E=")</f>
        <v>#REF!</v>
      </c>
      <c r="GM5" t="e">
        <f>AND('Output - Criteria'!#REF!,"AAAAAH9/r8I=")</f>
        <v>#REF!</v>
      </c>
      <c r="GN5" t="e">
        <f>AND('Output - Criteria'!#REF!,"AAAAAH9/r8M=")</f>
        <v>#REF!</v>
      </c>
      <c r="GO5" t="e">
        <f>AND('Output - Criteria'!#REF!,"AAAAAH9/r8Q=")</f>
        <v>#REF!</v>
      </c>
      <c r="GP5" t="e">
        <f>AND('Output - Criteria'!#REF!,"AAAAAH9/r8U=")</f>
        <v>#REF!</v>
      </c>
      <c r="GQ5" t="e">
        <f>AND('Output - Criteria'!#REF!,"AAAAAH9/r8Y=")</f>
        <v>#REF!</v>
      </c>
      <c r="GR5" t="e">
        <f>AND('Output - Criteria'!#REF!,"AAAAAH9/r8c=")</f>
        <v>#REF!</v>
      </c>
      <c r="GS5" t="e">
        <f>AND('Output - Criteria'!#REF!,"AAAAAH9/r8g=")</f>
        <v>#REF!</v>
      </c>
      <c r="GT5" t="e">
        <f>IF('Output - Criteria'!#REF!,"AAAAAH9/r8k=",0)</f>
        <v>#REF!</v>
      </c>
      <c r="GU5" t="e">
        <f>AND('Output - Criteria'!#REF!,"AAAAAH9/r8o=")</f>
        <v>#REF!</v>
      </c>
      <c r="GV5" t="e">
        <f>AND('Output - Criteria'!#REF!,"AAAAAH9/r8s=")</f>
        <v>#REF!</v>
      </c>
      <c r="GW5" t="e">
        <f>AND('Output - Criteria'!#REF!,"AAAAAH9/r8w=")</f>
        <v>#REF!</v>
      </c>
      <c r="GX5" t="e">
        <f>AND('Output - Criteria'!#REF!,"AAAAAH9/r80=")</f>
        <v>#REF!</v>
      </c>
      <c r="GY5" t="e">
        <f>AND('Output - Criteria'!#REF!,"AAAAAH9/r84=")</f>
        <v>#REF!</v>
      </c>
      <c r="GZ5" t="e">
        <f>AND('Output - Criteria'!#REF!,"AAAAAH9/r88=")</f>
        <v>#REF!</v>
      </c>
      <c r="HA5" t="e">
        <f>AND('Output - Criteria'!#REF!,"AAAAAH9/r9A=")</f>
        <v>#REF!</v>
      </c>
      <c r="HB5" t="e">
        <f>AND('Output - Criteria'!#REF!,"AAAAAH9/r9E=")</f>
        <v>#REF!</v>
      </c>
      <c r="HC5" t="e">
        <f>AND('Output - Criteria'!#REF!,"AAAAAH9/r9I=")</f>
        <v>#REF!</v>
      </c>
      <c r="HD5" t="e">
        <f>AND('Output - Criteria'!#REF!,"AAAAAH9/r9M=")</f>
        <v>#REF!</v>
      </c>
      <c r="HE5" t="e">
        <f>AND('Output - Criteria'!#REF!,"AAAAAH9/r9Q=")</f>
        <v>#REF!</v>
      </c>
      <c r="HF5" t="e">
        <f>AND('Output - Criteria'!#REF!,"AAAAAH9/r9U=")</f>
        <v>#REF!</v>
      </c>
      <c r="HG5" t="e">
        <f>IF('Output - Criteria'!#REF!,"AAAAAH9/r9Y=",0)</f>
        <v>#REF!</v>
      </c>
      <c r="HH5" t="e">
        <f>AND('Output - Criteria'!#REF!,"AAAAAH9/r9c=")</f>
        <v>#REF!</v>
      </c>
      <c r="HI5" t="e">
        <f>AND('Output - Criteria'!#REF!,"AAAAAH9/r9g=")</f>
        <v>#REF!</v>
      </c>
      <c r="HJ5" t="e">
        <f>AND('Output - Criteria'!#REF!,"AAAAAH9/r9k=")</f>
        <v>#REF!</v>
      </c>
      <c r="HK5" t="e">
        <f>AND('Output - Criteria'!#REF!,"AAAAAH9/r9o=")</f>
        <v>#REF!</v>
      </c>
      <c r="HL5" t="e">
        <f>AND('Output - Criteria'!#REF!,"AAAAAH9/r9s=")</f>
        <v>#REF!</v>
      </c>
      <c r="HM5" t="e">
        <f>AND('Output - Criteria'!#REF!,"AAAAAH9/r9w=")</f>
        <v>#REF!</v>
      </c>
      <c r="HN5" t="e">
        <f>AND('Output - Criteria'!#REF!,"AAAAAH9/r90=")</f>
        <v>#REF!</v>
      </c>
      <c r="HO5" t="e">
        <f>AND('Output - Criteria'!#REF!,"AAAAAH9/r94=")</f>
        <v>#REF!</v>
      </c>
      <c r="HP5" t="e">
        <f>AND('Output - Criteria'!#REF!,"AAAAAH9/r98=")</f>
        <v>#REF!</v>
      </c>
      <c r="HQ5" t="e">
        <f>AND('Output - Criteria'!#REF!,"AAAAAH9/r+A=")</f>
        <v>#REF!</v>
      </c>
      <c r="HR5" t="e">
        <f>AND('Output - Criteria'!#REF!,"AAAAAH9/r+E=")</f>
        <v>#REF!</v>
      </c>
      <c r="HS5" t="e">
        <f>AND('Output - Criteria'!#REF!,"AAAAAH9/r+I=")</f>
        <v>#REF!</v>
      </c>
      <c r="HT5" t="e">
        <f>IF('Output - Criteria'!#REF!,"AAAAAH9/r+M=",0)</f>
        <v>#REF!</v>
      </c>
      <c r="HU5" t="e">
        <f>AND('Output - Criteria'!#REF!,"AAAAAH9/r+Q=")</f>
        <v>#REF!</v>
      </c>
      <c r="HV5" t="e">
        <f>AND('Output - Criteria'!#REF!,"AAAAAH9/r+U=")</f>
        <v>#REF!</v>
      </c>
      <c r="HW5" t="e">
        <f>AND('Output - Criteria'!#REF!,"AAAAAH9/r+Y=")</f>
        <v>#REF!</v>
      </c>
      <c r="HX5" t="e">
        <f>AND('Output - Criteria'!#REF!,"AAAAAH9/r+c=")</f>
        <v>#REF!</v>
      </c>
      <c r="HY5" t="e">
        <f>AND('Output - Criteria'!#REF!,"AAAAAH9/r+g=")</f>
        <v>#REF!</v>
      </c>
      <c r="HZ5" t="e">
        <f>AND('Output - Criteria'!#REF!,"AAAAAH9/r+k=")</f>
        <v>#REF!</v>
      </c>
      <c r="IA5" t="e">
        <f>AND('Output - Criteria'!#REF!,"AAAAAH9/r+o=")</f>
        <v>#REF!</v>
      </c>
      <c r="IB5" t="e">
        <f>AND('Output - Criteria'!#REF!,"AAAAAH9/r+s=")</f>
        <v>#REF!</v>
      </c>
      <c r="IC5" t="e">
        <f>AND('Output - Criteria'!#REF!,"AAAAAH9/r+w=")</f>
        <v>#REF!</v>
      </c>
      <c r="ID5" t="e">
        <f>AND('Output - Criteria'!#REF!,"AAAAAH9/r+0=")</f>
        <v>#REF!</v>
      </c>
      <c r="IE5" t="e">
        <f>AND('Output - Criteria'!#REF!,"AAAAAH9/r+4=")</f>
        <v>#REF!</v>
      </c>
      <c r="IF5" t="e">
        <f>AND('Output - Criteria'!#REF!,"AAAAAH9/r+8=")</f>
        <v>#REF!</v>
      </c>
      <c r="IG5" t="e">
        <f>IF('Output - Criteria'!#REF!,"AAAAAH9/r/A=",0)</f>
        <v>#REF!</v>
      </c>
      <c r="IH5" t="e">
        <f>AND('Output - Criteria'!#REF!,"AAAAAH9/r/E=")</f>
        <v>#REF!</v>
      </c>
      <c r="II5" t="e">
        <f>AND('Output - Criteria'!#REF!,"AAAAAH9/r/I=")</f>
        <v>#REF!</v>
      </c>
      <c r="IJ5" t="e">
        <f>AND('Output - Criteria'!#REF!,"AAAAAH9/r/M=")</f>
        <v>#REF!</v>
      </c>
      <c r="IK5" t="e">
        <f>AND('Output - Criteria'!#REF!,"AAAAAH9/r/Q=")</f>
        <v>#REF!</v>
      </c>
      <c r="IL5" t="e">
        <f>AND('Output - Criteria'!#REF!,"AAAAAH9/r/U=")</f>
        <v>#REF!</v>
      </c>
      <c r="IM5" t="e">
        <f>AND('Output - Criteria'!#REF!,"AAAAAH9/r/Y=")</f>
        <v>#REF!</v>
      </c>
      <c r="IN5" t="e">
        <f>AND('Output - Criteria'!#REF!,"AAAAAH9/r/c=")</f>
        <v>#REF!</v>
      </c>
      <c r="IO5" t="e">
        <f>AND('Output - Criteria'!#REF!,"AAAAAH9/r/g=")</f>
        <v>#REF!</v>
      </c>
      <c r="IP5" t="e">
        <f>AND('Output - Criteria'!#REF!,"AAAAAH9/r/k=")</f>
        <v>#REF!</v>
      </c>
      <c r="IQ5" t="e">
        <f>AND('Output - Criteria'!#REF!,"AAAAAH9/r/o=")</f>
        <v>#REF!</v>
      </c>
      <c r="IR5" t="e">
        <f>AND('Output - Criteria'!#REF!,"AAAAAH9/r/s=")</f>
        <v>#REF!</v>
      </c>
      <c r="IS5" t="e">
        <f>AND('Output - Criteria'!#REF!,"AAAAAH9/r/w=")</f>
        <v>#REF!</v>
      </c>
      <c r="IT5" t="e">
        <f>IF('Output - Criteria'!#REF!,"AAAAAH9/r/0=",0)</f>
        <v>#REF!</v>
      </c>
      <c r="IU5" t="e">
        <f>AND('Output - Criteria'!#REF!,"AAAAAH9/r/4=")</f>
        <v>#REF!</v>
      </c>
      <c r="IV5" t="e">
        <f>AND('Output - Criteria'!#REF!,"AAAAAH9/r/8=")</f>
        <v>#REF!</v>
      </c>
    </row>
    <row r="6" spans="1:256">
      <c r="A6" t="e">
        <f>AND('Output - Criteria'!#REF!,"AAAAAH9/ewA=")</f>
        <v>#REF!</v>
      </c>
      <c r="B6" t="e">
        <f>AND('Output - Criteria'!#REF!,"AAAAAH9/ewE=")</f>
        <v>#REF!</v>
      </c>
      <c r="C6" t="e">
        <f>AND('Output - Criteria'!#REF!,"AAAAAH9/ewI=")</f>
        <v>#REF!</v>
      </c>
      <c r="D6" t="e">
        <f>AND('Output - Criteria'!#REF!,"AAAAAH9/ewM=")</f>
        <v>#REF!</v>
      </c>
      <c r="E6" t="e">
        <f>AND('Output - Criteria'!#REF!,"AAAAAH9/ewQ=")</f>
        <v>#REF!</v>
      </c>
      <c r="F6" t="e">
        <f>AND('Output - Criteria'!#REF!,"AAAAAH9/ewU=")</f>
        <v>#REF!</v>
      </c>
      <c r="G6" t="e">
        <f>AND('Output - Criteria'!#REF!,"AAAAAH9/ewY=")</f>
        <v>#REF!</v>
      </c>
      <c r="H6" t="e">
        <f>AND('Output - Criteria'!#REF!,"AAAAAH9/ewc=")</f>
        <v>#REF!</v>
      </c>
      <c r="I6" t="e">
        <f>AND('Output - Criteria'!#REF!,"AAAAAH9/ewg=")</f>
        <v>#REF!</v>
      </c>
      <c r="J6" t="e">
        <f>AND('Output - Criteria'!#REF!,"AAAAAH9/ewk=")</f>
        <v>#REF!</v>
      </c>
      <c r="K6" t="e">
        <f>IF('Output - Criteria'!#REF!,"AAAAAH9/ewo=",0)</f>
        <v>#REF!</v>
      </c>
      <c r="L6" t="e">
        <f>AND('Output - Criteria'!#REF!,"AAAAAH9/ews=")</f>
        <v>#REF!</v>
      </c>
      <c r="M6" t="e">
        <f>AND('Output - Criteria'!#REF!,"AAAAAH9/eww=")</f>
        <v>#REF!</v>
      </c>
      <c r="N6" t="e">
        <f>AND('Output - Criteria'!#REF!,"AAAAAH9/ew0=")</f>
        <v>#REF!</v>
      </c>
      <c r="O6" t="e">
        <f>AND('Output - Criteria'!#REF!,"AAAAAH9/ew4=")</f>
        <v>#REF!</v>
      </c>
      <c r="P6" t="e">
        <f>AND('Output - Criteria'!#REF!,"AAAAAH9/ew8=")</f>
        <v>#REF!</v>
      </c>
      <c r="Q6" t="e">
        <f>AND('Output - Criteria'!#REF!,"AAAAAH9/exA=")</f>
        <v>#REF!</v>
      </c>
      <c r="R6" t="e">
        <f>AND('Output - Criteria'!#REF!,"AAAAAH9/exE=")</f>
        <v>#REF!</v>
      </c>
      <c r="S6" t="e">
        <f>AND('Output - Criteria'!#REF!,"AAAAAH9/exI=")</f>
        <v>#REF!</v>
      </c>
      <c r="T6" t="e">
        <f>AND('Output - Criteria'!#REF!,"AAAAAH9/exM=")</f>
        <v>#REF!</v>
      </c>
      <c r="U6" t="e">
        <f>AND('Output - Criteria'!#REF!,"AAAAAH9/exQ=")</f>
        <v>#REF!</v>
      </c>
      <c r="V6" t="e">
        <f>AND('Output - Criteria'!#REF!,"AAAAAH9/exU=")</f>
        <v>#REF!</v>
      </c>
      <c r="W6" t="e">
        <f>AND('Output - Criteria'!#REF!,"AAAAAH9/exY=")</f>
        <v>#REF!</v>
      </c>
      <c r="X6" t="e">
        <f>IF('Output - Criteria'!#REF!,"AAAAAH9/exc=",0)</f>
        <v>#REF!</v>
      </c>
      <c r="Y6" t="e">
        <f>AND('Output - Criteria'!#REF!,"AAAAAH9/exg=")</f>
        <v>#REF!</v>
      </c>
      <c r="Z6" t="e">
        <f>AND('Output - Criteria'!#REF!,"AAAAAH9/exk=")</f>
        <v>#REF!</v>
      </c>
      <c r="AA6" t="e">
        <f>AND('Output - Criteria'!#REF!,"AAAAAH9/exo=")</f>
        <v>#REF!</v>
      </c>
      <c r="AB6" t="e">
        <f>AND('Output - Criteria'!#REF!,"AAAAAH9/exs=")</f>
        <v>#REF!</v>
      </c>
      <c r="AC6" t="e">
        <f>AND('Output - Criteria'!#REF!,"AAAAAH9/exw=")</f>
        <v>#REF!</v>
      </c>
      <c r="AD6" t="e">
        <f>AND('Output - Criteria'!#REF!,"AAAAAH9/ex0=")</f>
        <v>#REF!</v>
      </c>
      <c r="AE6" t="e">
        <f>AND('Output - Criteria'!#REF!,"AAAAAH9/ex4=")</f>
        <v>#REF!</v>
      </c>
      <c r="AF6" t="e">
        <f>AND('Output - Criteria'!#REF!,"AAAAAH9/ex8=")</f>
        <v>#REF!</v>
      </c>
      <c r="AG6" t="e">
        <f>AND('Output - Criteria'!#REF!,"AAAAAH9/eyA=")</f>
        <v>#REF!</v>
      </c>
      <c r="AH6" t="e">
        <f>AND('Output - Criteria'!#REF!,"AAAAAH9/eyE=")</f>
        <v>#REF!</v>
      </c>
      <c r="AI6" t="e">
        <f>AND('Output - Criteria'!#REF!,"AAAAAH9/eyI=")</f>
        <v>#REF!</v>
      </c>
      <c r="AJ6" t="e">
        <f>AND('Output - Criteria'!#REF!,"AAAAAH9/eyM=")</f>
        <v>#REF!</v>
      </c>
      <c r="AK6" t="e">
        <f>IF('Output - Criteria'!#REF!,"AAAAAH9/eyQ=",0)</f>
        <v>#REF!</v>
      </c>
      <c r="AL6" t="e">
        <f>AND('Output - Criteria'!#REF!,"AAAAAH9/eyU=")</f>
        <v>#REF!</v>
      </c>
      <c r="AM6" t="e">
        <f>AND('Output - Criteria'!#REF!,"AAAAAH9/eyY=")</f>
        <v>#REF!</v>
      </c>
      <c r="AN6" t="e">
        <f>AND('Output - Criteria'!#REF!,"AAAAAH9/eyc=")</f>
        <v>#REF!</v>
      </c>
      <c r="AO6" t="e">
        <f>AND('Output - Criteria'!#REF!,"AAAAAH9/eyg=")</f>
        <v>#REF!</v>
      </c>
      <c r="AP6" t="e">
        <f>AND('Output - Criteria'!#REF!,"AAAAAH9/eyk=")</f>
        <v>#REF!</v>
      </c>
      <c r="AQ6" t="e">
        <f>AND('Output - Criteria'!#REF!,"AAAAAH9/eyo=")</f>
        <v>#REF!</v>
      </c>
      <c r="AR6" t="e">
        <f>AND('Output - Criteria'!#REF!,"AAAAAH9/eys=")</f>
        <v>#REF!</v>
      </c>
      <c r="AS6" t="e">
        <f>AND('Output - Criteria'!#REF!,"AAAAAH9/eyw=")</f>
        <v>#REF!</v>
      </c>
      <c r="AT6" t="e">
        <f>AND('Output - Criteria'!#REF!,"AAAAAH9/ey0=")</f>
        <v>#REF!</v>
      </c>
      <c r="AU6" t="e">
        <f>AND('Output - Criteria'!#REF!,"AAAAAH9/ey4=")</f>
        <v>#REF!</v>
      </c>
      <c r="AV6" t="e">
        <f>AND('Output - Criteria'!#REF!,"AAAAAH9/ey8=")</f>
        <v>#REF!</v>
      </c>
      <c r="AW6" t="e">
        <f>AND('Output - Criteria'!#REF!,"AAAAAH9/ezA=")</f>
        <v>#REF!</v>
      </c>
      <c r="AX6" t="e">
        <f>IF('Output - Criteria'!#REF!,"AAAAAH9/ezE=",0)</f>
        <v>#REF!</v>
      </c>
      <c r="AY6" t="e">
        <f>AND('Output - Criteria'!#REF!,"AAAAAH9/ezI=")</f>
        <v>#REF!</v>
      </c>
      <c r="AZ6" t="e">
        <f>AND('Output - Criteria'!#REF!,"AAAAAH9/ezM=")</f>
        <v>#REF!</v>
      </c>
      <c r="BA6" t="e">
        <f>AND('Output - Criteria'!#REF!,"AAAAAH9/ezQ=")</f>
        <v>#REF!</v>
      </c>
      <c r="BB6" t="e">
        <f>AND('Output - Criteria'!#REF!,"AAAAAH9/ezU=")</f>
        <v>#REF!</v>
      </c>
      <c r="BC6" t="e">
        <f>AND('Output - Criteria'!#REF!,"AAAAAH9/ezY=")</f>
        <v>#REF!</v>
      </c>
      <c r="BD6" t="e">
        <f>AND('Output - Criteria'!#REF!,"AAAAAH9/ezc=")</f>
        <v>#REF!</v>
      </c>
      <c r="BE6" t="e">
        <f>AND('Output - Criteria'!#REF!,"AAAAAH9/ezg=")</f>
        <v>#REF!</v>
      </c>
      <c r="BF6" t="e">
        <f>AND('Output - Criteria'!#REF!,"AAAAAH9/ezk=")</f>
        <v>#REF!</v>
      </c>
      <c r="BG6" t="e">
        <f>AND('Output - Criteria'!#REF!,"AAAAAH9/ezo=")</f>
        <v>#REF!</v>
      </c>
      <c r="BH6" t="e">
        <f>AND('Output - Criteria'!#REF!,"AAAAAH9/ezs=")</f>
        <v>#REF!</v>
      </c>
      <c r="BI6" t="e">
        <f>AND('Output - Criteria'!#REF!,"AAAAAH9/ezw=")</f>
        <v>#REF!</v>
      </c>
      <c r="BJ6" t="e">
        <f>AND('Output - Criteria'!#REF!,"AAAAAH9/ez0=")</f>
        <v>#REF!</v>
      </c>
      <c r="BK6">
        <f>IF('Output - Criteria'!16:16,"AAAAAH9/ez4=",0)</f>
        <v>0</v>
      </c>
      <c r="BL6" t="e">
        <f>AND('Output - Criteria'!A16,"AAAAAH9/ez8=")</f>
        <v>#VALUE!</v>
      </c>
      <c r="BM6" t="e">
        <f>AND('Output - Criteria'!B16,"AAAAAH9/e0A=")</f>
        <v>#VALUE!</v>
      </c>
      <c r="BN6" t="e">
        <f>AND('Output - Criteria'!#REF!,"AAAAAH9/e0E=")</f>
        <v>#REF!</v>
      </c>
      <c r="BO6" t="e">
        <f>AND('Output - Criteria'!#REF!,"AAAAAH9/e0I=")</f>
        <v>#REF!</v>
      </c>
      <c r="BP6" t="e">
        <f>AND('Output - Criteria'!C16,"AAAAAH9/e0M=")</f>
        <v>#VALUE!</v>
      </c>
      <c r="BQ6" t="e">
        <f>AND('Output - Criteria'!D16,"AAAAAH9/e0Q=")</f>
        <v>#VALUE!</v>
      </c>
      <c r="BR6" t="e">
        <f>AND('Output - Criteria'!E16,"AAAAAH9/e0U=")</f>
        <v>#VALUE!</v>
      </c>
      <c r="BS6" t="e">
        <f>AND('Output - Criteria'!F16,"AAAAAH9/e0Y=")</f>
        <v>#VALUE!</v>
      </c>
      <c r="BT6" t="e">
        <f>AND('Output - Criteria'!G16,"AAAAAH9/e0c=")</f>
        <v>#VALUE!</v>
      </c>
      <c r="BU6" t="e">
        <f>AND('Output - Criteria'!H16,"AAAAAH9/e0g=")</f>
        <v>#VALUE!</v>
      </c>
      <c r="BV6" t="e">
        <f>AND('Output - Criteria'!I16,"AAAAAH9/e0k=")</f>
        <v>#VALUE!</v>
      </c>
      <c r="BW6" t="e">
        <f>AND('Output - Criteria'!J16,"AAAAAH9/e0o=")</f>
        <v>#VALUE!</v>
      </c>
      <c r="BX6" t="e">
        <f>IF('Output - Criteria'!#REF!,"AAAAAH9/e0s=",0)</f>
        <v>#REF!</v>
      </c>
      <c r="BY6" t="e">
        <f>AND('Output - Criteria'!#REF!,"AAAAAH9/e0w=")</f>
        <v>#REF!</v>
      </c>
      <c r="BZ6" t="e">
        <f>AND('Output - Criteria'!#REF!,"AAAAAH9/e00=")</f>
        <v>#REF!</v>
      </c>
      <c r="CA6" t="e">
        <f>AND('Output - Criteria'!#REF!,"AAAAAH9/e04=")</f>
        <v>#REF!</v>
      </c>
      <c r="CB6" t="e">
        <f>AND('Output - Criteria'!#REF!,"AAAAAH9/e08=")</f>
        <v>#REF!</v>
      </c>
      <c r="CC6" t="e">
        <f>AND('Output - Criteria'!#REF!,"AAAAAH9/e1A=")</f>
        <v>#REF!</v>
      </c>
      <c r="CD6" t="e">
        <f>AND('Output - Criteria'!#REF!,"AAAAAH9/e1E=")</f>
        <v>#REF!</v>
      </c>
      <c r="CE6" t="e">
        <f>AND('Output - Criteria'!#REF!,"AAAAAH9/e1I=")</f>
        <v>#REF!</v>
      </c>
      <c r="CF6" t="e">
        <f>AND('Output - Criteria'!#REF!,"AAAAAH9/e1M=")</f>
        <v>#REF!</v>
      </c>
      <c r="CG6" t="e">
        <f>AND('Output - Criteria'!#REF!,"AAAAAH9/e1Q=")</f>
        <v>#REF!</v>
      </c>
      <c r="CH6" t="e">
        <f>AND('Output - Criteria'!#REF!,"AAAAAH9/e1U=")</f>
        <v>#REF!</v>
      </c>
      <c r="CI6" t="e">
        <f>AND('Output - Criteria'!#REF!,"AAAAAH9/e1Y=")</f>
        <v>#REF!</v>
      </c>
      <c r="CJ6" t="e">
        <f>AND('Output - Criteria'!#REF!,"AAAAAH9/e1c=")</f>
        <v>#REF!</v>
      </c>
      <c r="CK6" t="e">
        <f>IF('Output - Criteria'!#REF!,"AAAAAH9/e1g=",0)</f>
        <v>#REF!</v>
      </c>
      <c r="CL6" t="e">
        <f>AND('Output - Criteria'!#REF!,"AAAAAH9/e1k=")</f>
        <v>#REF!</v>
      </c>
      <c r="CM6" t="e">
        <f>AND('Output - Criteria'!#REF!,"AAAAAH9/e1o=")</f>
        <v>#REF!</v>
      </c>
      <c r="CN6" t="e">
        <f>AND('Output - Criteria'!#REF!,"AAAAAH9/e1s=")</f>
        <v>#REF!</v>
      </c>
      <c r="CO6" t="e">
        <f>AND('Output - Criteria'!#REF!,"AAAAAH9/e1w=")</f>
        <v>#REF!</v>
      </c>
      <c r="CP6" t="e">
        <f>AND('Output - Criteria'!#REF!,"AAAAAH9/e10=")</f>
        <v>#REF!</v>
      </c>
      <c r="CQ6" t="e">
        <f>AND('Output - Criteria'!#REF!,"AAAAAH9/e14=")</f>
        <v>#REF!</v>
      </c>
      <c r="CR6" t="e">
        <f>AND('Output - Criteria'!#REF!,"AAAAAH9/e18=")</f>
        <v>#REF!</v>
      </c>
      <c r="CS6" t="e">
        <f>AND('Output - Criteria'!#REF!,"AAAAAH9/e2A=")</f>
        <v>#REF!</v>
      </c>
      <c r="CT6" t="e">
        <f>AND('Output - Criteria'!#REF!,"AAAAAH9/e2E=")</f>
        <v>#REF!</v>
      </c>
      <c r="CU6" t="e">
        <f>AND('Output - Criteria'!#REF!,"AAAAAH9/e2I=")</f>
        <v>#REF!</v>
      </c>
      <c r="CV6" t="e">
        <f>AND('Output - Criteria'!#REF!,"AAAAAH9/e2M=")</f>
        <v>#REF!</v>
      </c>
      <c r="CW6" t="e">
        <f>AND('Output - Criteria'!#REF!,"AAAAAH9/e2Q=")</f>
        <v>#REF!</v>
      </c>
      <c r="CX6" t="e">
        <f>IF('Output - Criteria'!#REF!,"AAAAAH9/e2U=",0)</f>
        <v>#REF!</v>
      </c>
      <c r="CY6" t="e">
        <f>AND('Output - Criteria'!#REF!,"AAAAAH9/e2Y=")</f>
        <v>#REF!</v>
      </c>
      <c r="CZ6" t="e">
        <f>AND('Output - Criteria'!#REF!,"AAAAAH9/e2c=")</f>
        <v>#REF!</v>
      </c>
      <c r="DA6" t="e">
        <f>AND('Output - Criteria'!#REF!,"AAAAAH9/e2g=")</f>
        <v>#REF!</v>
      </c>
      <c r="DB6" t="e">
        <f>AND('Output - Criteria'!#REF!,"AAAAAH9/e2k=")</f>
        <v>#REF!</v>
      </c>
      <c r="DC6" t="e">
        <f>AND('Output - Criteria'!#REF!,"AAAAAH9/e2o=")</f>
        <v>#REF!</v>
      </c>
      <c r="DD6" t="e">
        <f>AND('Output - Criteria'!#REF!,"AAAAAH9/e2s=")</f>
        <v>#REF!</v>
      </c>
      <c r="DE6" t="e">
        <f>AND('Output - Criteria'!#REF!,"AAAAAH9/e2w=")</f>
        <v>#REF!</v>
      </c>
      <c r="DF6" t="e">
        <f>AND('Output - Criteria'!#REF!,"AAAAAH9/e20=")</f>
        <v>#REF!</v>
      </c>
      <c r="DG6" t="e">
        <f>AND('Output - Criteria'!#REF!,"AAAAAH9/e24=")</f>
        <v>#REF!</v>
      </c>
      <c r="DH6" t="e">
        <f>AND('Output - Criteria'!#REF!,"AAAAAH9/e28=")</f>
        <v>#REF!</v>
      </c>
      <c r="DI6" t="e">
        <f>AND('Output - Criteria'!#REF!,"AAAAAH9/e3A=")</f>
        <v>#REF!</v>
      </c>
      <c r="DJ6" t="e">
        <f>AND('Output - Criteria'!#REF!,"AAAAAH9/e3E=")</f>
        <v>#REF!</v>
      </c>
      <c r="DK6" t="e">
        <f>IF('Output - Criteria'!#REF!,"AAAAAH9/e3I=",0)</f>
        <v>#REF!</v>
      </c>
      <c r="DL6" t="e">
        <f>AND('Output - Criteria'!#REF!,"AAAAAH9/e3M=")</f>
        <v>#REF!</v>
      </c>
      <c r="DM6" t="e">
        <f>AND('Output - Criteria'!#REF!,"AAAAAH9/e3Q=")</f>
        <v>#REF!</v>
      </c>
      <c r="DN6" t="e">
        <f>AND('Output - Criteria'!#REF!,"AAAAAH9/e3U=")</f>
        <v>#REF!</v>
      </c>
      <c r="DO6" t="e">
        <f>AND('Output - Criteria'!#REF!,"AAAAAH9/e3Y=")</f>
        <v>#REF!</v>
      </c>
      <c r="DP6" t="e">
        <f>AND('Output - Criteria'!#REF!,"AAAAAH9/e3c=")</f>
        <v>#REF!</v>
      </c>
      <c r="DQ6" t="e">
        <f>AND('Output - Criteria'!#REF!,"AAAAAH9/e3g=")</f>
        <v>#REF!</v>
      </c>
      <c r="DR6" t="e">
        <f>AND('Output - Criteria'!#REF!,"AAAAAH9/e3k=")</f>
        <v>#REF!</v>
      </c>
      <c r="DS6" t="e">
        <f>AND('Output - Criteria'!#REF!,"AAAAAH9/e3o=")</f>
        <v>#REF!</v>
      </c>
      <c r="DT6" t="e">
        <f>AND('Output - Criteria'!#REF!,"AAAAAH9/e3s=")</f>
        <v>#REF!</v>
      </c>
      <c r="DU6" t="e">
        <f>AND('Output - Criteria'!#REF!,"AAAAAH9/e3w=")</f>
        <v>#REF!</v>
      </c>
      <c r="DV6" t="e">
        <f>AND('Output - Criteria'!#REF!,"AAAAAH9/e30=")</f>
        <v>#REF!</v>
      </c>
      <c r="DW6" t="e">
        <f>AND('Output - Criteria'!#REF!,"AAAAAH9/e34=")</f>
        <v>#REF!</v>
      </c>
      <c r="DX6" t="e">
        <f>IF('Output - Criteria'!#REF!,"AAAAAH9/e38=",0)</f>
        <v>#REF!</v>
      </c>
      <c r="DY6" t="e">
        <f>AND('Output - Criteria'!#REF!,"AAAAAH9/e4A=")</f>
        <v>#REF!</v>
      </c>
      <c r="DZ6" t="e">
        <f>AND('Output - Criteria'!#REF!,"AAAAAH9/e4E=")</f>
        <v>#REF!</v>
      </c>
      <c r="EA6" t="e">
        <f>AND('Output - Criteria'!#REF!,"AAAAAH9/e4I=")</f>
        <v>#REF!</v>
      </c>
      <c r="EB6" t="e">
        <f>AND('Output - Criteria'!#REF!,"AAAAAH9/e4M=")</f>
        <v>#REF!</v>
      </c>
      <c r="EC6" t="e">
        <f>AND('Output - Criteria'!#REF!,"AAAAAH9/e4Q=")</f>
        <v>#REF!</v>
      </c>
      <c r="ED6" t="e">
        <f>AND('Output - Criteria'!#REF!,"AAAAAH9/e4U=")</f>
        <v>#REF!</v>
      </c>
      <c r="EE6" t="e">
        <f>AND('Output - Criteria'!#REF!,"AAAAAH9/e4Y=")</f>
        <v>#REF!</v>
      </c>
      <c r="EF6" t="e">
        <f>AND('Output - Criteria'!#REF!,"AAAAAH9/e4c=")</f>
        <v>#REF!</v>
      </c>
      <c r="EG6" t="e">
        <f>AND('Output - Criteria'!#REF!,"AAAAAH9/e4g=")</f>
        <v>#REF!</v>
      </c>
      <c r="EH6" t="e">
        <f>AND('Output - Criteria'!#REF!,"AAAAAH9/e4k=")</f>
        <v>#REF!</v>
      </c>
      <c r="EI6" t="e">
        <f>AND('Output - Criteria'!#REF!,"AAAAAH9/e4o=")</f>
        <v>#REF!</v>
      </c>
      <c r="EJ6" t="e">
        <f>AND('Output - Criteria'!#REF!,"AAAAAH9/e4s=")</f>
        <v>#REF!</v>
      </c>
      <c r="EK6" t="e">
        <f>IF('Output - Criteria'!#REF!,"AAAAAH9/e4w=",0)</f>
        <v>#REF!</v>
      </c>
      <c r="EL6" t="e">
        <f>AND('Output - Criteria'!#REF!,"AAAAAH9/e40=")</f>
        <v>#REF!</v>
      </c>
      <c r="EM6" t="e">
        <f>AND('Output - Criteria'!#REF!,"AAAAAH9/e44=")</f>
        <v>#REF!</v>
      </c>
      <c r="EN6" t="e">
        <f>AND('Output - Criteria'!#REF!,"AAAAAH9/e48=")</f>
        <v>#REF!</v>
      </c>
      <c r="EO6" t="e">
        <f>AND('Output - Criteria'!#REF!,"AAAAAH9/e5A=")</f>
        <v>#REF!</v>
      </c>
      <c r="EP6" t="e">
        <f>AND('Output - Criteria'!#REF!,"AAAAAH9/e5E=")</f>
        <v>#REF!</v>
      </c>
      <c r="EQ6" t="e">
        <f>AND('Output - Criteria'!#REF!,"AAAAAH9/e5I=")</f>
        <v>#REF!</v>
      </c>
      <c r="ER6" t="e">
        <f>AND('Output - Criteria'!#REF!,"AAAAAH9/e5M=")</f>
        <v>#REF!</v>
      </c>
      <c r="ES6" t="e">
        <f>AND('Output - Criteria'!#REF!,"AAAAAH9/e5Q=")</f>
        <v>#REF!</v>
      </c>
      <c r="ET6" t="e">
        <f>AND('Output - Criteria'!#REF!,"AAAAAH9/e5U=")</f>
        <v>#REF!</v>
      </c>
      <c r="EU6" t="e">
        <f>AND('Output - Criteria'!#REF!,"AAAAAH9/e5Y=")</f>
        <v>#REF!</v>
      </c>
      <c r="EV6" t="e">
        <f>AND('Output - Criteria'!#REF!,"AAAAAH9/e5c=")</f>
        <v>#REF!</v>
      </c>
      <c r="EW6" t="e">
        <f>AND('Output - Criteria'!#REF!,"AAAAAH9/e5g=")</f>
        <v>#REF!</v>
      </c>
      <c r="EX6" t="e">
        <f>IF('Output - Criteria'!#REF!,"AAAAAH9/e5k=",0)</f>
        <v>#REF!</v>
      </c>
      <c r="EY6" t="e">
        <f>AND('Output - Criteria'!#REF!,"AAAAAH9/e5o=")</f>
        <v>#REF!</v>
      </c>
      <c r="EZ6" t="e">
        <f>AND('Output - Criteria'!#REF!,"AAAAAH9/e5s=")</f>
        <v>#REF!</v>
      </c>
      <c r="FA6" t="e">
        <f>AND('Output - Criteria'!#REF!,"AAAAAH9/e5w=")</f>
        <v>#REF!</v>
      </c>
      <c r="FB6" t="e">
        <f>AND('Output - Criteria'!#REF!,"AAAAAH9/e50=")</f>
        <v>#REF!</v>
      </c>
      <c r="FC6" t="e">
        <f>AND('Output - Criteria'!#REF!,"AAAAAH9/e54=")</f>
        <v>#REF!</v>
      </c>
      <c r="FD6" t="e">
        <f>AND('Output - Criteria'!#REF!,"AAAAAH9/e58=")</f>
        <v>#REF!</v>
      </c>
      <c r="FE6" t="e">
        <f>AND('Output - Criteria'!#REF!,"AAAAAH9/e6A=")</f>
        <v>#REF!</v>
      </c>
      <c r="FF6" t="e">
        <f>AND('Output - Criteria'!#REF!,"AAAAAH9/e6E=")</f>
        <v>#REF!</v>
      </c>
      <c r="FG6" t="e">
        <f>AND('Output - Criteria'!#REF!,"AAAAAH9/e6I=")</f>
        <v>#REF!</v>
      </c>
      <c r="FH6" t="e">
        <f>AND('Output - Criteria'!#REF!,"AAAAAH9/e6M=")</f>
        <v>#REF!</v>
      </c>
      <c r="FI6" t="e">
        <f>AND('Output - Criteria'!#REF!,"AAAAAH9/e6Q=")</f>
        <v>#REF!</v>
      </c>
      <c r="FJ6" t="e">
        <f>AND('Output - Criteria'!#REF!,"AAAAAH9/e6U=")</f>
        <v>#REF!</v>
      </c>
      <c r="FK6" t="e">
        <f>IF('Output - Criteria'!#REF!,"AAAAAH9/e6Y=",0)</f>
        <v>#REF!</v>
      </c>
      <c r="FL6" t="e">
        <f>AND('Output - Criteria'!#REF!,"AAAAAH9/e6c=")</f>
        <v>#REF!</v>
      </c>
      <c r="FM6" t="e">
        <f>AND('Output - Criteria'!#REF!,"AAAAAH9/e6g=")</f>
        <v>#REF!</v>
      </c>
      <c r="FN6" t="e">
        <f>AND('Output - Criteria'!#REF!,"AAAAAH9/e6k=")</f>
        <v>#REF!</v>
      </c>
      <c r="FO6" t="e">
        <f>AND('Output - Criteria'!#REF!,"AAAAAH9/e6o=")</f>
        <v>#REF!</v>
      </c>
      <c r="FP6" t="e">
        <f>AND('Output - Criteria'!#REF!,"AAAAAH9/e6s=")</f>
        <v>#REF!</v>
      </c>
      <c r="FQ6" t="e">
        <f>AND('Output - Criteria'!#REF!,"AAAAAH9/e6w=")</f>
        <v>#REF!</v>
      </c>
      <c r="FR6" t="e">
        <f>AND('Output - Criteria'!#REF!,"AAAAAH9/e60=")</f>
        <v>#REF!</v>
      </c>
      <c r="FS6" t="e">
        <f>AND('Output - Criteria'!#REF!,"AAAAAH9/e64=")</f>
        <v>#REF!</v>
      </c>
      <c r="FT6" t="e">
        <f>AND('Output - Criteria'!#REF!,"AAAAAH9/e68=")</f>
        <v>#REF!</v>
      </c>
      <c r="FU6" t="e">
        <f>AND('Output - Criteria'!#REF!,"AAAAAH9/e7A=")</f>
        <v>#REF!</v>
      </c>
      <c r="FV6" t="e">
        <f>AND('Output - Criteria'!#REF!,"AAAAAH9/e7E=")</f>
        <v>#REF!</v>
      </c>
      <c r="FW6" t="e">
        <f>AND('Output - Criteria'!#REF!,"AAAAAH9/e7I=")</f>
        <v>#REF!</v>
      </c>
      <c r="FX6" t="e">
        <f>IF('Output - Criteria'!#REF!,"AAAAAH9/e7M=",0)</f>
        <v>#REF!</v>
      </c>
      <c r="FY6" t="e">
        <f>AND('Output - Criteria'!#REF!,"AAAAAH9/e7Q=")</f>
        <v>#REF!</v>
      </c>
      <c r="FZ6" t="e">
        <f>AND('Output - Criteria'!#REF!,"AAAAAH9/e7U=")</f>
        <v>#REF!</v>
      </c>
      <c r="GA6" t="e">
        <f>AND('Output - Criteria'!#REF!,"AAAAAH9/e7Y=")</f>
        <v>#REF!</v>
      </c>
      <c r="GB6" t="e">
        <f>AND('Output - Criteria'!#REF!,"AAAAAH9/e7c=")</f>
        <v>#REF!</v>
      </c>
      <c r="GC6" t="e">
        <f>AND('Output - Criteria'!#REF!,"AAAAAH9/e7g=")</f>
        <v>#REF!</v>
      </c>
      <c r="GD6" t="e">
        <f>AND('Output - Criteria'!#REF!,"AAAAAH9/e7k=")</f>
        <v>#REF!</v>
      </c>
      <c r="GE6" t="e">
        <f>AND('Output - Criteria'!#REF!,"AAAAAH9/e7o=")</f>
        <v>#REF!</v>
      </c>
      <c r="GF6" t="e">
        <f>AND('Output - Criteria'!#REF!,"AAAAAH9/e7s=")</f>
        <v>#REF!</v>
      </c>
      <c r="GG6" t="e">
        <f>AND('Output - Criteria'!#REF!,"AAAAAH9/e7w=")</f>
        <v>#REF!</v>
      </c>
      <c r="GH6" t="e">
        <f>AND('Output - Criteria'!#REF!,"AAAAAH9/e70=")</f>
        <v>#REF!</v>
      </c>
      <c r="GI6" t="e">
        <f>AND('Output - Criteria'!#REF!,"AAAAAH9/e74=")</f>
        <v>#REF!</v>
      </c>
      <c r="GJ6" t="e">
        <f>AND('Output - Criteria'!#REF!,"AAAAAH9/e78=")</f>
        <v>#REF!</v>
      </c>
      <c r="GK6" t="e">
        <f>IF('Output - Criteria'!#REF!,"AAAAAH9/e8A=",0)</f>
        <v>#REF!</v>
      </c>
      <c r="GL6" t="e">
        <f>AND('Output - Criteria'!#REF!,"AAAAAH9/e8E=")</f>
        <v>#REF!</v>
      </c>
      <c r="GM6" t="e">
        <f>AND('Output - Criteria'!#REF!,"AAAAAH9/e8I=")</f>
        <v>#REF!</v>
      </c>
      <c r="GN6" t="e">
        <f>AND('Output - Criteria'!#REF!,"AAAAAH9/e8M=")</f>
        <v>#REF!</v>
      </c>
      <c r="GO6" t="e">
        <f>AND('Output - Criteria'!#REF!,"AAAAAH9/e8Q=")</f>
        <v>#REF!</v>
      </c>
      <c r="GP6" t="e">
        <f>AND('Output - Criteria'!#REF!,"AAAAAH9/e8U=")</f>
        <v>#REF!</v>
      </c>
      <c r="GQ6" t="e">
        <f>AND('Output - Criteria'!#REF!,"AAAAAH9/e8Y=")</f>
        <v>#REF!</v>
      </c>
      <c r="GR6" t="e">
        <f>AND('Output - Criteria'!#REF!,"AAAAAH9/e8c=")</f>
        <v>#REF!</v>
      </c>
      <c r="GS6" t="e">
        <f>AND('Output - Criteria'!#REF!,"AAAAAH9/e8g=")</f>
        <v>#REF!</v>
      </c>
      <c r="GT6" t="e">
        <f>AND('Output - Criteria'!#REF!,"AAAAAH9/e8k=")</f>
        <v>#REF!</v>
      </c>
      <c r="GU6" t="e">
        <f>AND('Output - Criteria'!#REF!,"AAAAAH9/e8o=")</f>
        <v>#REF!</v>
      </c>
      <c r="GV6" t="e">
        <f>AND('Output - Criteria'!#REF!,"AAAAAH9/e8s=")</f>
        <v>#REF!</v>
      </c>
      <c r="GW6" t="e">
        <f>AND('Output - Criteria'!#REF!,"AAAAAH9/e8w=")</f>
        <v>#REF!</v>
      </c>
      <c r="GX6" t="e">
        <f>IF('Output - Criteria'!#REF!,"AAAAAH9/e80=",0)</f>
        <v>#REF!</v>
      </c>
      <c r="GY6" t="e">
        <f>AND('Output - Criteria'!#REF!,"AAAAAH9/e84=")</f>
        <v>#REF!</v>
      </c>
      <c r="GZ6" t="e">
        <f>AND('Output - Criteria'!#REF!,"AAAAAH9/e88=")</f>
        <v>#REF!</v>
      </c>
      <c r="HA6" t="e">
        <f>AND('Output - Criteria'!#REF!,"AAAAAH9/e9A=")</f>
        <v>#REF!</v>
      </c>
      <c r="HB6" t="e">
        <f>AND('Output - Criteria'!#REF!,"AAAAAH9/e9E=")</f>
        <v>#REF!</v>
      </c>
      <c r="HC6" t="e">
        <f>AND('Output - Criteria'!#REF!,"AAAAAH9/e9I=")</f>
        <v>#REF!</v>
      </c>
      <c r="HD6" t="e">
        <f>AND('Output - Criteria'!#REF!,"AAAAAH9/e9M=")</f>
        <v>#REF!</v>
      </c>
      <c r="HE6" t="e">
        <f>AND('Output - Criteria'!#REF!,"AAAAAH9/e9Q=")</f>
        <v>#REF!</v>
      </c>
      <c r="HF6" t="e">
        <f>AND('Output - Criteria'!#REF!,"AAAAAH9/e9U=")</f>
        <v>#REF!</v>
      </c>
      <c r="HG6" t="e">
        <f>AND('Output - Criteria'!#REF!,"AAAAAH9/e9Y=")</f>
        <v>#REF!</v>
      </c>
      <c r="HH6" t="e">
        <f>AND('Output - Criteria'!#REF!,"AAAAAH9/e9c=")</f>
        <v>#REF!</v>
      </c>
      <c r="HI6" t="e">
        <f>AND('Output - Criteria'!#REF!,"AAAAAH9/e9g=")</f>
        <v>#REF!</v>
      </c>
      <c r="HJ6" t="e">
        <f>AND('Output - Criteria'!#REF!,"AAAAAH9/e9k=")</f>
        <v>#REF!</v>
      </c>
      <c r="HK6" t="e">
        <f>IF('Output - Criteria'!#REF!,"AAAAAH9/e9o=",0)</f>
        <v>#REF!</v>
      </c>
      <c r="HL6" t="e">
        <f>AND('Output - Criteria'!#REF!,"AAAAAH9/e9s=")</f>
        <v>#REF!</v>
      </c>
      <c r="HM6" t="e">
        <f>AND('Output - Criteria'!#REF!,"AAAAAH9/e9w=")</f>
        <v>#REF!</v>
      </c>
      <c r="HN6" t="e">
        <f>AND('Output - Criteria'!#REF!,"AAAAAH9/e90=")</f>
        <v>#REF!</v>
      </c>
      <c r="HO6" t="e">
        <f>AND('Output - Criteria'!#REF!,"AAAAAH9/e94=")</f>
        <v>#REF!</v>
      </c>
      <c r="HP6" t="e">
        <f>AND('Output - Criteria'!#REF!,"AAAAAH9/e98=")</f>
        <v>#REF!</v>
      </c>
      <c r="HQ6" t="e">
        <f>AND('Output - Criteria'!#REF!,"AAAAAH9/e+A=")</f>
        <v>#REF!</v>
      </c>
      <c r="HR6" t="e">
        <f>AND('Output - Criteria'!#REF!,"AAAAAH9/e+E=")</f>
        <v>#REF!</v>
      </c>
      <c r="HS6" t="e">
        <f>AND('Output - Criteria'!#REF!,"AAAAAH9/e+I=")</f>
        <v>#REF!</v>
      </c>
      <c r="HT6" t="e">
        <f>AND('Output - Criteria'!#REF!,"AAAAAH9/e+M=")</f>
        <v>#REF!</v>
      </c>
      <c r="HU6" t="e">
        <f>AND('Output - Criteria'!#REF!,"AAAAAH9/e+Q=")</f>
        <v>#REF!</v>
      </c>
      <c r="HV6" t="e">
        <f>AND('Output - Criteria'!#REF!,"AAAAAH9/e+U=")</f>
        <v>#REF!</v>
      </c>
      <c r="HW6" t="e">
        <f>AND('Output - Criteria'!#REF!,"AAAAAH9/e+Y=")</f>
        <v>#REF!</v>
      </c>
      <c r="HX6" t="e">
        <f>IF('Output - Criteria'!#REF!,"AAAAAH9/e+c=",0)</f>
        <v>#REF!</v>
      </c>
      <c r="HY6" t="e">
        <f>AND('Output - Criteria'!#REF!,"AAAAAH9/e+g=")</f>
        <v>#REF!</v>
      </c>
      <c r="HZ6" t="e">
        <f>AND('Output - Criteria'!#REF!,"AAAAAH9/e+k=")</f>
        <v>#REF!</v>
      </c>
      <c r="IA6" t="e">
        <f>AND('Output - Criteria'!#REF!,"AAAAAH9/e+o=")</f>
        <v>#REF!</v>
      </c>
      <c r="IB6" t="e">
        <f>AND('Output - Criteria'!#REF!,"AAAAAH9/e+s=")</f>
        <v>#REF!</v>
      </c>
      <c r="IC6" t="e">
        <f>AND('Output - Criteria'!#REF!,"AAAAAH9/e+w=")</f>
        <v>#REF!</v>
      </c>
      <c r="ID6" t="e">
        <f>AND('Output - Criteria'!#REF!,"AAAAAH9/e+0=")</f>
        <v>#REF!</v>
      </c>
      <c r="IE6" t="e">
        <f>AND('Output - Criteria'!#REF!,"AAAAAH9/e+4=")</f>
        <v>#REF!</v>
      </c>
      <c r="IF6" t="e">
        <f>AND('Output - Criteria'!#REF!,"AAAAAH9/e+8=")</f>
        <v>#REF!</v>
      </c>
      <c r="IG6" t="e">
        <f>AND('Output - Criteria'!#REF!,"AAAAAH9/e/A=")</f>
        <v>#REF!</v>
      </c>
      <c r="IH6" t="e">
        <f>AND('Output - Criteria'!#REF!,"AAAAAH9/e/E=")</f>
        <v>#REF!</v>
      </c>
      <c r="II6" t="e">
        <f>AND('Output - Criteria'!#REF!,"AAAAAH9/e/I=")</f>
        <v>#REF!</v>
      </c>
      <c r="IJ6" t="e">
        <f>AND('Output - Criteria'!#REF!,"AAAAAH9/e/M=")</f>
        <v>#REF!</v>
      </c>
      <c r="IK6" t="e">
        <f>IF('Output - Criteria'!#REF!,"AAAAAH9/e/Q=",0)</f>
        <v>#REF!</v>
      </c>
      <c r="IL6" t="e">
        <f>AND('Output - Criteria'!#REF!,"AAAAAH9/e/U=")</f>
        <v>#REF!</v>
      </c>
      <c r="IM6" t="e">
        <f>AND('Output - Criteria'!#REF!,"AAAAAH9/e/Y=")</f>
        <v>#REF!</v>
      </c>
      <c r="IN6" t="e">
        <f>AND('Output - Criteria'!#REF!,"AAAAAH9/e/c=")</f>
        <v>#REF!</v>
      </c>
      <c r="IO6" t="e">
        <f>AND('Output - Criteria'!#REF!,"AAAAAH9/e/g=")</f>
        <v>#REF!</v>
      </c>
      <c r="IP6" t="e">
        <f>AND('Output - Criteria'!#REF!,"AAAAAH9/e/k=")</f>
        <v>#REF!</v>
      </c>
      <c r="IQ6" t="e">
        <f>AND('Output - Criteria'!#REF!,"AAAAAH9/e/o=")</f>
        <v>#REF!</v>
      </c>
      <c r="IR6" t="e">
        <f>AND('Output - Criteria'!#REF!,"AAAAAH9/e/s=")</f>
        <v>#REF!</v>
      </c>
      <c r="IS6" t="e">
        <f>AND('Output - Criteria'!#REF!,"AAAAAH9/e/w=")</f>
        <v>#REF!</v>
      </c>
      <c r="IT6" t="e">
        <f>AND('Output - Criteria'!#REF!,"AAAAAH9/e/0=")</f>
        <v>#REF!</v>
      </c>
      <c r="IU6" t="e">
        <f>AND('Output - Criteria'!#REF!,"AAAAAH9/e/4=")</f>
        <v>#REF!</v>
      </c>
      <c r="IV6" t="e">
        <f>AND('Output - Criteria'!#REF!,"AAAAAH9/e/8=")</f>
        <v>#REF!</v>
      </c>
    </row>
    <row r="7" spans="1:256">
      <c r="A7" t="e">
        <f>AND('Output - Criteria'!#REF!,"AAAAAD1+LgA=")</f>
        <v>#REF!</v>
      </c>
      <c r="B7" t="e">
        <f>IF('Output - Criteria'!#REF!,"AAAAAD1+LgE=",0)</f>
        <v>#REF!</v>
      </c>
      <c r="C7" t="e">
        <f>AND('Output - Criteria'!#REF!,"AAAAAD1+LgI=")</f>
        <v>#REF!</v>
      </c>
      <c r="D7" t="e">
        <f>AND('Output - Criteria'!#REF!,"AAAAAD1+LgM=")</f>
        <v>#REF!</v>
      </c>
      <c r="E7" t="e">
        <f>AND('Output - Criteria'!#REF!,"AAAAAD1+LgQ=")</f>
        <v>#REF!</v>
      </c>
      <c r="F7" t="e">
        <f>AND('Output - Criteria'!#REF!,"AAAAAD1+LgU=")</f>
        <v>#REF!</v>
      </c>
      <c r="G7" t="e">
        <f>AND('Output - Criteria'!#REF!,"AAAAAD1+LgY=")</f>
        <v>#REF!</v>
      </c>
      <c r="H7" t="e">
        <f>AND('Output - Criteria'!#REF!,"AAAAAD1+Lgc=")</f>
        <v>#REF!</v>
      </c>
      <c r="I7" t="e">
        <f>AND('Output - Criteria'!#REF!,"AAAAAD1+Lgg=")</f>
        <v>#REF!</v>
      </c>
      <c r="J7" t="e">
        <f>AND('Output - Criteria'!#REF!,"AAAAAD1+Lgk=")</f>
        <v>#REF!</v>
      </c>
      <c r="K7" t="e">
        <f>AND('Output - Criteria'!#REF!,"AAAAAD1+Lgo=")</f>
        <v>#REF!</v>
      </c>
      <c r="L7" t="e">
        <f>AND('Output - Criteria'!#REF!,"AAAAAD1+Lgs=")</f>
        <v>#REF!</v>
      </c>
      <c r="M7" t="e">
        <f>AND('Output - Criteria'!#REF!,"AAAAAD1+Lgw=")</f>
        <v>#REF!</v>
      </c>
      <c r="N7" t="e">
        <f>AND('Output - Criteria'!#REF!,"AAAAAD1+Lg0=")</f>
        <v>#REF!</v>
      </c>
      <c r="O7" t="e">
        <f>IF('Output - Criteria'!#REF!,"AAAAAD1+Lg4=",0)</f>
        <v>#REF!</v>
      </c>
      <c r="P7" t="e">
        <f>AND('Output - Criteria'!#REF!,"AAAAAD1+Lg8=")</f>
        <v>#REF!</v>
      </c>
      <c r="Q7" t="e">
        <f>AND('Output - Criteria'!#REF!,"AAAAAD1+LhA=")</f>
        <v>#REF!</v>
      </c>
      <c r="R7" t="e">
        <f>AND('Output - Criteria'!#REF!,"AAAAAD1+LhE=")</f>
        <v>#REF!</v>
      </c>
      <c r="S7" t="e">
        <f>AND('Output - Criteria'!#REF!,"AAAAAD1+LhI=")</f>
        <v>#REF!</v>
      </c>
      <c r="T7" t="e">
        <f>AND('Output - Criteria'!#REF!,"AAAAAD1+LhM=")</f>
        <v>#REF!</v>
      </c>
      <c r="U7" t="e">
        <f>AND('Output - Criteria'!#REF!,"AAAAAD1+LhQ=")</f>
        <v>#REF!</v>
      </c>
      <c r="V7" t="e">
        <f>AND('Output - Criteria'!#REF!,"AAAAAD1+LhU=")</f>
        <v>#REF!</v>
      </c>
      <c r="W7" t="e">
        <f>AND('Output - Criteria'!#REF!,"AAAAAD1+LhY=")</f>
        <v>#REF!</v>
      </c>
      <c r="X7" t="e">
        <f>AND('Output - Criteria'!#REF!,"AAAAAD1+Lhc=")</f>
        <v>#REF!</v>
      </c>
      <c r="Y7" t="e">
        <f>AND('Output - Criteria'!#REF!,"AAAAAD1+Lhg=")</f>
        <v>#REF!</v>
      </c>
      <c r="Z7" t="e">
        <f>AND('Output - Criteria'!#REF!,"AAAAAD1+Lhk=")</f>
        <v>#REF!</v>
      </c>
      <c r="AA7" t="e">
        <f>AND('Output - Criteria'!#REF!,"AAAAAD1+Lho=")</f>
        <v>#REF!</v>
      </c>
      <c r="AB7" t="e">
        <f>IF('Output - Criteria'!#REF!,"AAAAAD1+Lhs=",0)</f>
        <v>#REF!</v>
      </c>
      <c r="AC7" t="e">
        <f>AND('Output - Criteria'!#REF!,"AAAAAD1+Lhw=")</f>
        <v>#REF!</v>
      </c>
      <c r="AD7" t="e">
        <f>AND('Output - Criteria'!#REF!,"AAAAAD1+Lh0=")</f>
        <v>#REF!</v>
      </c>
      <c r="AE7" t="e">
        <f>AND('Output - Criteria'!#REF!,"AAAAAD1+Lh4=")</f>
        <v>#REF!</v>
      </c>
      <c r="AF7" t="e">
        <f>AND('Output - Criteria'!#REF!,"AAAAAD1+Lh8=")</f>
        <v>#REF!</v>
      </c>
      <c r="AG7" t="e">
        <f>AND('Output - Criteria'!#REF!,"AAAAAD1+LiA=")</f>
        <v>#REF!</v>
      </c>
      <c r="AH7" t="e">
        <f>AND('Output - Criteria'!#REF!,"AAAAAD1+LiE=")</f>
        <v>#REF!</v>
      </c>
      <c r="AI7" t="e">
        <f>AND('Output - Criteria'!#REF!,"AAAAAD1+LiI=")</f>
        <v>#REF!</v>
      </c>
      <c r="AJ7" t="e">
        <f>AND('Output - Criteria'!#REF!,"AAAAAD1+LiM=")</f>
        <v>#REF!</v>
      </c>
      <c r="AK7" t="e">
        <f>AND('Output - Criteria'!#REF!,"AAAAAD1+LiQ=")</f>
        <v>#REF!</v>
      </c>
      <c r="AL7" t="e">
        <f>AND('Output - Criteria'!#REF!,"AAAAAD1+LiU=")</f>
        <v>#REF!</v>
      </c>
      <c r="AM7" t="e">
        <f>AND('Output - Criteria'!#REF!,"AAAAAD1+LiY=")</f>
        <v>#REF!</v>
      </c>
      <c r="AN7" t="e">
        <f>AND('Output - Criteria'!#REF!,"AAAAAD1+Lic=")</f>
        <v>#REF!</v>
      </c>
      <c r="AO7" t="e">
        <f>IF('Output - Criteria'!#REF!,"AAAAAD1+Lig=",0)</f>
        <v>#REF!</v>
      </c>
      <c r="AP7" t="e">
        <f>AND('Output - Criteria'!#REF!,"AAAAAD1+Lik=")</f>
        <v>#REF!</v>
      </c>
      <c r="AQ7" t="e">
        <f>AND('Output - Criteria'!#REF!,"AAAAAD1+Lio=")</f>
        <v>#REF!</v>
      </c>
      <c r="AR7" t="e">
        <f>AND('Output - Criteria'!#REF!,"AAAAAD1+Lis=")</f>
        <v>#REF!</v>
      </c>
      <c r="AS7" t="e">
        <f>AND('Output - Criteria'!#REF!,"AAAAAD1+Liw=")</f>
        <v>#REF!</v>
      </c>
      <c r="AT7" t="e">
        <f>AND('Output - Criteria'!#REF!,"AAAAAD1+Li0=")</f>
        <v>#REF!</v>
      </c>
      <c r="AU7" t="e">
        <f>AND('Output - Criteria'!#REF!,"AAAAAD1+Li4=")</f>
        <v>#REF!</v>
      </c>
      <c r="AV7" t="e">
        <f>AND('Output - Criteria'!#REF!,"AAAAAD1+Li8=")</f>
        <v>#REF!</v>
      </c>
      <c r="AW7" t="e">
        <f>AND('Output - Criteria'!#REF!,"AAAAAD1+LjA=")</f>
        <v>#REF!</v>
      </c>
      <c r="AX7" t="e">
        <f>AND('Output - Criteria'!#REF!,"AAAAAD1+LjE=")</f>
        <v>#REF!</v>
      </c>
      <c r="AY7" t="e">
        <f>AND('Output - Criteria'!#REF!,"AAAAAD1+LjI=")</f>
        <v>#REF!</v>
      </c>
      <c r="AZ7" t="e">
        <f>AND('Output - Criteria'!#REF!,"AAAAAD1+LjM=")</f>
        <v>#REF!</v>
      </c>
      <c r="BA7" t="e">
        <f>AND('Output - Criteria'!#REF!,"AAAAAD1+LjQ=")</f>
        <v>#REF!</v>
      </c>
      <c r="BB7" t="e">
        <f>IF('Output - Criteria'!#REF!,"AAAAAD1+LjU=",0)</f>
        <v>#REF!</v>
      </c>
      <c r="BC7" t="e">
        <f>AND('Output - Criteria'!#REF!,"AAAAAD1+LjY=")</f>
        <v>#REF!</v>
      </c>
      <c r="BD7" t="e">
        <f>AND('Output - Criteria'!#REF!,"AAAAAD1+Ljc=")</f>
        <v>#REF!</v>
      </c>
      <c r="BE7" t="e">
        <f>AND('Output - Criteria'!#REF!,"AAAAAD1+Ljg=")</f>
        <v>#REF!</v>
      </c>
      <c r="BF7" t="e">
        <f>AND('Output - Criteria'!#REF!,"AAAAAD1+Ljk=")</f>
        <v>#REF!</v>
      </c>
      <c r="BG7" t="e">
        <f>AND('Output - Criteria'!#REF!,"AAAAAD1+Ljo=")</f>
        <v>#REF!</v>
      </c>
      <c r="BH7" t="e">
        <f>AND('Output - Criteria'!#REF!,"AAAAAD1+Ljs=")</f>
        <v>#REF!</v>
      </c>
      <c r="BI7" t="e">
        <f>AND('Output - Criteria'!#REF!,"AAAAAD1+Ljw=")</f>
        <v>#REF!</v>
      </c>
      <c r="BJ7" t="e">
        <f>AND('Output - Criteria'!#REF!,"AAAAAD1+Lj0=")</f>
        <v>#REF!</v>
      </c>
      <c r="BK7" t="e">
        <f>AND('Output - Criteria'!#REF!,"AAAAAD1+Lj4=")</f>
        <v>#REF!</v>
      </c>
      <c r="BL7" t="e">
        <f>AND('Output - Criteria'!#REF!,"AAAAAD1+Lj8=")</f>
        <v>#REF!</v>
      </c>
      <c r="BM7" t="e">
        <f>AND('Output - Criteria'!#REF!,"AAAAAD1+LkA=")</f>
        <v>#REF!</v>
      </c>
      <c r="BN7" t="e">
        <f>AND('Output - Criteria'!#REF!,"AAAAAD1+LkE=")</f>
        <v>#REF!</v>
      </c>
      <c r="BO7" t="e">
        <f>IF('Output - Criteria'!#REF!,"AAAAAD1+LkI=",0)</f>
        <v>#REF!</v>
      </c>
      <c r="BP7" t="e">
        <f>AND('Output - Criteria'!#REF!,"AAAAAD1+LkM=")</f>
        <v>#REF!</v>
      </c>
      <c r="BQ7" t="e">
        <f>AND('Output - Criteria'!#REF!,"AAAAAD1+LkQ=")</f>
        <v>#REF!</v>
      </c>
      <c r="BR7" t="e">
        <f>AND('Output - Criteria'!#REF!,"AAAAAD1+LkU=")</f>
        <v>#REF!</v>
      </c>
      <c r="BS7" t="e">
        <f>AND('Output - Criteria'!#REF!,"AAAAAD1+LkY=")</f>
        <v>#REF!</v>
      </c>
      <c r="BT7" t="e">
        <f>AND('Output - Criteria'!#REF!,"AAAAAD1+Lkc=")</f>
        <v>#REF!</v>
      </c>
      <c r="BU7" t="e">
        <f>AND('Output - Criteria'!#REF!,"AAAAAD1+Lkg=")</f>
        <v>#REF!</v>
      </c>
      <c r="BV7" t="e">
        <f>AND('Output - Criteria'!#REF!,"AAAAAD1+Lkk=")</f>
        <v>#REF!</v>
      </c>
      <c r="BW7" t="e">
        <f>AND('Output - Criteria'!#REF!,"AAAAAD1+Lko=")</f>
        <v>#REF!</v>
      </c>
      <c r="BX7" t="e">
        <f>AND('Output - Criteria'!#REF!,"AAAAAD1+Lks=")</f>
        <v>#REF!</v>
      </c>
      <c r="BY7" t="e">
        <f>AND('Output - Criteria'!#REF!,"AAAAAD1+Lkw=")</f>
        <v>#REF!</v>
      </c>
      <c r="BZ7" t="e">
        <f>AND('Output - Criteria'!#REF!,"AAAAAD1+Lk0=")</f>
        <v>#REF!</v>
      </c>
      <c r="CA7" t="e">
        <f>AND('Output - Criteria'!#REF!,"AAAAAD1+Lk4=")</f>
        <v>#REF!</v>
      </c>
      <c r="CB7" t="e">
        <f>IF('Output - Criteria'!#REF!,"AAAAAD1+Lk8=",0)</f>
        <v>#REF!</v>
      </c>
      <c r="CC7" t="e">
        <f>AND('Output - Criteria'!#REF!,"AAAAAD1+LlA=")</f>
        <v>#REF!</v>
      </c>
      <c r="CD7" t="e">
        <f>AND('Output - Criteria'!#REF!,"AAAAAD1+LlE=")</f>
        <v>#REF!</v>
      </c>
      <c r="CE7" t="e">
        <f>AND('Output - Criteria'!#REF!,"AAAAAD1+LlI=")</f>
        <v>#REF!</v>
      </c>
      <c r="CF7" t="e">
        <f>AND('Output - Criteria'!#REF!,"AAAAAD1+LlM=")</f>
        <v>#REF!</v>
      </c>
      <c r="CG7" t="e">
        <f>AND('Output - Criteria'!#REF!,"AAAAAD1+LlQ=")</f>
        <v>#REF!</v>
      </c>
      <c r="CH7" t="e">
        <f>AND('Output - Criteria'!#REF!,"AAAAAD1+LlU=")</f>
        <v>#REF!</v>
      </c>
      <c r="CI7" t="e">
        <f>AND('Output - Criteria'!#REF!,"AAAAAD1+LlY=")</f>
        <v>#REF!</v>
      </c>
      <c r="CJ7" t="e">
        <f>AND('Output - Criteria'!#REF!,"AAAAAD1+Llc=")</f>
        <v>#REF!</v>
      </c>
      <c r="CK7" t="e">
        <f>AND('Output - Criteria'!#REF!,"AAAAAD1+Llg=")</f>
        <v>#REF!</v>
      </c>
      <c r="CL7" t="e">
        <f>AND('Output - Criteria'!#REF!,"AAAAAD1+Llk=")</f>
        <v>#REF!</v>
      </c>
      <c r="CM7" t="e">
        <f>AND('Output - Criteria'!#REF!,"AAAAAD1+Llo=")</f>
        <v>#REF!</v>
      </c>
      <c r="CN7" t="e">
        <f>AND('Output - Criteria'!#REF!,"AAAAAD1+Lls=")</f>
        <v>#REF!</v>
      </c>
      <c r="CO7" t="e">
        <f>IF('Output - Criteria'!#REF!,"AAAAAD1+Llw=",0)</f>
        <v>#REF!</v>
      </c>
      <c r="CP7" t="e">
        <f>AND('Output - Criteria'!#REF!,"AAAAAD1+Ll0=")</f>
        <v>#REF!</v>
      </c>
      <c r="CQ7" t="e">
        <f>AND('Output - Criteria'!#REF!,"AAAAAD1+Ll4=")</f>
        <v>#REF!</v>
      </c>
      <c r="CR7" t="e">
        <f>AND('Output - Criteria'!#REF!,"AAAAAD1+Ll8=")</f>
        <v>#REF!</v>
      </c>
      <c r="CS7" t="e">
        <f>AND('Output - Criteria'!#REF!,"AAAAAD1+LmA=")</f>
        <v>#REF!</v>
      </c>
      <c r="CT7" t="e">
        <f>AND('Output - Criteria'!#REF!,"AAAAAD1+LmE=")</f>
        <v>#REF!</v>
      </c>
      <c r="CU7" t="e">
        <f>AND('Output - Criteria'!#REF!,"AAAAAD1+LmI=")</f>
        <v>#REF!</v>
      </c>
      <c r="CV7" t="e">
        <f>AND('Output - Criteria'!#REF!,"AAAAAD1+LmM=")</f>
        <v>#REF!</v>
      </c>
      <c r="CW7" t="e">
        <f>AND('Output - Criteria'!#REF!,"AAAAAD1+LmQ=")</f>
        <v>#REF!</v>
      </c>
      <c r="CX7" t="e">
        <f>AND('Output - Criteria'!#REF!,"AAAAAD1+LmU=")</f>
        <v>#REF!</v>
      </c>
      <c r="CY7" t="e">
        <f>AND('Output - Criteria'!#REF!,"AAAAAD1+LmY=")</f>
        <v>#REF!</v>
      </c>
      <c r="CZ7" t="e">
        <f>AND('Output - Criteria'!#REF!,"AAAAAD1+Lmc=")</f>
        <v>#REF!</v>
      </c>
      <c r="DA7" t="e">
        <f>AND('Output - Criteria'!#REF!,"AAAAAD1+Lmg=")</f>
        <v>#REF!</v>
      </c>
      <c r="DB7" t="e">
        <f>IF('Output - Criteria'!#REF!,"AAAAAD1+Lmk=",0)</f>
        <v>#REF!</v>
      </c>
      <c r="DC7" t="e">
        <f>AND('Output - Criteria'!#REF!,"AAAAAD1+Lmo=")</f>
        <v>#REF!</v>
      </c>
      <c r="DD7" t="e">
        <f>AND('Output - Criteria'!#REF!,"AAAAAD1+Lms=")</f>
        <v>#REF!</v>
      </c>
      <c r="DE7" t="e">
        <f>AND('Output - Criteria'!#REF!,"AAAAAD1+Lmw=")</f>
        <v>#REF!</v>
      </c>
      <c r="DF7" t="e">
        <f>AND('Output - Criteria'!#REF!,"AAAAAD1+Lm0=")</f>
        <v>#REF!</v>
      </c>
      <c r="DG7" t="e">
        <f>AND('Output - Criteria'!#REF!,"AAAAAD1+Lm4=")</f>
        <v>#REF!</v>
      </c>
      <c r="DH7" t="e">
        <f>AND('Output - Criteria'!#REF!,"AAAAAD1+Lm8=")</f>
        <v>#REF!</v>
      </c>
      <c r="DI7" t="e">
        <f>AND('Output - Criteria'!#REF!,"AAAAAD1+LnA=")</f>
        <v>#REF!</v>
      </c>
      <c r="DJ7" t="e">
        <f>AND('Output - Criteria'!#REF!,"AAAAAD1+LnE=")</f>
        <v>#REF!</v>
      </c>
      <c r="DK7" t="e">
        <f>AND('Output - Criteria'!#REF!,"AAAAAD1+LnI=")</f>
        <v>#REF!</v>
      </c>
      <c r="DL7" t="e">
        <f>AND('Output - Criteria'!#REF!,"AAAAAD1+LnM=")</f>
        <v>#REF!</v>
      </c>
      <c r="DM7" t="e">
        <f>AND('Output - Criteria'!#REF!,"AAAAAD1+LnQ=")</f>
        <v>#REF!</v>
      </c>
      <c r="DN7" t="e">
        <f>AND('Output - Criteria'!#REF!,"AAAAAD1+LnU=")</f>
        <v>#REF!</v>
      </c>
      <c r="DO7" t="e">
        <f>IF('Output - Criteria'!#REF!,"AAAAAD1+LnY=",0)</f>
        <v>#REF!</v>
      </c>
      <c r="DP7" t="e">
        <f>AND('Output - Criteria'!#REF!,"AAAAAD1+Lnc=")</f>
        <v>#REF!</v>
      </c>
      <c r="DQ7" t="e">
        <f>AND('Output - Criteria'!#REF!,"AAAAAD1+Lng=")</f>
        <v>#REF!</v>
      </c>
      <c r="DR7" t="e">
        <f>AND('Output - Criteria'!#REF!,"AAAAAD1+Lnk=")</f>
        <v>#REF!</v>
      </c>
      <c r="DS7" t="e">
        <f>AND('Output - Criteria'!#REF!,"AAAAAD1+Lno=")</f>
        <v>#REF!</v>
      </c>
      <c r="DT7" t="e">
        <f>AND('Output - Criteria'!#REF!,"AAAAAD1+Lns=")</f>
        <v>#REF!</v>
      </c>
      <c r="DU7" t="e">
        <f>AND('Output - Criteria'!#REF!,"AAAAAD1+Lnw=")</f>
        <v>#REF!</v>
      </c>
      <c r="DV7" t="e">
        <f>AND('Output - Criteria'!#REF!,"AAAAAD1+Ln0=")</f>
        <v>#REF!</v>
      </c>
      <c r="DW7" t="e">
        <f>AND('Output - Criteria'!#REF!,"AAAAAD1+Ln4=")</f>
        <v>#REF!</v>
      </c>
      <c r="DX7" t="e">
        <f>AND('Output - Criteria'!#REF!,"AAAAAD1+Ln8=")</f>
        <v>#REF!</v>
      </c>
      <c r="DY7" t="e">
        <f>AND('Output - Criteria'!#REF!,"AAAAAD1+LoA=")</f>
        <v>#REF!</v>
      </c>
      <c r="DZ7" t="e">
        <f>AND('Output - Criteria'!#REF!,"AAAAAD1+LoE=")</f>
        <v>#REF!</v>
      </c>
      <c r="EA7" t="e">
        <f>AND('Output - Criteria'!#REF!,"AAAAAD1+LoI=")</f>
        <v>#REF!</v>
      </c>
      <c r="EB7" t="e">
        <f>IF('Output - Criteria'!#REF!,"AAAAAD1+LoM=",0)</f>
        <v>#REF!</v>
      </c>
      <c r="EC7" t="e">
        <f>AND('Output - Criteria'!#REF!,"AAAAAD1+LoQ=")</f>
        <v>#REF!</v>
      </c>
      <c r="ED7" t="e">
        <f>AND('Output - Criteria'!#REF!,"AAAAAD1+LoU=")</f>
        <v>#REF!</v>
      </c>
      <c r="EE7" t="e">
        <f>AND('Output - Criteria'!#REF!,"AAAAAD1+LoY=")</f>
        <v>#REF!</v>
      </c>
      <c r="EF7" t="e">
        <f>AND('Output - Criteria'!#REF!,"AAAAAD1+Loc=")</f>
        <v>#REF!</v>
      </c>
      <c r="EG7" t="e">
        <f>AND('Output - Criteria'!#REF!,"AAAAAD1+Log=")</f>
        <v>#REF!</v>
      </c>
      <c r="EH7" t="e">
        <f>AND('Output - Criteria'!#REF!,"AAAAAD1+Lok=")</f>
        <v>#REF!</v>
      </c>
      <c r="EI7" t="e">
        <f>AND('Output - Criteria'!#REF!,"AAAAAD1+Loo=")</f>
        <v>#REF!</v>
      </c>
      <c r="EJ7" t="e">
        <f>AND('Output - Criteria'!#REF!,"AAAAAD1+Los=")</f>
        <v>#REF!</v>
      </c>
      <c r="EK7" t="e">
        <f>AND('Output - Criteria'!#REF!,"AAAAAD1+Low=")</f>
        <v>#REF!</v>
      </c>
      <c r="EL7" t="e">
        <f>AND('Output - Criteria'!#REF!,"AAAAAD1+Lo0=")</f>
        <v>#REF!</v>
      </c>
      <c r="EM7" t="e">
        <f>AND('Output - Criteria'!#REF!,"AAAAAD1+Lo4=")</f>
        <v>#REF!</v>
      </c>
      <c r="EN7" t="e">
        <f>AND('Output - Criteria'!#REF!,"AAAAAD1+Lo8=")</f>
        <v>#REF!</v>
      </c>
      <c r="EO7" t="e">
        <f>IF('Output - Criteria'!#REF!,"AAAAAD1+LpA=",0)</f>
        <v>#REF!</v>
      </c>
      <c r="EP7" t="e">
        <f>AND('Output - Criteria'!#REF!,"AAAAAD1+LpE=")</f>
        <v>#REF!</v>
      </c>
      <c r="EQ7" t="e">
        <f>AND('Output - Criteria'!#REF!,"AAAAAD1+LpI=")</f>
        <v>#REF!</v>
      </c>
      <c r="ER7" t="e">
        <f>AND('Output - Criteria'!#REF!,"AAAAAD1+LpM=")</f>
        <v>#REF!</v>
      </c>
      <c r="ES7" t="e">
        <f>AND('Output - Criteria'!#REF!,"AAAAAD1+LpQ=")</f>
        <v>#REF!</v>
      </c>
      <c r="ET7" t="e">
        <f>AND('Output - Criteria'!#REF!,"AAAAAD1+LpU=")</f>
        <v>#REF!</v>
      </c>
      <c r="EU7" t="e">
        <f>AND('Output - Criteria'!#REF!,"AAAAAD1+LpY=")</f>
        <v>#REF!</v>
      </c>
      <c r="EV7" t="e">
        <f>AND('Output - Criteria'!#REF!,"AAAAAD1+Lpc=")</f>
        <v>#REF!</v>
      </c>
      <c r="EW7" t="e">
        <f>AND('Output - Criteria'!#REF!,"AAAAAD1+Lpg=")</f>
        <v>#REF!</v>
      </c>
      <c r="EX7" t="e">
        <f>AND('Output - Criteria'!#REF!,"AAAAAD1+Lpk=")</f>
        <v>#REF!</v>
      </c>
      <c r="EY7" t="e">
        <f>AND('Output - Criteria'!#REF!,"AAAAAD1+Lpo=")</f>
        <v>#REF!</v>
      </c>
      <c r="EZ7" t="e">
        <f>AND('Output - Criteria'!#REF!,"AAAAAD1+Lps=")</f>
        <v>#REF!</v>
      </c>
      <c r="FA7" t="e">
        <f>AND('Output - Criteria'!#REF!,"AAAAAD1+Lpw=")</f>
        <v>#REF!</v>
      </c>
      <c r="FB7" t="e">
        <f>IF('Output - Criteria'!#REF!,"AAAAAD1+Lp0=",0)</f>
        <v>#REF!</v>
      </c>
      <c r="FC7" t="e">
        <f>AND('Output - Criteria'!#REF!,"AAAAAD1+Lp4=")</f>
        <v>#REF!</v>
      </c>
      <c r="FD7" t="e">
        <f>AND('Output - Criteria'!#REF!,"AAAAAD1+Lp8=")</f>
        <v>#REF!</v>
      </c>
      <c r="FE7" t="e">
        <f>AND('Output - Criteria'!#REF!,"AAAAAD1+LqA=")</f>
        <v>#REF!</v>
      </c>
      <c r="FF7" t="e">
        <f>AND('Output - Criteria'!#REF!,"AAAAAD1+LqE=")</f>
        <v>#REF!</v>
      </c>
      <c r="FG7" t="e">
        <f>AND('Output - Criteria'!#REF!,"AAAAAD1+LqI=")</f>
        <v>#REF!</v>
      </c>
      <c r="FH7" t="e">
        <f>AND('Output - Criteria'!#REF!,"AAAAAD1+LqM=")</f>
        <v>#REF!</v>
      </c>
      <c r="FI7" t="e">
        <f>AND('Output - Criteria'!#REF!,"AAAAAD1+LqQ=")</f>
        <v>#REF!</v>
      </c>
      <c r="FJ7" t="e">
        <f>AND('Output - Criteria'!#REF!,"AAAAAD1+LqU=")</f>
        <v>#REF!</v>
      </c>
      <c r="FK7" t="e">
        <f>AND('Output - Criteria'!#REF!,"AAAAAD1+LqY=")</f>
        <v>#REF!</v>
      </c>
      <c r="FL7" t="e">
        <f>AND('Output - Criteria'!#REF!,"AAAAAD1+Lqc=")</f>
        <v>#REF!</v>
      </c>
      <c r="FM7" t="e">
        <f>AND('Output - Criteria'!#REF!,"AAAAAD1+Lqg=")</f>
        <v>#REF!</v>
      </c>
      <c r="FN7" t="e">
        <f>AND('Output - Criteria'!#REF!,"AAAAAD1+Lqk=")</f>
        <v>#REF!</v>
      </c>
      <c r="FO7" t="e">
        <f>IF('Output - Criteria'!#REF!,"AAAAAD1+Lqo=",0)</f>
        <v>#REF!</v>
      </c>
      <c r="FP7" t="e">
        <f>AND('Output - Criteria'!#REF!,"AAAAAD1+Lqs=")</f>
        <v>#REF!</v>
      </c>
      <c r="FQ7" t="e">
        <f>AND('Output - Criteria'!#REF!,"AAAAAD1+Lqw=")</f>
        <v>#REF!</v>
      </c>
      <c r="FR7" t="e">
        <f>AND('Output - Criteria'!#REF!,"AAAAAD1+Lq0=")</f>
        <v>#REF!</v>
      </c>
      <c r="FS7" t="e">
        <f>AND('Output - Criteria'!#REF!,"AAAAAD1+Lq4=")</f>
        <v>#REF!</v>
      </c>
      <c r="FT7" t="e">
        <f>AND('Output - Criteria'!#REF!,"AAAAAD1+Lq8=")</f>
        <v>#REF!</v>
      </c>
      <c r="FU7" t="e">
        <f>AND('Output - Criteria'!#REF!,"AAAAAD1+LrA=")</f>
        <v>#REF!</v>
      </c>
      <c r="FV7" t="e">
        <f>AND('Output - Criteria'!#REF!,"AAAAAD1+LrE=")</f>
        <v>#REF!</v>
      </c>
      <c r="FW7" t="e">
        <f>AND('Output - Criteria'!#REF!,"AAAAAD1+LrI=")</f>
        <v>#REF!</v>
      </c>
      <c r="FX7" t="e">
        <f>AND('Output - Criteria'!#REF!,"AAAAAD1+LrM=")</f>
        <v>#REF!</v>
      </c>
      <c r="FY7" t="e">
        <f>AND('Output - Criteria'!#REF!,"AAAAAD1+LrQ=")</f>
        <v>#REF!</v>
      </c>
      <c r="FZ7" t="e">
        <f>AND('Output - Criteria'!#REF!,"AAAAAD1+LrU=")</f>
        <v>#REF!</v>
      </c>
      <c r="GA7" t="e">
        <f>AND('Output - Criteria'!#REF!,"AAAAAD1+LrY=")</f>
        <v>#REF!</v>
      </c>
      <c r="GB7" t="e">
        <f>IF('Output - Criteria'!#REF!,"AAAAAD1+Lrc=",0)</f>
        <v>#REF!</v>
      </c>
      <c r="GC7" t="e">
        <f>AND('Output - Criteria'!#REF!,"AAAAAD1+Lrg=")</f>
        <v>#REF!</v>
      </c>
      <c r="GD7" t="e">
        <f>AND('Output - Criteria'!#REF!,"AAAAAD1+Lrk=")</f>
        <v>#REF!</v>
      </c>
      <c r="GE7" t="e">
        <f>AND('Output - Criteria'!#REF!,"AAAAAD1+Lro=")</f>
        <v>#REF!</v>
      </c>
      <c r="GF7" t="e">
        <f>AND('Output - Criteria'!#REF!,"AAAAAD1+Lrs=")</f>
        <v>#REF!</v>
      </c>
      <c r="GG7" t="e">
        <f>AND('Output - Criteria'!#REF!,"AAAAAD1+Lrw=")</f>
        <v>#REF!</v>
      </c>
      <c r="GH7" t="e">
        <f>AND('Output - Criteria'!#REF!,"AAAAAD1+Lr0=")</f>
        <v>#REF!</v>
      </c>
      <c r="GI7" t="e">
        <f>AND('Output - Criteria'!#REF!,"AAAAAD1+Lr4=")</f>
        <v>#REF!</v>
      </c>
      <c r="GJ7" t="e">
        <f>AND('Output - Criteria'!#REF!,"AAAAAD1+Lr8=")</f>
        <v>#REF!</v>
      </c>
      <c r="GK7" t="e">
        <f>AND('Output - Criteria'!#REF!,"AAAAAD1+LsA=")</f>
        <v>#REF!</v>
      </c>
      <c r="GL7" t="e">
        <f>AND('Output - Criteria'!#REF!,"AAAAAD1+LsE=")</f>
        <v>#REF!</v>
      </c>
      <c r="GM7" t="e">
        <f>AND('Output - Criteria'!#REF!,"AAAAAD1+LsI=")</f>
        <v>#REF!</v>
      </c>
      <c r="GN7" t="e">
        <f>AND('Output - Criteria'!#REF!,"AAAAAD1+LsM=")</f>
        <v>#REF!</v>
      </c>
      <c r="GO7" t="e">
        <f>IF('Output - Criteria'!#REF!,"AAAAAD1+LsQ=",0)</f>
        <v>#REF!</v>
      </c>
      <c r="GP7" t="e">
        <f>AND('Output - Criteria'!#REF!,"AAAAAD1+LsU=")</f>
        <v>#REF!</v>
      </c>
      <c r="GQ7" t="e">
        <f>AND('Output - Criteria'!#REF!,"AAAAAD1+LsY=")</f>
        <v>#REF!</v>
      </c>
      <c r="GR7" t="e">
        <f>AND('Output - Criteria'!#REF!,"AAAAAD1+Lsc=")</f>
        <v>#REF!</v>
      </c>
      <c r="GS7" t="e">
        <f>AND('Output - Criteria'!#REF!,"AAAAAD1+Lsg=")</f>
        <v>#REF!</v>
      </c>
      <c r="GT7" t="e">
        <f>AND('Output - Criteria'!#REF!,"AAAAAD1+Lsk=")</f>
        <v>#REF!</v>
      </c>
      <c r="GU7" t="e">
        <f>AND('Output - Criteria'!#REF!,"AAAAAD1+Lso=")</f>
        <v>#REF!</v>
      </c>
      <c r="GV7" t="e">
        <f>AND('Output - Criteria'!#REF!,"AAAAAD1+Lss=")</f>
        <v>#REF!</v>
      </c>
      <c r="GW7" t="e">
        <f>AND('Output - Criteria'!#REF!,"AAAAAD1+Lsw=")</f>
        <v>#REF!</v>
      </c>
      <c r="GX7" t="e">
        <f>AND('Output - Criteria'!#REF!,"AAAAAD1+Ls0=")</f>
        <v>#REF!</v>
      </c>
      <c r="GY7" t="e">
        <f>AND('Output - Criteria'!#REF!,"AAAAAD1+Ls4=")</f>
        <v>#REF!</v>
      </c>
      <c r="GZ7" t="e">
        <f>AND('Output - Criteria'!#REF!,"AAAAAD1+Ls8=")</f>
        <v>#REF!</v>
      </c>
      <c r="HA7" t="e">
        <f>AND('Output - Criteria'!#REF!,"AAAAAD1+LtA=")</f>
        <v>#REF!</v>
      </c>
      <c r="HB7" t="e">
        <f>IF('Output - Criteria'!#REF!,"AAAAAD1+LtE=",0)</f>
        <v>#REF!</v>
      </c>
      <c r="HC7" t="e">
        <f>AND('Output - Criteria'!#REF!,"AAAAAD1+LtI=")</f>
        <v>#REF!</v>
      </c>
      <c r="HD7" t="e">
        <f>AND('Output - Criteria'!#REF!,"AAAAAD1+LtM=")</f>
        <v>#REF!</v>
      </c>
      <c r="HE7" t="e">
        <f>AND('Output - Criteria'!#REF!,"AAAAAD1+LtQ=")</f>
        <v>#REF!</v>
      </c>
      <c r="HF7" t="e">
        <f>AND('Output - Criteria'!#REF!,"AAAAAD1+LtU=")</f>
        <v>#REF!</v>
      </c>
      <c r="HG7" t="e">
        <f>AND('Output - Criteria'!#REF!,"AAAAAD1+LtY=")</f>
        <v>#REF!</v>
      </c>
      <c r="HH7" t="e">
        <f>AND('Output - Criteria'!#REF!,"AAAAAD1+Ltc=")</f>
        <v>#REF!</v>
      </c>
      <c r="HI7" t="e">
        <f>AND('Output - Criteria'!#REF!,"AAAAAD1+Ltg=")</f>
        <v>#REF!</v>
      </c>
      <c r="HJ7" t="e">
        <f>AND('Output - Criteria'!#REF!,"AAAAAD1+Ltk=")</f>
        <v>#REF!</v>
      </c>
      <c r="HK7" t="e">
        <f>AND('Output - Criteria'!#REF!,"AAAAAD1+Lto=")</f>
        <v>#REF!</v>
      </c>
      <c r="HL7" t="e">
        <f>AND('Output - Criteria'!#REF!,"AAAAAD1+Lts=")</f>
        <v>#REF!</v>
      </c>
      <c r="HM7" t="e">
        <f>AND('Output - Criteria'!#REF!,"AAAAAD1+Ltw=")</f>
        <v>#REF!</v>
      </c>
      <c r="HN7" t="e">
        <f>AND('Output - Criteria'!#REF!,"AAAAAD1+Lt0=")</f>
        <v>#REF!</v>
      </c>
      <c r="HO7" t="e">
        <f>IF('Output - Criteria'!#REF!,"AAAAAD1+Lt4=",0)</f>
        <v>#REF!</v>
      </c>
      <c r="HP7" t="e">
        <f>AND('Output - Criteria'!#REF!,"AAAAAD1+Lt8=")</f>
        <v>#REF!</v>
      </c>
      <c r="HQ7" t="e">
        <f>AND('Output - Criteria'!#REF!,"AAAAAD1+LuA=")</f>
        <v>#REF!</v>
      </c>
      <c r="HR7" t="e">
        <f>AND('Output - Criteria'!#REF!,"AAAAAD1+LuE=")</f>
        <v>#REF!</v>
      </c>
      <c r="HS7" t="e">
        <f>AND('Output - Criteria'!#REF!,"AAAAAD1+LuI=")</f>
        <v>#REF!</v>
      </c>
      <c r="HT7" t="e">
        <f>AND('Output - Criteria'!#REF!,"AAAAAD1+LuM=")</f>
        <v>#REF!</v>
      </c>
      <c r="HU7" t="e">
        <f>AND('Output - Criteria'!#REF!,"AAAAAD1+LuQ=")</f>
        <v>#REF!</v>
      </c>
      <c r="HV7" t="e">
        <f>AND('Output - Criteria'!#REF!,"AAAAAD1+LuU=")</f>
        <v>#REF!</v>
      </c>
      <c r="HW7" t="e">
        <f>AND('Output - Criteria'!#REF!,"AAAAAD1+LuY=")</f>
        <v>#REF!</v>
      </c>
      <c r="HX7" t="e">
        <f>AND('Output - Criteria'!#REF!,"AAAAAD1+Luc=")</f>
        <v>#REF!</v>
      </c>
      <c r="HY7" t="e">
        <f>AND('Output - Criteria'!#REF!,"AAAAAD1+Lug=")</f>
        <v>#REF!</v>
      </c>
      <c r="HZ7" t="e">
        <f>AND('Output - Criteria'!#REF!,"AAAAAD1+Luk=")</f>
        <v>#REF!</v>
      </c>
      <c r="IA7" t="e">
        <f>AND('Output - Criteria'!#REF!,"AAAAAD1+Luo=")</f>
        <v>#REF!</v>
      </c>
      <c r="IB7" t="e">
        <f>IF('Output - Criteria'!#REF!,"AAAAAD1+Lus=",0)</f>
        <v>#REF!</v>
      </c>
      <c r="IC7" t="e">
        <f>AND('Output - Criteria'!#REF!,"AAAAAD1+Luw=")</f>
        <v>#REF!</v>
      </c>
      <c r="ID7" t="e">
        <f>AND('Output - Criteria'!#REF!,"AAAAAD1+Lu0=")</f>
        <v>#REF!</v>
      </c>
      <c r="IE7" t="e">
        <f>AND('Output - Criteria'!#REF!,"AAAAAD1+Lu4=")</f>
        <v>#REF!</v>
      </c>
      <c r="IF7" t="e">
        <f>AND('Output - Criteria'!#REF!,"AAAAAD1+Lu8=")</f>
        <v>#REF!</v>
      </c>
      <c r="IG7" t="e">
        <f>AND('Output - Criteria'!#REF!,"AAAAAD1+LvA=")</f>
        <v>#REF!</v>
      </c>
      <c r="IH7" t="e">
        <f>AND('Output - Criteria'!#REF!,"AAAAAD1+LvE=")</f>
        <v>#REF!</v>
      </c>
      <c r="II7" t="e">
        <f>AND('Output - Criteria'!#REF!,"AAAAAD1+LvI=")</f>
        <v>#REF!</v>
      </c>
      <c r="IJ7" t="e">
        <f>AND('Output - Criteria'!#REF!,"AAAAAD1+LvM=")</f>
        <v>#REF!</v>
      </c>
      <c r="IK7" t="e">
        <f>AND('Output - Criteria'!#REF!,"AAAAAD1+LvQ=")</f>
        <v>#REF!</v>
      </c>
      <c r="IL7" t="e">
        <f>AND('Output - Criteria'!#REF!,"AAAAAD1+LvU=")</f>
        <v>#REF!</v>
      </c>
      <c r="IM7" t="e">
        <f>AND('Output - Criteria'!#REF!,"AAAAAD1+LvY=")</f>
        <v>#REF!</v>
      </c>
      <c r="IN7" t="e">
        <f>AND('Output - Criteria'!#REF!,"AAAAAD1+Lvc=")</f>
        <v>#REF!</v>
      </c>
      <c r="IO7" t="e">
        <f>IF('Output - Criteria'!#REF!,"AAAAAD1+Lvg=",0)</f>
        <v>#REF!</v>
      </c>
      <c r="IP7" t="e">
        <f>AND('Output - Criteria'!#REF!,"AAAAAD1+Lvk=")</f>
        <v>#REF!</v>
      </c>
      <c r="IQ7" t="e">
        <f>AND('Output - Criteria'!#REF!,"AAAAAD1+Lvo=")</f>
        <v>#REF!</v>
      </c>
      <c r="IR7" t="e">
        <f>AND('Output - Criteria'!#REF!,"AAAAAD1+Lvs=")</f>
        <v>#REF!</v>
      </c>
      <c r="IS7" t="e">
        <f>AND('Output - Criteria'!#REF!,"AAAAAD1+Lvw=")</f>
        <v>#REF!</v>
      </c>
      <c r="IT7" t="e">
        <f>AND('Output - Criteria'!#REF!,"AAAAAD1+Lv0=")</f>
        <v>#REF!</v>
      </c>
      <c r="IU7" t="e">
        <f>AND('Output - Criteria'!#REF!,"AAAAAD1+Lv4=")</f>
        <v>#REF!</v>
      </c>
      <c r="IV7" t="e">
        <f>AND('Output - Criteria'!#REF!,"AAAAAD1+Lv8=")</f>
        <v>#REF!</v>
      </c>
    </row>
    <row r="8" spans="1:256">
      <c r="A8" t="e">
        <f>AND('Output - Criteria'!#REF!,"AAAAABzJ1wA=")</f>
        <v>#REF!</v>
      </c>
      <c r="B8" t="e">
        <f>AND('Output - Criteria'!#REF!,"AAAAABzJ1wE=")</f>
        <v>#REF!</v>
      </c>
      <c r="C8" t="e">
        <f>AND('Output - Criteria'!#REF!,"AAAAABzJ1wI=")</f>
        <v>#REF!</v>
      </c>
      <c r="D8" t="e">
        <f>AND('Output - Criteria'!#REF!,"AAAAABzJ1wM=")</f>
        <v>#REF!</v>
      </c>
      <c r="E8" t="e">
        <f>AND('Output - Criteria'!#REF!,"AAAAABzJ1wQ=")</f>
        <v>#REF!</v>
      </c>
      <c r="F8" t="e">
        <f>IF('Output - Criteria'!#REF!,"AAAAABzJ1wU=",0)</f>
        <v>#REF!</v>
      </c>
      <c r="G8" t="e">
        <f>AND('Output - Criteria'!#REF!,"AAAAABzJ1wY=")</f>
        <v>#REF!</v>
      </c>
      <c r="H8" t="e">
        <f>AND('Output - Criteria'!#REF!,"AAAAABzJ1wc=")</f>
        <v>#REF!</v>
      </c>
      <c r="I8" t="e">
        <f>AND('Output - Criteria'!#REF!,"AAAAABzJ1wg=")</f>
        <v>#REF!</v>
      </c>
      <c r="J8" t="e">
        <f>AND('Output - Criteria'!#REF!,"AAAAABzJ1wk=")</f>
        <v>#REF!</v>
      </c>
      <c r="K8" t="e">
        <f>AND('Output - Criteria'!#REF!,"AAAAABzJ1wo=")</f>
        <v>#REF!</v>
      </c>
      <c r="L8" t="e">
        <f>AND('Output - Criteria'!#REF!,"AAAAABzJ1ws=")</f>
        <v>#REF!</v>
      </c>
      <c r="M8" t="e">
        <f>AND('Output - Criteria'!#REF!,"AAAAABzJ1ww=")</f>
        <v>#REF!</v>
      </c>
      <c r="N8" t="e">
        <f>AND('Output - Criteria'!#REF!,"AAAAABzJ1w0=")</f>
        <v>#REF!</v>
      </c>
      <c r="O8" t="e">
        <f>AND('Output - Criteria'!#REF!,"AAAAABzJ1w4=")</f>
        <v>#REF!</v>
      </c>
      <c r="P8" t="e">
        <f>AND('Output - Criteria'!#REF!,"AAAAABzJ1w8=")</f>
        <v>#REF!</v>
      </c>
      <c r="Q8" t="e">
        <f>AND('Output - Criteria'!#REF!,"AAAAABzJ1xA=")</f>
        <v>#REF!</v>
      </c>
      <c r="R8" t="e">
        <f>AND('Output - Criteria'!#REF!,"AAAAABzJ1xE=")</f>
        <v>#REF!</v>
      </c>
      <c r="S8" t="e">
        <f>IF('Output - Criteria'!#REF!,"AAAAABzJ1xI=",0)</f>
        <v>#REF!</v>
      </c>
      <c r="T8" t="e">
        <f>AND('Output - Criteria'!#REF!,"AAAAABzJ1xM=")</f>
        <v>#REF!</v>
      </c>
      <c r="U8" t="e">
        <f>AND('Output - Criteria'!#REF!,"AAAAABzJ1xQ=")</f>
        <v>#REF!</v>
      </c>
      <c r="V8" t="e">
        <f>AND('Output - Criteria'!#REF!,"AAAAABzJ1xU=")</f>
        <v>#REF!</v>
      </c>
      <c r="W8" t="e">
        <f>AND('Output - Criteria'!#REF!,"AAAAABzJ1xY=")</f>
        <v>#REF!</v>
      </c>
      <c r="X8" t="e">
        <f>AND('Output - Criteria'!#REF!,"AAAAABzJ1xc=")</f>
        <v>#REF!</v>
      </c>
      <c r="Y8" t="e">
        <f>AND('Output - Criteria'!#REF!,"AAAAABzJ1xg=")</f>
        <v>#REF!</v>
      </c>
      <c r="Z8" t="e">
        <f>AND('Output - Criteria'!#REF!,"AAAAABzJ1xk=")</f>
        <v>#REF!</v>
      </c>
      <c r="AA8" t="e">
        <f>AND('Output - Criteria'!#REF!,"AAAAABzJ1xo=")</f>
        <v>#REF!</v>
      </c>
      <c r="AB8" t="e">
        <f>AND('Output - Criteria'!#REF!,"AAAAABzJ1xs=")</f>
        <v>#REF!</v>
      </c>
      <c r="AC8" t="e">
        <f>AND('Output - Criteria'!#REF!,"AAAAABzJ1xw=")</f>
        <v>#REF!</v>
      </c>
      <c r="AD8" t="e">
        <f>AND('Output - Criteria'!#REF!,"AAAAABzJ1x0=")</f>
        <v>#REF!</v>
      </c>
      <c r="AE8" t="e">
        <f>AND('Output - Criteria'!#REF!,"AAAAABzJ1x4=")</f>
        <v>#REF!</v>
      </c>
      <c r="AF8" t="e">
        <f>IF('Output - Criteria'!#REF!,"AAAAABzJ1x8=",0)</f>
        <v>#REF!</v>
      </c>
      <c r="AG8" t="e">
        <f>AND('Output - Criteria'!#REF!,"AAAAABzJ1yA=")</f>
        <v>#REF!</v>
      </c>
      <c r="AH8" t="e">
        <f>AND('Output - Criteria'!#REF!,"AAAAABzJ1yE=")</f>
        <v>#REF!</v>
      </c>
      <c r="AI8" t="e">
        <f>AND('Output - Criteria'!#REF!,"AAAAABzJ1yI=")</f>
        <v>#REF!</v>
      </c>
      <c r="AJ8" t="e">
        <f>AND('Output - Criteria'!#REF!,"AAAAABzJ1yM=")</f>
        <v>#REF!</v>
      </c>
      <c r="AK8" t="e">
        <f>AND('Output - Criteria'!#REF!,"AAAAABzJ1yQ=")</f>
        <v>#REF!</v>
      </c>
      <c r="AL8" t="e">
        <f>AND('Output - Criteria'!#REF!,"AAAAABzJ1yU=")</f>
        <v>#REF!</v>
      </c>
      <c r="AM8" t="e">
        <f>AND('Output - Criteria'!#REF!,"AAAAABzJ1yY=")</f>
        <v>#REF!</v>
      </c>
      <c r="AN8" t="e">
        <f>AND('Output - Criteria'!#REF!,"AAAAABzJ1yc=")</f>
        <v>#REF!</v>
      </c>
      <c r="AO8" t="e">
        <f>AND('Output - Criteria'!#REF!,"AAAAABzJ1yg=")</f>
        <v>#REF!</v>
      </c>
      <c r="AP8" t="e">
        <f>AND('Output - Criteria'!#REF!,"AAAAABzJ1yk=")</f>
        <v>#REF!</v>
      </c>
      <c r="AQ8" t="e">
        <f>AND('Output - Criteria'!#REF!,"AAAAABzJ1yo=")</f>
        <v>#REF!</v>
      </c>
      <c r="AR8" t="e">
        <f>AND('Output - Criteria'!#REF!,"AAAAABzJ1ys=")</f>
        <v>#REF!</v>
      </c>
      <c r="AS8" t="e">
        <f>IF('Output - Criteria'!#REF!,"AAAAABzJ1yw=",0)</f>
        <v>#REF!</v>
      </c>
      <c r="AT8" t="e">
        <f>AND('Output - Criteria'!#REF!,"AAAAABzJ1y0=")</f>
        <v>#REF!</v>
      </c>
      <c r="AU8" t="e">
        <f>AND('Output - Criteria'!#REF!,"AAAAABzJ1y4=")</f>
        <v>#REF!</v>
      </c>
      <c r="AV8" t="e">
        <f>AND('Output - Criteria'!#REF!,"AAAAABzJ1y8=")</f>
        <v>#REF!</v>
      </c>
      <c r="AW8" t="e">
        <f>AND('Output - Criteria'!#REF!,"AAAAABzJ1zA=")</f>
        <v>#REF!</v>
      </c>
      <c r="AX8" t="e">
        <f>AND('Output - Criteria'!#REF!,"AAAAABzJ1zE=")</f>
        <v>#REF!</v>
      </c>
      <c r="AY8" t="e">
        <f>AND('Output - Criteria'!#REF!,"AAAAABzJ1zI=")</f>
        <v>#REF!</v>
      </c>
      <c r="AZ8" t="e">
        <f>AND('Output - Criteria'!#REF!,"AAAAABzJ1zM=")</f>
        <v>#REF!</v>
      </c>
      <c r="BA8" t="e">
        <f>AND('Output - Criteria'!#REF!,"AAAAABzJ1zQ=")</f>
        <v>#REF!</v>
      </c>
      <c r="BB8" t="e">
        <f>AND('Output - Criteria'!#REF!,"AAAAABzJ1zU=")</f>
        <v>#REF!</v>
      </c>
      <c r="BC8" t="e">
        <f>AND('Output - Criteria'!#REF!,"AAAAABzJ1zY=")</f>
        <v>#REF!</v>
      </c>
      <c r="BD8" t="e">
        <f>AND('Output - Criteria'!#REF!,"AAAAABzJ1zc=")</f>
        <v>#REF!</v>
      </c>
      <c r="BE8" t="e">
        <f>AND('Output - Criteria'!#REF!,"AAAAABzJ1zg=")</f>
        <v>#REF!</v>
      </c>
      <c r="BF8" t="e">
        <f>IF('Output - Criteria'!#REF!,"AAAAABzJ1zk=",0)</f>
        <v>#REF!</v>
      </c>
      <c r="BG8" t="e">
        <f>AND('Output - Criteria'!#REF!,"AAAAABzJ1zo=")</f>
        <v>#REF!</v>
      </c>
      <c r="BH8" t="e">
        <f>AND('Output - Criteria'!#REF!,"AAAAABzJ1zs=")</f>
        <v>#REF!</v>
      </c>
      <c r="BI8" t="e">
        <f>AND('Output - Criteria'!#REF!,"AAAAABzJ1zw=")</f>
        <v>#REF!</v>
      </c>
      <c r="BJ8" t="e">
        <f>AND('Output - Criteria'!#REF!,"AAAAABzJ1z0=")</f>
        <v>#REF!</v>
      </c>
      <c r="BK8" t="e">
        <f>AND('Output - Criteria'!#REF!,"AAAAABzJ1z4=")</f>
        <v>#REF!</v>
      </c>
      <c r="BL8" t="e">
        <f>AND('Output - Criteria'!#REF!,"AAAAABzJ1z8=")</f>
        <v>#REF!</v>
      </c>
      <c r="BM8" t="e">
        <f>AND('Output - Criteria'!#REF!,"AAAAABzJ10A=")</f>
        <v>#REF!</v>
      </c>
      <c r="BN8" t="e">
        <f>AND('Output - Criteria'!#REF!,"AAAAABzJ10E=")</f>
        <v>#REF!</v>
      </c>
      <c r="BO8" t="e">
        <f>AND('Output - Criteria'!#REF!,"AAAAABzJ10I=")</f>
        <v>#REF!</v>
      </c>
      <c r="BP8" t="e">
        <f>AND('Output - Criteria'!#REF!,"AAAAABzJ10M=")</f>
        <v>#REF!</v>
      </c>
      <c r="BQ8" t="e">
        <f>AND('Output - Criteria'!#REF!,"AAAAABzJ10Q=")</f>
        <v>#REF!</v>
      </c>
      <c r="BR8" t="e">
        <f>AND('Output - Criteria'!#REF!,"AAAAABzJ10U=")</f>
        <v>#REF!</v>
      </c>
      <c r="BS8" t="e">
        <f>IF('Output - Criteria'!#REF!,"AAAAABzJ10Y=",0)</f>
        <v>#REF!</v>
      </c>
      <c r="BT8" t="e">
        <f>AND('Output - Criteria'!#REF!,"AAAAABzJ10c=")</f>
        <v>#REF!</v>
      </c>
      <c r="BU8" t="e">
        <f>AND('Output - Criteria'!#REF!,"AAAAABzJ10g=")</f>
        <v>#REF!</v>
      </c>
      <c r="BV8" t="e">
        <f>AND('Output - Criteria'!#REF!,"AAAAABzJ10k=")</f>
        <v>#REF!</v>
      </c>
      <c r="BW8" t="e">
        <f>AND('Output - Criteria'!#REF!,"AAAAABzJ10o=")</f>
        <v>#REF!</v>
      </c>
      <c r="BX8" t="e">
        <f>AND('Output - Criteria'!#REF!,"AAAAABzJ10s=")</f>
        <v>#REF!</v>
      </c>
      <c r="BY8" t="e">
        <f>AND('Output - Criteria'!#REF!,"AAAAABzJ10w=")</f>
        <v>#REF!</v>
      </c>
      <c r="BZ8" t="e">
        <f>AND('Output - Criteria'!#REF!,"AAAAABzJ100=")</f>
        <v>#REF!</v>
      </c>
      <c r="CA8" t="e">
        <f>AND('Output - Criteria'!#REF!,"AAAAABzJ104=")</f>
        <v>#REF!</v>
      </c>
      <c r="CB8" t="e">
        <f>AND('Output - Criteria'!#REF!,"AAAAABzJ108=")</f>
        <v>#REF!</v>
      </c>
      <c r="CC8" t="e">
        <f>AND('Output - Criteria'!#REF!,"AAAAABzJ11A=")</f>
        <v>#REF!</v>
      </c>
      <c r="CD8" t="e">
        <f>AND('Output - Criteria'!#REF!,"AAAAABzJ11E=")</f>
        <v>#REF!</v>
      </c>
      <c r="CE8" t="e">
        <f>AND('Output - Criteria'!#REF!,"AAAAABzJ11I=")</f>
        <v>#REF!</v>
      </c>
      <c r="CF8" t="e">
        <f>IF('Output - Criteria'!#REF!,"AAAAABzJ11M=",0)</f>
        <v>#REF!</v>
      </c>
      <c r="CG8" t="e">
        <f>AND('Output - Criteria'!#REF!,"AAAAABzJ11Q=")</f>
        <v>#REF!</v>
      </c>
      <c r="CH8" t="e">
        <f>AND('Output - Criteria'!#REF!,"AAAAABzJ11U=")</f>
        <v>#REF!</v>
      </c>
      <c r="CI8" t="e">
        <f>AND('Output - Criteria'!#REF!,"AAAAABzJ11Y=")</f>
        <v>#REF!</v>
      </c>
      <c r="CJ8" t="e">
        <f>AND('Output - Criteria'!#REF!,"AAAAABzJ11c=")</f>
        <v>#REF!</v>
      </c>
      <c r="CK8" t="e">
        <f>AND('Output - Criteria'!#REF!,"AAAAABzJ11g=")</f>
        <v>#REF!</v>
      </c>
      <c r="CL8" t="e">
        <f>AND('Output - Criteria'!#REF!,"AAAAABzJ11k=")</f>
        <v>#REF!</v>
      </c>
      <c r="CM8" t="e">
        <f>AND('Output - Criteria'!#REF!,"AAAAABzJ11o=")</f>
        <v>#REF!</v>
      </c>
      <c r="CN8" t="e">
        <f>AND('Output - Criteria'!#REF!,"AAAAABzJ11s=")</f>
        <v>#REF!</v>
      </c>
      <c r="CO8" t="e">
        <f>AND('Output - Criteria'!#REF!,"AAAAABzJ11w=")</f>
        <v>#REF!</v>
      </c>
      <c r="CP8" t="e">
        <f>AND('Output - Criteria'!#REF!,"AAAAABzJ110=")</f>
        <v>#REF!</v>
      </c>
      <c r="CQ8" t="e">
        <f>AND('Output - Criteria'!#REF!,"AAAAABzJ114=")</f>
        <v>#REF!</v>
      </c>
      <c r="CR8" t="e">
        <f>AND('Output - Criteria'!#REF!,"AAAAABzJ118=")</f>
        <v>#REF!</v>
      </c>
      <c r="CS8" t="e">
        <f>IF('Output - Criteria'!#REF!,"AAAAABzJ12A=",0)</f>
        <v>#REF!</v>
      </c>
      <c r="CT8" t="e">
        <f>AND('Output - Criteria'!#REF!,"AAAAABzJ12E=")</f>
        <v>#REF!</v>
      </c>
      <c r="CU8" t="e">
        <f>AND('Output - Criteria'!#REF!,"AAAAABzJ12I=")</f>
        <v>#REF!</v>
      </c>
      <c r="CV8" t="e">
        <f>AND('Output - Criteria'!#REF!,"AAAAABzJ12M=")</f>
        <v>#REF!</v>
      </c>
      <c r="CW8" t="e">
        <f>AND('Output - Criteria'!#REF!,"AAAAABzJ12Q=")</f>
        <v>#REF!</v>
      </c>
      <c r="CX8" t="e">
        <f>AND('Output - Criteria'!#REF!,"AAAAABzJ12U=")</f>
        <v>#REF!</v>
      </c>
      <c r="CY8" t="e">
        <f>AND('Output - Criteria'!#REF!,"AAAAABzJ12Y=")</f>
        <v>#REF!</v>
      </c>
      <c r="CZ8" t="e">
        <f>AND('Output - Criteria'!#REF!,"AAAAABzJ12c=")</f>
        <v>#REF!</v>
      </c>
      <c r="DA8" t="e">
        <f>AND('Output - Criteria'!#REF!,"AAAAABzJ12g=")</f>
        <v>#REF!</v>
      </c>
      <c r="DB8" t="e">
        <f>AND('Output - Criteria'!#REF!,"AAAAABzJ12k=")</f>
        <v>#REF!</v>
      </c>
      <c r="DC8" t="e">
        <f>AND('Output - Criteria'!#REF!,"AAAAABzJ12o=")</f>
        <v>#REF!</v>
      </c>
      <c r="DD8" t="e">
        <f>AND('Output - Criteria'!#REF!,"AAAAABzJ12s=")</f>
        <v>#REF!</v>
      </c>
      <c r="DE8" t="e">
        <f>AND('Output - Criteria'!#REF!,"AAAAABzJ12w=")</f>
        <v>#REF!</v>
      </c>
      <c r="DF8" t="e">
        <f>IF('Output - Criteria'!#REF!,"AAAAABzJ120=",0)</f>
        <v>#REF!</v>
      </c>
      <c r="DG8" t="e">
        <f>AND('Output - Criteria'!#REF!,"AAAAABzJ124=")</f>
        <v>#REF!</v>
      </c>
      <c r="DH8" t="e">
        <f>AND('Output - Criteria'!#REF!,"AAAAABzJ128=")</f>
        <v>#REF!</v>
      </c>
      <c r="DI8" t="e">
        <f>AND('Output - Criteria'!#REF!,"AAAAABzJ13A=")</f>
        <v>#REF!</v>
      </c>
      <c r="DJ8" t="e">
        <f>AND('Output - Criteria'!#REF!,"AAAAABzJ13E=")</f>
        <v>#REF!</v>
      </c>
      <c r="DK8" t="e">
        <f>AND('Output - Criteria'!#REF!,"AAAAABzJ13I=")</f>
        <v>#REF!</v>
      </c>
      <c r="DL8" t="e">
        <f>AND('Output - Criteria'!#REF!,"AAAAABzJ13M=")</f>
        <v>#REF!</v>
      </c>
      <c r="DM8" t="e">
        <f>AND('Output - Criteria'!#REF!,"AAAAABzJ13Q=")</f>
        <v>#REF!</v>
      </c>
      <c r="DN8" t="e">
        <f>AND('Output - Criteria'!#REF!,"AAAAABzJ13U=")</f>
        <v>#REF!</v>
      </c>
      <c r="DO8" t="e">
        <f>AND('Output - Criteria'!#REF!,"AAAAABzJ13Y=")</f>
        <v>#REF!</v>
      </c>
      <c r="DP8" t="e">
        <f>AND('Output - Criteria'!#REF!,"AAAAABzJ13c=")</f>
        <v>#REF!</v>
      </c>
      <c r="DQ8" t="e">
        <f>AND('Output - Criteria'!#REF!,"AAAAABzJ13g=")</f>
        <v>#REF!</v>
      </c>
      <c r="DR8" t="e">
        <f>AND('Output - Criteria'!#REF!,"AAAAABzJ13k=")</f>
        <v>#REF!</v>
      </c>
      <c r="DS8" t="e">
        <f>IF('Output - Criteria'!#REF!,"AAAAABzJ13o=",0)</f>
        <v>#REF!</v>
      </c>
      <c r="DT8" t="e">
        <f>AND('Output - Criteria'!#REF!,"AAAAABzJ13s=")</f>
        <v>#REF!</v>
      </c>
      <c r="DU8" t="e">
        <f>AND('Output - Criteria'!#REF!,"AAAAABzJ13w=")</f>
        <v>#REF!</v>
      </c>
      <c r="DV8" t="e">
        <f>AND('Output - Criteria'!#REF!,"AAAAABzJ130=")</f>
        <v>#REF!</v>
      </c>
      <c r="DW8" t="e">
        <f>AND('Output - Criteria'!#REF!,"AAAAABzJ134=")</f>
        <v>#REF!</v>
      </c>
      <c r="DX8" t="e">
        <f>AND('Output - Criteria'!#REF!,"AAAAABzJ138=")</f>
        <v>#REF!</v>
      </c>
      <c r="DY8" t="e">
        <f>AND('Output - Criteria'!#REF!,"AAAAABzJ14A=")</f>
        <v>#REF!</v>
      </c>
      <c r="DZ8" t="e">
        <f>AND('Output - Criteria'!#REF!,"AAAAABzJ14E=")</f>
        <v>#REF!</v>
      </c>
      <c r="EA8" t="e">
        <f>AND('Output - Criteria'!#REF!,"AAAAABzJ14I=")</f>
        <v>#REF!</v>
      </c>
      <c r="EB8" t="e">
        <f>AND('Output - Criteria'!#REF!,"AAAAABzJ14M=")</f>
        <v>#REF!</v>
      </c>
      <c r="EC8" t="e">
        <f>AND('Output - Criteria'!#REF!,"AAAAABzJ14Q=")</f>
        <v>#REF!</v>
      </c>
      <c r="ED8" t="e">
        <f>AND('Output - Criteria'!#REF!,"AAAAABzJ14U=")</f>
        <v>#REF!</v>
      </c>
      <c r="EE8" t="e">
        <f>AND('Output - Criteria'!#REF!,"AAAAABzJ14Y=")</f>
        <v>#REF!</v>
      </c>
      <c r="EF8" t="e">
        <f>IF('Output - Criteria'!#REF!,"AAAAABzJ14c=",0)</f>
        <v>#REF!</v>
      </c>
      <c r="EG8" t="e">
        <f>AND('Output - Criteria'!#REF!,"AAAAABzJ14g=")</f>
        <v>#REF!</v>
      </c>
      <c r="EH8" t="e">
        <f>AND('Output - Criteria'!#REF!,"AAAAABzJ14k=")</f>
        <v>#REF!</v>
      </c>
      <c r="EI8" t="e">
        <f>AND('Output - Criteria'!#REF!,"AAAAABzJ14o=")</f>
        <v>#REF!</v>
      </c>
      <c r="EJ8" t="e">
        <f>AND('Output - Criteria'!#REF!,"AAAAABzJ14s=")</f>
        <v>#REF!</v>
      </c>
      <c r="EK8" t="e">
        <f>AND('Output - Criteria'!#REF!,"AAAAABzJ14w=")</f>
        <v>#REF!</v>
      </c>
      <c r="EL8" t="e">
        <f>AND('Output - Criteria'!#REF!,"AAAAABzJ140=")</f>
        <v>#REF!</v>
      </c>
      <c r="EM8" t="e">
        <f>AND('Output - Criteria'!#REF!,"AAAAABzJ144=")</f>
        <v>#REF!</v>
      </c>
      <c r="EN8" t="e">
        <f>AND('Output - Criteria'!#REF!,"AAAAABzJ148=")</f>
        <v>#REF!</v>
      </c>
      <c r="EO8" t="e">
        <f>AND('Output - Criteria'!#REF!,"AAAAABzJ15A=")</f>
        <v>#REF!</v>
      </c>
      <c r="EP8" t="e">
        <f>AND('Output - Criteria'!#REF!,"AAAAABzJ15E=")</f>
        <v>#REF!</v>
      </c>
      <c r="EQ8" t="e">
        <f>AND('Output - Criteria'!#REF!,"AAAAABzJ15I=")</f>
        <v>#REF!</v>
      </c>
      <c r="ER8" t="e">
        <f>AND('Output - Criteria'!#REF!,"AAAAABzJ15M=")</f>
        <v>#REF!</v>
      </c>
      <c r="ES8" t="e">
        <f>IF('Output - Criteria'!#REF!,"AAAAABzJ15Q=",0)</f>
        <v>#REF!</v>
      </c>
      <c r="ET8" t="e">
        <f>AND('Output - Criteria'!#REF!,"AAAAABzJ15U=")</f>
        <v>#REF!</v>
      </c>
      <c r="EU8" t="e">
        <f>AND('Output - Criteria'!#REF!,"AAAAABzJ15Y=")</f>
        <v>#REF!</v>
      </c>
      <c r="EV8" t="e">
        <f>AND('Output - Criteria'!#REF!,"AAAAABzJ15c=")</f>
        <v>#REF!</v>
      </c>
      <c r="EW8" t="e">
        <f>AND('Output - Criteria'!#REF!,"AAAAABzJ15g=")</f>
        <v>#REF!</v>
      </c>
      <c r="EX8" t="e">
        <f>AND('Output - Criteria'!#REF!,"AAAAABzJ15k=")</f>
        <v>#REF!</v>
      </c>
      <c r="EY8" t="e">
        <f>AND('Output - Criteria'!#REF!,"AAAAABzJ15o=")</f>
        <v>#REF!</v>
      </c>
      <c r="EZ8" t="e">
        <f>AND('Output - Criteria'!#REF!,"AAAAABzJ15s=")</f>
        <v>#REF!</v>
      </c>
      <c r="FA8" t="e">
        <f>AND('Output - Criteria'!#REF!,"AAAAABzJ15w=")</f>
        <v>#REF!</v>
      </c>
      <c r="FB8" t="e">
        <f>AND('Output - Criteria'!#REF!,"AAAAABzJ150=")</f>
        <v>#REF!</v>
      </c>
      <c r="FC8" t="e">
        <f>AND('Output - Criteria'!#REF!,"AAAAABzJ154=")</f>
        <v>#REF!</v>
      </c>
      <c r="FD8" t="e">
        <f>AND('Output - Criteria'!#REF!,"AAAAABzJ158=")</f>
        <v>#REF!</v>
      </c>
      <c r="FE8" t="e">
        <f>AND('Output - Criteria'!#REF!,"AAAAABzJ16A=")</f>
        <v>#REF!</v>
      </c>
      <c r="FF8" t="e">
        <f>IF('Output - Criteria'!#REF!,"AAAAABzJ16E=",0)</f>
        <v>#REF!</v>
      </c>
      <c r="FG8" t="e">
        <f>AND('Output - Criteria'!#REF!,"AAAAABzJ16I=")</f>
        <v>#REF!</v>
      </c>
      <c r="FH8" t="e">
        <f>AND('Output - Criteria'!#REF!,"AAAAABzJ16M=")</f>
        <v>#REF!</v>
      </c>
      <c r="FI8" t="e">
        <f>AND('Output - Criteria'!#REF!,"AAAAABzJ16Q=")</f>
        <v>#REF!</v>
      </c>
      <c r="FJ8" t="e">
        <f>AND('Output - Criteria'!#REF!,"AAAAABzJ16U=")</f>
        <v>#REF!</v>
      </c>
      <c r="FK8" t="e">
        <f>AND('Output - Criteria'!#REF!,"AAAAABzJ16Y=")</f>
        <v>#REF!</v>
      </c>
      <c r="FL8" t="e">
        <f>AND('Output - Criteria'!#REF!,"AAAAABzJ16c=")</f>
        <v>#REF!</v>
      </c>
      <c r="FM8" t="e">
        <f>AND('Output - Criteria'!#REF!,"AAAAABzJ16g=")</f>
        <v>#REF!</v>
      </c>
      <c r="FN8" t="e">
        <f>AND('Output - Criteria'!#REF!,"AAAAABzJ16k=")</f>
        <v>#REF!</v>
      </c>
      <c r="FO8" t="e">
        <f>AND('Output - Criteria'!#REF!,"AAAAABzJ16o=")</f>
        <v>#REF!</v>
      </c>
      <c r="FP8" t="e">
        <f>AND('Output - Criteria'!#REF!,"AAAAABzJ16s=")</f>
        <v>#REF!</v>
      </c>
      <c r="FQ8" t="e">
        <f>AND('Output - Criteria'!#REF!,"AAAAABzJ16w=")</f>
        <v>#REF!</v>
      </c>
      <c r="FR8" t="e">
        <f>AND('Output - Criteria'!#REF!,"AAAAABzJ160=")</f>
        <v>#REF!</v>
      </c>
      <c r="FS8" t="e">
        <f>IF('Output - Criteria'!#REF!,"AAAAABzJ164=",0)</f>
        <v>#REF!</v>
      </c>
      <c r="FT8" t="e">
        <f>AND('Output - Criteria'!#REF!,"AAAAABzJ168=")</f>
        <v>#REF!</v>
      </c>
      <c r="FU8" t="e">
        <f>AND('Output - Criteria'!#REF!,"AAAAABzJ17A=")</f>
        <v>#REF!</v>
      </c>
      <c r="FV8" t="e">
        <f>AND('Output - Criteria'!#REF!,"AAAAABzJ17E=")</f>
        <v>#REF!</v>
      </c>
      <c r="FW8" t="e">
        <f>AND('Output - Criteria'!#REF!,"AAAAABzJ17I=")</f>
        <v>#REF!</v>
      </c>
      <c r="FX8" t="e">
        <f>AND('Output - Criteria'!#REF!,"AAAAABzJ17M=")</f>
        <v>#REF!</v>
      </c>
      <c r="FY8" t="e">
        <f>AND('Output - Criteria'!#REF!,"AAAAABzJ17Q=")</f>
        <v>#REF!</v>
      </c>
      <c r="FZ8" t="e">
        <f>AND('Output - Criteria'!#REF!,"AAAAABzJ17U=")</f>
        <v>#REF!</v>
      </c>
      <c r="GA8" t="e">
        <f>AND('Output - Criteria'!#REF!,"AAAAABzJ17Y=")</f>
        <v>#REF!</v>
      </c>
      <c r="GB8" t="e">
        <f>AND('Output - Criteria'!#REF!,"AAAAABzJ17c=")</f>
        <v>#REF!</v>
      </c>
      <c r="GC8" t="e">
        <f>AND('Output - Criteria'!#REF!,"AAAAABzJ17g=")</f>
        <v>#REF!</v>
      </c>
      <c r="GD8" t="e">
        <f>AND('Output - Criteria'!#REF!,"AAAAABzJ17k=")</f>
        <v>#REF!</v>
      </c>
      <c r="GE8" t="e">
        <f>AND('Output - Criteria'!#REF!,"AAAAABzJ17o=")</f>
        <v>#REF!</v>
      </c>
      <c r="GF8" t="e">
        <f>IF('Output - Criteria'!#REF!,"AAAAABzJ17s=",0)</f>
        <v>#REF!</v>
      </c>
      <c r="GG8" t="e">
        <f>AND('Output - Criteria'!#REF!,"AAAAABzJ17w=")</f>
        <v>#REF!</v>
      </c>
      <c r="GH8" t="e">
        <f>AND('Output - Criteria'!#REF!,"AAAAABzJ170=")</f>
        <v>#REF!</v>
      </c>
      <c r="GI8" t="e">
        <f>AND('Output - Criteria'!#REF!,"AAAAABzJ174=")</f>
        <v>#REF!</v>
      </c>
      <c r="GJ8" t="e">
        <f>AND('Output - Criteria'!#REF!,"AAAAABzJ178=")</f>
        <v>#REF!</v>
      </c>
      <c r="GK8" t="e">
        <f>AND('Output - Criteria'!#REF!,"AAAAABzJ18A=")</f>
        <v>#REF!</v>
      </c>
      <c r="GL8" t="e">
        <f>AND('Output - Criteria'!#REF!,"AAAAABzJ18E=")</f>
        <v>#REF!</v>
      </c>
      <c r="GM8" t="e">
        <f>AND('Output - Criteria'!#REF!,"AAAAABzJ18I=")</f>
        <v>#REF!</v>
      </c>
      <c r="GN8" t="e">
        <f>AND('Output - Criteria'!#REF!,"AAAAABzJ18M=")</f>
        <v>#REF!</v>
      </c>
      <c r="GO8" t="e">
        <f>AND('Output - Criteria'!#REF!,"AAAAABzJ18Q=")</f>
        <v>#REF!</v>
      </c>
      <c r="GP8" t="e">
        <f>AND('Output - Criteria'!#REF!,"AAAAABzJ18U=")</f>
        <v>#REF!</v>
      </c>
      <c r="GQ8" t="e">
        <f>AND('Output - Criteria'!#REF!,"AAAAABzJ18Y=")</f>
        <v>#REF!</v>
      </c>
      <c r="GR8" t="e">
        <f>AND('Output - Criteria'!#REF!,"AAAAABzJ18c=")</f>
        <v>#REF!</v>
      </c>
      <c r="GS8" t="e">
        <f>IF('Output - Criteria'!#REF!,"AAAAABzJ18g=",0)</f>
        <v>#REF!</v>
      </c>
      <c r="GT8" t="e">
        <f>AND('Output - Criteria'!#REF!,"AAAAABzJ18k=")</f>
        <v>#REF!</v>
      </c>
      <c r="GU8" t="e">
        <f>AND('Output - Criteria'!#REF!,"AAAAABzJ18o=")</f>
        <v>#REF!</v>
      </c>
      <c r="GV8" t="e">
        <f>AND('Output - Criteria'!#REF!,"AAAAABzJ18s=")</f>
        <v>#REF!</v>
      </c>
      <c r="GW8" t="e">
        <f>AND('Output - Criteria'!#REF!,"AAAAABzJ18w=")</f>
        <v>#REF!</v>
      </c>
      <c r="GX8" t="e">
        <f>AND('Output - Criteria'!#REF!,"AAAAABzJ180=")</f>
        <v>#REF!</v>
      </c>
      <c r="GY8" t="e">
        <f>AND('Output - Criteria'!#REF!,"AAAAABzJ184=")</f>
        <v>#REF!</v>
      </c>
      <c r="GZ8" t="e">
        <f>AND('Output - Criteria'!#REF!,"AAAAABzJ188=")</f>
        <v>#REF!</v>
      </c>
      <c r="HA8" t="e">
        <f>AND('Output - Criteria'!#REF!,"AAAAABzJ19A=")</f>
        <v>#REF!</v>
      </c>
      <c r="HB8" t="e">
        <f>AND('Output - Criteria'!#REF!,"AAAAABzJ19E=")</f>
        <v>#REF!</v>
      </c>
      <c r="HC8" t="e">
        <f>AND('Output - Criteria'!#REF!,"AAAAABzJ19I=")</f>
        <v>#REF!</v>
      </c>
      <c r="HD8" t="e">
        <f>AND('Output - Criteria'!#REF!,"AAAAABzJ19M=")</f>
        <v>#REF!</v>
      </c>
      <c r="HE8" t="e">
        <f>AND('Output - Criteria'!#REF!,"AAAAABzJ19Q=")</f>
        <v>#REF!</v>
      </c>
      <c r="HF8" t="e">
        <f>IF('Output - Criteria'!#REF!,"AAAAABzJ19U=",0)</f>
        <v>#REF!</v>
      </c>
      <c r="HG8" t="e">
        <f>AND('Output - Criteria'!#REF!,"AAAAABzJ19Y=")</f>
        <v>#REF!</v>
      </c>
      <c r="HH8" t="e">
        <f>AND('Output - Criteria'!#REF!,"AAAAABzJ19c=")</f>
        <v>#REF!</v>
      </c>
      <c r="HI8" t="e">
        <f>AND('Output - Criteria'!#REF!,"AAAAABzJ19g=")</f>
        <v>#REF!</v>
      </c>
      <c r="HJ8" t="e">
        <f>AND('Output - Criteria'!#REF!,"AAAAABzJ19k=")</f>
        <v>#REF!</v>
      </c>
      <c r="HK8" t="e">
        <f>AND('Output - Criteria'!#REF!,"AAAAABzJ19o=")</f>
        <v>#REF!</v>
      </c>
      <c r="HL8" t="e">
        <f>AND('Output - Criteria'!#REF!,"AAAAABzJ19s=")</f>
        <v>#REF!</v>
      </c>
      <c r="HM8" t="e">
        <f>AND('Output - Criteria'!#REF!,"AAAAABzJ19w=")</f>
        <v>#REF!</v>
      </c>
      <c r="HN8" t="e">
        <f>AND('Output - Criteria'!#REF!,"AAAAABzJ190=")</f>
        <v>#REF!</v>
      </c>
      <c r="HO8" t="e">
        <f>AND('Output - Criteria'!#REF!,"AAAAABzJ194=")</f>
        <v>#REF!</v>
      </c>
      <c r="HP8" t="e">
        <f>AND('Output - Criteria'!#REF!,"AAAAABzJ198=")</f>
        <v>#REF!</v>
      </c>
      <c r="HQ8" t="e">
        <f>AND('Output - Criteria'!#REF!,"AAAAABzJ1+A=")</f>
        <v>#REF!</v>
      </c>
      <c r="HR8" t="e">
        <f>AND('Output - Criteria'!#REF!,"AAAAABzJ1+E=")</f>
        <v>#REF!</v>
      </c>
      <c r="HS8" t="e">
        <f>IF('Output - Criteria'!#REF!,"AAAAABzJ1+I=",0)</f>
        <v>#REF!</v>
      </c>
      <c r="HT8" t="e">
        <f>AND('Output - Criteria'!#REF!,"AAAAABzJ1+M=")</f>
        <v>#REF!</v>
      </c>
      <c r="HU8" t="e">
        <f>AND('Output - Criteria'!#REF!,"AAAAABzJ1+Q=")</f>
        <v>#REF!</v>
      </c>
      <c r="HV8" t="e">
        <f>AND('Output - Criteria'!#REF!,"AAAAABzJ1+U=")</f>
        <v>#REF!</v>
      </c>
      <c r="HW8" t="e">
        <f>AND('Output - Criteria'!#REF!,"AAAAABzJ1+Y=")</f>
        <v>#REF!</v>
      </c>
      <c r="HX8" t="e">
        <f>AND('Output - Criteria'!#REF!,"AAAAABzJ1+c=")</f>
        <v>#REF!</v>
      </c>
      <c r="HY8" t="e">
        <f>AND('Output - Criteria'!#REF!,"AAAAABzJ1+g=")</f>
        <v>#REF!</v>
      </c>
      <c r="HZ8" t="e">
        <f>AND('Output - Criteria'!#REF!,"AAAAABzJ1+k=")</f>
        <v>#REF!</v>
      </c>
      <c r="IA8" t="e">
        <f>AND('Output - Criteria'!#REF!,"AAAAABzJ1+o=")</f>
        <v>#REF!</v>
      </c>
      <c r="IB8" t="e">
        <f>AND('Output - Criteria'!#REF!,"AAAAABzJ1+s=")</f>
        <v>#REF!</v>
      </c>
      <c r="IC8" t="e">
        <f>AND('Output - Criteria'!#REF!,"AAAAABzJ1+w=")</f>
        <v>#REF!</v>
      </c>
      <c r="ID8" t="e">
        <f>AND('Output - Criteria'!#REF!,"AAAAABzJ1+0=")</f>
        <v>#REF!</v>
      </c>
      <c r="IE8" t="e">
        <f>AND('Output - Criteria'!#REF!,"AAAAABzJ1+4=")</f>
        <v>#REF!</v>
      </c>
      <c r="IF8" t="e">
        <f>IF('Output - Criteria'!#REF!,"AAAAABzJ1+8=",0)</f>
        <v>#REF!</v>
      </c>
      <c r="IG8" t="e">
        <f>AND('Output - Criteria'!#REF!,"AAAAABzJ1/A=")</f>
        <v>#REF!</v>
      </c>
      <c r="IH8" t="e">
        <f>AND('Output - Criteria'!#REF!,"AAAAABzJ1/E=")</f>
        <v>#REF!</v>
      </c>
      <c r="II8" t="e">
        <f>AND('Output - Criteria'!#REF!,"AAAAABzJ1/I=")</f>
        <v>#REF!</v>
      </c>
      <c r="IJ8" t="e">
        <f>AND('Output - Criteria'!#REF!,"AAAAABzJ1/M=")</f>
        <v>#REF!</v>
      </c>
      <c r="IK8" t="e">
        <f>AND('Output - Criteria'!#REF!,"AAAAABzJ1/Q=")</f>
        <v>#REF!</v>
      </c>
      <c r="IL8" t="e">
        <f>AND('Output - Criteria'!#REF!,"AAAAABzJ1/U=")</f>
        <v>#REF!</v>
      </c>
      <c r="IM8" t="e">
        <f>AND('Output - Criteria'!#REF!,"AAAAABzJ1/Y=")</f>
        <v>#REF!</v>
      </c>
      <c r="IN8" t="e">
        <f>AND('Output - Criteria'!#REF!,"AAAAABzJ1/c=")</f>
        <v>#REF!</v>
      </c>
      <c r="IO8" t="e">
        <f>AND('Output - Criteria'!#REF!,"AAAAABzJ1/g=")</f>
        <v>#REF!</v>
      </c>
      <c r="IP8" t="e">
        <f>AND('Output - Criteria'!#REF!,"AAAAABzJ1/k=")</f>
        <v>#REF!</v>
      </c>
      <c r="IQ8" t="e">
        <f>AND('Output - Criteria'!#REF!,"AAAAABzJ1/o=")</f>
        <v>#REF!</v>
      </c>
      <c r="IR8" t="e">
        <f>AND('Output - Criteria'!#REF!,"AAAAABzJ1/s=")</f>
        <v>#REF!</v>
      </c>
      <c r="IS8" t="e">
        <f>IF('Output - Criteria'!#REF!,"AAAAABzJ1/w=",0)</f>
        <v>#REF!</v>
      </c>
      <c r="IT8" t="e">
        <f>IF('Output - Criteria'!A:A,"AAAAABzJ1/0=",0)</f>
        <v>#VALUE!</v>
      </c>
      <c r="IU8" t="e">
        <f>IF('Output - Criteria'!B:B,"AAAAABzJ1/4=",0)</f>
        <v>#VALUE!</v>
      </c>
      <c r="IV8" t="e">
        <f>IF('Output - Criteria'!C:C,"AAAAABzJ1/8=",0)</f>
        <v>#VALUE!</v>
      </c>
    </row>
    <row r="9" spans="1:256">
      <c r="A9" t="str">
        <f>IF('Output - Criteria'!D:D,"AAAAAH3//wA=",0)</f>
        <v>AAAAAH3//wA=</v>
      </c>
      <c r="B9" t="str">
        <f>IF('Output - Criteria'!E:E,"AAAAAH3//wE=",0)</f>
        <v>AAAAAH3//wE=</v>
      </c>
      <c r="C9" t="str">
        <f>IF('Output - Criteria'!F:F,"AAAAAH3//wI=",0)</f>
        <v>AAAAAH3//wI=</v>
      </c>
      <c r="D9" t="str">
        <f>IF('Output - Criteria'!G:G,"AAAAAH3//wM=",0)</f>
        <v>AAAAAH3//wM=</v>
      </c>
      <c r="E9" t="str">
        <f>IF('Output - Criteria'!H:H,"AAAAAH3//wQ=",0)</f>
        <v>AAAAAH3//wQ=</v>
      </c>
      <c r="F9">
        <f>IF('Output - Criteria'!I:I,"AAAAAH3//wU=",0)</f>
        <v>0</v>
      </c>
      <c r="G9">
        <f>IF('Output - Criteria'!J:J,"AAAAAH3//wY=",0)</f>
        <v>0</v>
      </c>
      <c r="H9">
        <f>IF('Output - Criteria'!K:K,"AAAAAH3//wc=",0)</f>
        <v>0</v>
      </c>
      <c r="I9">
        <f>IF('Output - Criteria'!L:L,"AAAAAH3//wg=",0)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f>IF('Aggregates Handling'!1:1,"AAAAAEfZ9lc=",0)</f>
        <v>0</v>
      </c>
      <c r="CK18" t="e">
        <f>AND('Aggregates Handling'!A1,"AAAAAEfZ9lg=")</f>
        <v>#VALUE!</v>
      </c>
      <c r="CL18" t="e">
        <f>AND('Aggregates Handling'!B1,"AAAAAEfZ9lk=")</f>
        <v>#VALUE!</v>
      </c>
      <c r="CM18" t="e">
        <f>AND('Aggregates Handling'!C1,"AAAAAEfZ9lo=")</f>
        <v>#VALUE!</v>
      </c>
      <c r="CN18" t="e">
        <f>AND('Aggregates Handling'!D1,"AAAAAEfZ9ls=")</f>
        <v>#VALUE!</v>
      </c>
      <c r="CO18" t="e">
        <f>AND('Aggregates Handling'!E1,"AAAAAEfZ9lw=")</f>
        <v>#VALUE!</v>
      </c>
      <c r="CP18" t="e">
        <f>AND('Aggregates Handling'!F1,"AAAAAEfZ9l0=")</f>
        <v>#VALUE!</v>
      </c>
      <c r="CQ18" t="e">
        <f>AND('Aggregates Handling'!G1,"AAAAAEfZ9l4=")</f>
        <v>#VALUE!</v>
      </c>
      <c r="CR18" t="e">
        <f>AND('Aggregates Handling'!H1,"AAAAAEfZ9l8=")</f>
        <v>#VALUE!</v>
      </c>
      <c r="CS18" t="e">
        <f>AND('Aggregates Handling'!I1,"AAAAAEfZ9mA=")</f>
        <v>#VALUE!</v>
      </c>
      <c r="CT18" t="e">
        <f>AND('Aggregates Handling'!J1,"AAAAAEfZ9mE=")</f>
        <v>#VALUE!</v>
      </c>
      <c r="CU18" t="e">
        <f>AND('Aggregates Handling'!K1,"AAAAAEfZ9mI=")</f>
        <v>#VALUE!</v>
      </c>
      <c r="CV18" t="e">
        <f>AND('Aggregates Handling'!L1,"AAAAAEfZ9mM=")</f>
        <v>#VALUE!</v>
      </c>
      <c r="CW18" t="e">
        <f>AND('Aggregates Handling'!M1,"AAAAAEfZ9mQ=")</f>
        <v>#VALUE!</v>
      </c>
      <c r="CX18" t="e">
        <f>AND('Aggregates Handling'!N1,"AAAAAEfZ9mU=")</f>
        <v>#VALUE!</v>
      </c>
      <c r="CY18" t="e">
        <f>AND('Aggregates Handling'!O1,"AAAAAEfZ9mY=")</f>
        <v>#VALUE!</v>
      </c>
      <c r="CZ18" t="e">
        <f>AND('Aggregates Handling'!P1,"AAAAAEfZ9mc=")</f>
        <v>#VALUE!</v>
      </c>
      <c r="DA18" t="e">
        <f>AND('Aggregates Handling'!Q1,"AAAAAEfZ9mg=")</f>
        <v>#VALUE!</v>
      </c>
      <c r="DB18" t="e">
        <f>AND('Aggregates Handling'!R1,"AAAAAEfZ9mk=")</f>
        <v>#VALUE!</v>
      </c>
      <c r="DC18" t="e">
        <f>AND('Aggregates Handling'!S1,"AAAAAEfZ9mo=")</f>
        <v>#VALUE!</v>
      </c>
      <c r="DD18" t="e">
        <f>AND('Aggregates Handling'!T1,"AAAAAEfZ9ms=")</f>
        <v>#VALUE!</v>
      </c>
      <c r="DE18">
        <f>IF('Aggregates Handling'!2:2,"AAAAAEfZ9mw=",0)</f>
        <v>0</v>
      </c>
      <c r="DF18" t="e">
        <f>AND('Aggregates Handling'!A2,"AAAAAEfZ9m0=")</f>
        <v>#VALUE!</v>
      </c>
      <c r="DG18" t="e">
        <f>AND('Aggregates Handling'!B2,"AAAAAEfZ9m4=")</f>
        <v>#VALUE!</v>
      </c>
      <c r="DH18" t="e">
        <f>AND('Aggregates Handling'!C2,"AAAAAEfZ9m8=")</f>
        <v>#VALUE!</v>
      </c>
      <c r="DI18" t="e">
        <f>AND('Aggregates Handling'!D2,"AAAAAEfZ9nA=")</f>
        <v>#VALUE!</v>
      </c>
      <c r="DJ18" t="e">
        <f>AND('Aggregates Handling'!E2,"AAAAAEfZ9nE=")</f>
        <v>#VALUE!</v>
      </c>
      <c r="DK18" t="e">
        <f>AND('Aggregates Handling'!F2,"AAAAAEfZ9nI=")</f>
        <v>#VALUE!</v>
      </c>
      <c r="DL18" t="e">
        <f>AND('Aggregates Handling'!G2,"AAAAAEfZ9nM=")</f>
        <v>#VALUE!</v>
      </c>
      <c r="DM18" t="e">
        <f>AND('Aggregates Handling'!H2,"AAAAAEfZ9nQ=")</f>
        <v>#VALUE!</v>
      </c>
      <c r="DN18" t="e">
        <f>AND('Aggregates Handling'!I2,"AAAAAEfZ9nU=")</f>
        <v>#VALUE!</v>
      </c>
      <c r="DO18" t="e">
        <f>AND('Aggregates Handling'!J2,"AAAAAEfZ9nY=")</f>
        <v>#VALUE!</v>
      </c>
      <c r="DP18" t="e">
        <f>AND('Aggregates Handling'!K2,"AAAAAEfZ9nc=")</f>
        <v>#VALUE!</v>
      </c>
      <c r="DQ18" t="e">
        <f>AND('Aggregates Handling'!L2,"AAAAAEfZ9ng=")</f>
        <v>#VALUE!</v>
      </c>
      <c r="DR18" t="e">
        <f>AND('Aggregates Handling'!M2,"AAAAAEfZ9nk=")</f>
        <v>#VALUE!</v>
      </c>
      <c r="DS18" t="e">
        <f>AND('Aggregates Handling'!N2,"AAAAAEfZ9no=")</f>
        <v>#VALUE!</v>
      </c>
      <c r="DT18" t="e">
        <f>AND('Aggregates Handling'!O2,"AAAAAEfZ9ns=")</f>
        <v>#VALUE!</v>
      </c>
      <c r="DU18" t="e">
        <f>AND('Aggregates Handling'!P2,"AAAAAEfZ9nw=")</f>
        <v>#VALUE!</v>
      </c>
      <c r="DV18" t="e">
        <f>AND('Aggregates Handling'!Q2,"AAAAAEfZ9n0=")</f>
        <v>#VALUE!</v>
      </c>
      <c r="DW18" t="e">
        <f>AND('Aggregates Handling'!R2,"AAAAAEfZ9n4=")</f>
        <v>#VALUE!</v>
      </c>
      <c r="DX18" t="e">
        <f>AND('Aggregates Handling'!S2,"AAAAAEfZ9n8=")</f>
        <v>#VALUE!</v>
      </c>
      <c r="DY18" t="e">
        <f>AND('Aggregates Handling'!T2,"AAAAAEfZ9oA=")</f>
        <v>#VALUE!</v>
      </c>
      <c r="DZ18" t="e">
        <f>IF('Aggregates Handling'!#REF!,"AAAAAEfZ9oE=",0)</f>
        <v>#REF!</v>
      </c>
      <c r="EA18" t="e">
        <f>AND('Aggregates Handling'!#REF!,"AAAAAEfZ9oI=")</f>
        <v>#REF!</v>
      </c>
      <c r="EB18" t="e">
        <f>AND('Aggregates Handling'!#REF!,"AAAAAEfZ9oM=")</f>
        <v>#REF!</v>
      </c>
      <c r="EC18" t="e">
        <f>AND('Aggregates Handling'!#REF!,"AAAAAEfZ9oQ=")</f>
        <v>#REF!</v>
      </c>
      <c r="ED18" t="e">
        <f>AND('Aggregates Handling'!#REF!,"AAAAAEfZ9oU=")</f>
        <v>#REF!</v>
      </c>
      <c r="EE18" t="e">
        <f>AND('Aggregates Handling'!#REF!,"AAAAAEfZ9oY=")</f>
        <v>#REF!</v>
      </c>
      <c r="EF18" t="e">
        <f>AND('Aggregates Handling'!#REF!,"AAAAAEfZ9oc=")</f>
        <v>#REF!</v>
      </c>
      <c r="EG18" t="e">
        <f>AND('Aggregates Handling'!#REF!,"AAAAAEfZ9og=")</f>
        <v>#REF!</v>
      </c>
      <c r="EH18" t="e">
        <f>AND('Aggregates Handling'!#REF!,"AAAAAEfZ9ok=")</f>
        <v>#REF!</v>
      </c>
      <c r="EI18" t="e">
        <f>AND('Aggregates Handling'!#REF!,"AAAAAEfZ9oo=")</f>
        <v>#REF!</v>
      </c>
      <c r="EJ18" t="e">
        <f>AND('Aggregates Handling'!#REF!,"AAAAAEfZ9os=")</f>
        <v>#REF!</v>
      </c>
      <c r="EK18" t="e">
        <f>AND('Aggregates Handling'!#REF!,"AAAAAEfZ9ow=")</f>
        <v>#REF!</v>
      </c>
      <c r="EL18" t="e">
        <f>AND('Aggregates Handling'!#REF!,"AAAAAEfZ9o0=")</f>
        <v>#REF!</v>
      </c>
      <c r="EM18" t="e">
        <f>AND('Aggregates Handling'!#REF!,"AAAAAEfZ9o4=")</f>
        <v>#REF!</v>
      </c>
      <c r="EN18" t="e">
        <f>AND('Aggregates Handling'!#REF!,"AAAAAEfZ9o8=")</f>
        <v>#REF!</v>
      </c>
      <c r="EO18" t="e">
        <f>AND('Aggregates Handling'!#REF!,"AAAAAEfZ9pA=")</f>
        <v>#REF!</v>
      </c>
      <c r="EP18" t="e">
        <f>AND('Aggregates Handling'!#REF!,"AAAAAEfZ9pE=")</f>
        <v>#REF!</v>
      </c>
      <c r="EQ18" t="e">
        <f>AND('Aggregates Handling'!#REF!,"AAAAAEfZ9pI=")</f>
        <v>#REF!</v>
      </c>
      <c r="ER18" t="e">
        <f>AND('Aggregates Handling'!#REF!,"AAAAAEfZ9pM=")</f>
        <v>#REF!</v>
      </c>
      <c r="ES18" t="e">
        <f>AND('Aggregates Handling'!#REF!,"AAAAAEfZ9pQ=")</f>
        <v>#REF!</v>
      </c>
      <c r="ET18" t="e">
        <f>AND('Aggregates Handling'!#REF!,"AAAAAEfZ9pU=")</f>
        <v>#REF!</v>
      </c>
      <c r="EU18">
        <f>IF('Aggregates Handling'!3:3,"AAAAAEfZ9pY=",0)</f>
        <v>0</v>
      </c>
      <c r="EV18" t="e">
        <f>AND('Aggregates Handling'!A3,"AAAAAEfZ9pc=")</f>
        <v>#VALUE!</v>
      </c>
      <c r="EW18" t="e">
        <f>AND('Aggregates Handling'!B3,"AAAAAEfZ9pg=")</f>
        <v>#VALUE!</v>
      </c>
      <c r="EX18" t="e">
        <f>AND('Aggregates Handling'!C3,"AAAAAEfZ9pk=")</f>
        <v>#VALUE!</v>
      </c>
      <c r="EY18" t="e">
        <f>AND('Aggregates Handling'!D3,"AAAAAEfZ9po=")</f>
        <v>#VALUE!</v>
      </c>
      <c r="EZ18" t="e">
        <f>AND('Aggregates Handling'!E3,"AAAAAEfZ9ps=")</f>
        <v>#VALUE!</v>
      </c>
      <c r="FA18" t="e">
        <f>AND('Aggregates Handling'!F3,"AAAAAEfZ9pw=")</f>
        <v>#VALUE!</v>
      </c>
      <c r="FB18" t="e">
        <f>AND('Aggregates Handling'!G3,"AAAAAEfZ9p0=")</f>
        <v>#VALUE!</v>
      </c>
      <c r="FC18" t="e">
        <f>AND('Aggregates Handling'!H3,"AAAAAEfZ9p4=")</f>
        <v>#VALUE!</v>
      </c>
      <c r="FD18" t="e">
        <f>AND('Aggregates Handling'!I3,"AAAAAEfZ9p8=")</f>
        <v>#VALUE!</v>
      </c>
      <c r="FE18" t="e">
        <f>AND('Aggregates Handling'!J3,"AAAAAEfZ9qA=")</f>
        <v>#VALUE!</v>
      </c>
      <c r="FF18" t="e">
        <f>AND('Aggregates Handling'!K3,"AAAAAEfZ9qE=")</f>
        <v>#VALUE!</v>
      </c>
      <c r="FG18" t="e">
        <f>AND('Aggregates Handling'!L3,"AAAAAEfZ9qI=")</f>
        <v>#VALUE!</v>
      </c>
      <c r="FH18" t="e">
        <f>AND('Aggregates Handling'!M3,"AAAAAEfZ9qM=")</f>
        <v>#VALUE!</v>
      </c>
      <c r="FI18" t="e">
        <f>AND('Aggregates Handling'!N3,"AAAAAEfZ9qQ=")</f>
        <v>#VALUE!</v>
      </c>
      <c r="FJ18" t="e">
        <f>AND('Aggregates Handling'!O3,"AAAAAEfZ9qU=")</f>
        <v>#VALUE!</v>
      </c>
      <c r="FK18" t="e">
        <f>AND('Aggregates Handling'!P3,"AAAAAEfZ9qY=")</f>
        <v>#VALUE!</v>
      </c>
      <c r="FL18" t="e">
        <f>AND('Aggregates Handling'!Q3,"AAAAAEfZ9qc=")</f>
        <v>#VALUE!</v>
      </c>
      <c r="FM18" t="e">
        <f>AND('Aggregates Handling'!R3,"AAAAAEfZ9qg=")</f>
        <v>#VALUE!</v>
      </c>
      <c r="FN18" t="e">
        <f>AND('Aggregates Handling'!S3,"AAAAAEfZ9qk=")</f>
        <v>#VALUE!</v>
      </c>
      <c r="FO18" t="e">
        <f>AND('Aggregates Handling'!T3,"AAAAAEfZ9qo=")</f>
        <v>#VALUE!</v>
      </c>
      <c r="FP18">
        <f>IF('Aggregates Handling'!4:4,"AAAAAEfZ9qs=",0)</f>
        <v>0</v>
      </c>
      <c r="FQ18" t="e">
        <f>AND('Aggregates Handling'!A4,"AAAAAEfZ9qw=")</f>
        <v>#VALUE!</v>
      </c>
      <c r="FR18" t="e">
        <f>AND('Aggregates Handling'!B4,"AAAAAEfZ9q0=")</f>
        <v>#VALUE!</v>
      </c>
      <c r="FS18" t="e">
        <f>AND('Aggregates Handling'!C4,"AAAAAEfZ9q4=")</f>
        <v>#VALUE!</v>
      </c>
      <c r="FT18" t="e">
        <f>AND('Aggregates Handling'!D4,"AAAAAEfZ9q8=")</f>
        <v>#VALUE!</v>
      </c>
      <c r="FU18" t="e">
        <f>AND('Aggregates Handling'!E4,"AAAAAEfZ9rA=")</f>
        <v>#VALUE!</v>
      </c>
      <c r="FV18" t="e">
        <f>AND('Aggregates Handling'!F4,"AAAAAEfZ9rE=")</f>
        <v>#VALUE!</v>
      </c>
      <c r="FW18" t="e">
        <f>AND('Aggregates Handling'!G4,"AAAAAEfZ9rI=")</f>
        <v>#VALUE!</v>
      </c>
      <c r="FX18" t="e">
        <f>AND('Aggregates Handling'!H4,"AAAAAEfZ9rM=")</f>
        <v>#VALUE!</v>
      </c>
      <c r="FY18" t="e">
        <f>AND('Aggregates Handling'!H6,"AAAAAEfZ9rQ=")</f>
        <v>#VALUE!</v>
      </c>
      <c r="FZ18" t="e">
        <f>AND('Aggregates Handling'!J4,"AAAAAEfZ9rU=")</f>
        <v>#VALUE!</v>
      </c>
      <c r="GA18" t="e">
        <f>AND('Aggregates Handling'!K4,"AAAAAEfZ9rY=")</f>
        <v>#VALUE!</v>
      </c>
      <c r="GB18" t="e">
        <f>AND('Aggregates Handling'!L4,"AAAAAEfZ9rc=")</f>
        <v>#VALUE!</v>
      </c>
      <c r="GC18" t="e">
        <f>AND('Aggregates Handling'!M4,"AAAAAEfZ9rg=")</f>
        <v>#VALUE!</v>
      </c>
      <c r="GD18" t="e">
        <f>AND('Aggregates Handling'!N4,"AAAAAEfZ9rk=")</f>
        <v>#VALUE!</v>
      </c>
      <c r="GE18" t="e">
        <f>AND('Aggregates Handling'!O4,"AAAAAEfZ9ro=")</f>
        <v>#VALUE!</v>
      </c>
      <c r="GF18" t="e">
        <f>AND('Aggregates Handling'!P4,"AAAAAEfZ9rs=")</f>
        <v>#VALUE!</v>
      </c>
      <c r="GG18" t="e">
        <f>AND('Aggregates Handling'!Q4,"AAAAAEfZ9rw=")</f>
        <v>#VALUE!</v>
      </c>
      <c r="GH18" t="e">
        <f>AND('Aggregates Handling'!R4,"AAAAAEfZ9r0=")</f>
        <v>#VALUE!</v>
      </c>
      <c r="GI18" t="e">
        <f>AND('Aggregates Handling'!S4,"AAAAAEfZ9r4=")</f>
        <v>#VALUE!</v>
      </c>
      <c r="GJ18" t="e">
        <f>AND('Aggregates Handling'!T4,"AAAAAEfZ9r8=")</f>
        <v>#VALUE!</v>
      </c>
      <c r="GK18">
        <f>IF('Aggregates Handling'!5:5,"AAAAAEfZ9sA=",0)</f>
        <v>0</v>
      </c>
      <c r="GL18" t="e">
        <f>AND('Aggregates Handling'!A5,"AAAAAEfZ9sE=")</f>
        <v>#VALUE!</v>
      </c>
      <c r="GM18" t="e">
        <f>AND('Aggregates Handling'!B5,"AAAAAEfZ9sI=")</f>
        <v>#VALUE!</v>
      </c>
      <c r="GN18" t="e">
        <f>AND('Aggregates Handling'!C5,"AAAAAEfZ9sM=")</f>
        <v>#VALUE!</v>
      </c>
      <c r="GO18" t="e">
        <f>AND('Aggregates Handling'!D5,"AAAAAEfZ9sQ=")</f>
        <v>#VALUE!</v>
      </c>
      <c r="GP18" t="e">
        <f>AND('Aggregates Handling'!E5,"AAAAAEfZ9sU=")</f>
        <v>#VALUE!</v>
      </c>
      <c r="GQ18" t="e">
        <f>AND('Aggregates Handling'!F5,"AAAAAEfZ9sY=")</f>
        <v>#VALUE!</v>
      </c>
      <c r="GR18" t="e">
        <f>AND('Aggregates Handling'!G5,"AAAAAEfZ9sc=")</f>
        <v>#VALUE!</v>
      </c>
      <c r="GS18" t="e">
        <f>AND('Aggregates Handling'!H5,"AAAAAEfZ9sg=")</f>
        <v>#VALUE!</v>
      </c>
      <c r="GT18" t="e">
        <f>AND('Aggregates Handling'!I5,"AAAAAEfZ9sk=")</f>
        <v>#VALUE!</v>
      </c>
      <c r="GU18" t="e">
        <f>AND('Aggregates Handling'!J5,"AAAAAEfZ9so=")</f>
        <v>#VALUE!</v>
      </c>
      <c r="GV18" t="e">
        <f>AND('Aggregates Handling'!K5,"AAAAAEfZ9ss=")</f>
        <v>#VALUE!</v>
      </c>
      <c r="GW18" t="e">
        <f>AND('Aggregates Handling'!L5,"AAAAAEfZ9sw=")</f>
        <v>#VALUE!</v>
      </c>
      <c r="GX18" t="e">
        <f>AND('Aggregates Handling'!M5,"AAAAAEfZ9s0=")</f>
        <v>#VALUE!</v>
      </c>
      <c r="GY18" t="e">
        <f>AND('Aggregates Handling'!N5,"AAAAAEfZ9s4=")</f>
        <v>#VALUE!</v>
      </c>
      <c r="GZ18" t="e">
        <f>AND('Aggregates Handling'!O5,"AAAAAEfZ9s8=")</f>
        <v>#VALUE!</v>
      </c>
      <c r="HA18" t="e">
        <f>AND('Aggregates Handling'!P5,"AAAAAEfZ9tA=")</f>
        <v>#VALUE!</v>
      </c>
      <c r="HB18" t="e">
        <f>AND('Aggregates Handling'!Q5,"AAAAAEfZ9tE=")</f>
        <v>#VALUE!</v>
      </c>
      <c r="HC18" t="e">
        <f>AND('Aggregates Handling'!R5,"AAAAAEfZ9tI=")</f>
        <v>#VALUE!</v>
      </c>
      <c r="HD18" t="e">
        <f>AND('Aggregates Handling'!S5,"AAAAAEfZ9tM=")</f>
        <v>#VALUE!</v>
      </c>
      <c r="HE18" t="e">
        <f>AND('Aggregates Handling'!T5,"AAAAAEfZ9tQ=")</f>
        <v>#VALUE!</v>
      </c>
      <c r="HF18" t="e">
        <f>IF('Aggregates Handling'!#REF!,"AAAAAEfZ9tU=",0)</f>
        <v>#REF!</v>
      </c>
      <c r="HG18" t="e">
        <f>AND('Aggregates Handling'!#REF!,"AAAAAEfZ9tY=")</f>
        <v>#REF!</v>
      </c>
      <c r="HH18" t="e">
        <f>AND('Aggregates Handling'!#REF!,"AAAAAEfZ9tc=")</f>
        <v>#REF!</v>
      </c>
      <c r="HI18" t="e">
        <f>AND('Aggregates Handling'!#REF!,"AAAAAEfZ9tg=")</f>
        <v>#REF!</v>
      </c>
      <c r="HJ18" t="e">
        <f>AND('Aggregates Handling'!#REF!,"AAAAAEfZ9tk=")</f>
        <v>#REF!</v>
      </c>
      <c r="HK18" t="e">
        <f>AND('Aggregates Handling'!#REF!,"AAAAAEfZ9to=")</f>
        <v>#REF!</v>
      </c>
      <c r="HL18" t="e">
        <f>AND('Aggregates Handling'!#REF!,"AAAAAEfZ9ts=")</f>
        <v>#REF!</v>
      </c>
      <c r="HM18" t="e">
        <f>AND('Aggregates Handling'!#REF!,"AAAAAEfZ9tw=")</f>
        <v>#REF!</v>
      </c>
      <c r="HN18" t="e">
        <f>AND('Aggregates Handling'!#REF!,"AAAAAEfZ9t0=")</f>
        <v>#REF!</v>
      </c>
      <c r="HO18" t="e">
        <f>AND('Aggregates Handling'!#REF!,"AAAAAEfZ9t4=")</f>
        <v>#REF!</v>
      </c>
      <c r="HP18" t="e">
        <f>AND('Aggregates Handling'!#REF!,"AAAAAEfZ9t8=")</f>
        <v>#REF!</v>
      </c>
      <c r="HQ18" t="e">
        <f>AND('Aggregates Handling'!#REF!,"AAAAAEfZ9uA=")</f>
        <v>#REF!</v>
      </c>
      <c r="HR18" t="e">
        <f>AND('Aggregates Handling'!#REF!,"AAAAAEfZ9uE=")</f>
        <v>#REF!</v>
      </c>
      <c r="HS18" t="e">
        <f>AND('Aggregates Handling'!#REF!,"AAAAAEfZ9uI=")</f>
        <v>#REF!</v>
      </c>
      <c r="HT18" t="e">
        <f>AND('Aggregates Handling'!#REF!,"AAAAAEfZ9uM=")</f>
        <v>#REF!</v>
      </c>
      <c r="HU18" t="e">
        <f>AND('Aggregates Handling'!#REF!,"AAAAAEfZ9uQ=")</f>
        <v>#REF!</v>
      </c>
      <c r="HV18" t="e">
        <f>AND('Aggregates Handling'!#REF!,"AAAAAEfZ9uU=")</f>
        <v>#REF!</v>
      </c>
      <c r="HW18" t="e">
        <f>AND('Aggregates Handling'!#REF!,"AAAAAEfZ9uY=")</f>
        <v>#REF!</v>
      </c>
      <c r="HX18" t="e">
        <f>AND('Aggregates Handling'!#REF!,"AAAAAEfZ9uc=")</f>
        <v>#REF!</v>
      </c>
      <c r="HY18" t="e">
        <f>AND('Aggregates Handling'!#REF!,"AAAAAEfZ9ug=")</f>
        <v>#REF!</v>
      </c>
      <c r="HZ18" t="e">
        <f>AND('Aggregates Handling'!#REF!,"AAAAAEfZ9uk=")</f>
        <v>#REF!</v>
      </c>
      <c r="IA18">
        <f>IF('Aggregates Handling'!6:6,"AAAAAEfZ9uo=",0)</f>
        <v>0</v>
      </c>
      <c r="IB18" t="e">
        <f>AND('Aggregates Handling'!A6,"AAAAAEfZ9us=")</f>
        <v>#VALUE!</v>
      </c>
      <c r="IC18" t="e">
        <f>AND('Aggregates Handling'!B6,"AAAAAEfZ9uw=")</f>
        <v>#VALUE!</v>
      </c>
      <c r="ID18" t="e">
        <f>AND('Aggregates Handling'!C6,"AAAAAEfZ9u0=")</f>
        <v>#VALUE!</v>
      </c>
      <c r="IE18" t="e">
        <f>AND('Aggregates Handling'!D6,"AAAAAEfZ9u4=")</f>
        <v>#VALUE!</v>
      </c>
      <c r="IF18" t="e">
        <f>AND('Aggregates Handling'!E6,"AAAAAEfZ9u8=")</f>
        <v>#VALUE!</v>
      </c>
      <c r="IG18" t="e">
        <f>AND('Aggregates Handling'!F6,"AAAAAEfZ9vA=")</f>
        <v>#VALUE!</v>
      </c>
      <c r="IH18" t="e">
        <f>AND('Aggregates Handling'!G6,"AAAAAEfZ9vE=")</f>
        <v>#VALUE!</v>
      </c>
      <c r="II18" t="e">
        <f>AND('Aggregates Handling'!#REF!,"AAAAAEfZ9vI=")</f>
        <v>#REF!</v>
      </c>
      <c r="IJ18" t="e">
        <f>AND('Aggregates Handling'!H7,"AAAAAEfZ9vM=")</f>
        <v>#VALUE!</v>
      </c>
      <c r="IK18" t="e">
        <f>AND('Aggregates Handling'!J6,"AAAAAEfZ9vQ=")</f>
        <v>#VALUE!</v>
      </c>
      <c r="IL18" t="e">
        <f>AND('Aggregates Handling'!K6,"AAAAAEfZ9vU=")</f>
        <v>#VALUE!</v>
      </c>
      <c r="IM18" t="e">
        <f>AND('Aggregates Handling'!L6,"AAAAAEfZ9vY=")</f>
        <v>#VALUE!</v>
      </c>
      <c r="IN18" t="e">
        <f>AND('Aggregates Handling'!M6,"AAAAAEfZ9vc=")</f>
        <v>#VALUE!</v>
      </c>
      <c r="IO18" t="e">
        <f>AND('Aggregates Handling'!N6,"AAAAAEfZ9vg=")</f>
        <v>#VALUE!</v>
      </c>
      <c r="IP18" t="e">
        <f>AND('Aggregates Handling'!O6,"AAAAAEfZ9vk=")</f>
        <v>#VALUE!</v>
      </c>
      <c r="IQ18" t="e">
        <f>AND('Aggregates Handling'!P6,"AAAAAEfZ9vo=")</f>
        <v>#VALUE!</v>
      </c>
      <c r="IR18" t="e">
        <f>AND('Aggregates Handling'!Q6,"AAAAAEfZ9vs=")</f>
        <v>#VALUE!</v>
      </c>
      <c r="IS18" t="e">
        <f>AND('Aggregates Handling'!R6,"AAAAAEfZ9vw=")</f>
        <v>#VALUE!</v>
      </c>
      <c r="IT18" t="e">
        <f>AND('Aggregates Handling'!S6,"AAAAAEfZ9v0=")</f>
        <v>#VALUE!</v>
      </c>
      <c r="IU18" t="e">
        <f>AND('Aggregates Handling'!T6,"AAAAAEfZ9v4=")</f>
        <v>#VALUE!</v>
      </c>
      <c r="IV18">
        <f>IF('Aggregates Handling'!7:7,"AAAAAEfZ9v8=",0)</f>
        <v>0</v>
      </c>
    </row>
    <row r="19" spans="1:256">
      <c r="A19" t="e">
        <f>AND('Aggregates Handling'!A7,"AAAAAH8g/wA=")</f>
        <v>#VALUE!</v>
      </c>
      <c r="B19" t="e">
        <f>AND('Aggregates Handling'!B7,"AAAAAH8g/wE=")</f>
        <v>#VALUE!</v>
      </c>
      <c r="C19" t="e">
        <f>AND('Aggregates Handling'!C7,"AAAAAH8g/wI=")</f>
        <v>#VALUE!</v>
      </c>
      <c r="D19" t="e">
        <f>AND('Aggregates Handling'!D7,"AAAAAH8g/wM=")</f>
        <v>#VALUE!</v>
      </c>
      <c r="E19" t="e">
        <f>AND('Aggregates Handling'!E7,"AAAAAH8g/wQ=")</f>
        <v>#VALUE!</v>
      </c>
      <c r="F19" t="e">
        <f>AND('Aggregates Handling'!F7,"AAAAAH8g/wU=")</f>
        <v>#VALUE!</v>
      </c>
      <c r="G19" t="e">
        <f>AND('Aggregates Handling'!G7,"AAAAAH8g/wY=")</f>
        <v>#VALUE!</v>
      </c>
      <c r="H19" t="e">
        <f>AND('Aggregates Handling'!#REF!,"AAAAAH8g/wc=")</f>
        <v>#REF!</v>
      </c>
      <c r="I19" t="e">
        <f>AND('Aggregates Handling'!I7,"AAAAAH8g/wg=")</f>
        <v>#VALUE!</v>
      </c>
      <c r="J19" t="e">
        <f>AND('Aggregates Handling'!J7,"AAAAAH8g/wk=")</f>
        <v>#VALUE!</v>
      </c>
      <c r="K19" t="e">
        <f>AND('Aggregates Handling'!K7,"AAAAAH8g/wo=")</f>
        <v>#VALUE!</v>
      </c>
      <c r="L19" t="e">
        <f>AND('Aggregates Handling'!L7,"AAAAAH8g/ws=")</f>
        <v>#VALUE!</v>
      </c>
      <c r="M19" t="e">
        <f>AND('Aggregates Handling'!M7,"AAAAAH8g/ww=")</f>
        <v>#VALUE!</v>
      </c>
      <c r="N19" t="e">
        <f>AND('Aggregates Handling'!N7,"AAAAAH8g/w0=")</f>
        <v>#VALUE!</v>
      </c>
      <c r="O19" t="e">
        <f>AND('Aggregates Handling'!O7,"AAAAAH8g/w4=")</f>
        <v>#VALUE!</v>
      </c>
      <c r="P19" t="e">
        <f>AND('Aggregates Handling'!P7,"AAAAAH8g/w8=")</f>
        <v>#VALUE!</v>
      </c>
      <c r="Q19" t="e">
        <f>AND('Aggregates Handling'!Q7,"AAAAAH8g/xA=")</f>
        <v>#VALUE!</v>
      </c>
      <c r="R19" t="e">
        <f>AND('Aggregates Handling'!R7,"AAAAAH8g/xE=")</f>
        <v>#VALUE!</v>
      </c>
      <c r="S19" t="e">
        <f>AND('Aggregates Handling'!S7,"AAAAAH8g/xI=")</f>
        <v>#VALUE!</v>
      </c>
      <c r="T19" t="e">
        <f>AND('Aggregates Handling'!T7,"AAAAAH8g/xM=")</f>
        <v>#VALUE!</v>
      </c>
      <c r="U19">
        <f>IF('Aggregates Handling'!8:8,"AAAAAH8g/xQ=",0)</f>
        <v>0</v>
      </c>
      <c r="V19" t="e">
        <f>AND('Aggregates Handling'!A8,"AAAAAH8g/xU=")</f>
        <v>#VALUE!</v>
      </c>
      <c r="W19" t="e">
        <f>AND('Aggregates Handling'!B8,"AAAAAH8g/xY=")</f>
        <v>#VALUE!</v>
      </c>
      <c r="X19" t="e">
        <f>AND('Aggregates Handling'!C8,"AAAAAH8g/xc=")</f>
        <v>#VALUE!</v>
      </c>
      <c r="Y19" t="e">
        <f>AND('Aggregates Handling'!D8,"AAAAAH8g/xg=")</f>
        <v>#VALUE!</v>
      </c>
      <c r="Z19" t="e">
        <f>AND('Aggregates Handling'!E8,"AAAAAH8g/xk=")</f>
        <v>#VALUE!</v>
      </c>
      <c r="AA19" t="e">
        <f>AND('Aggregates Handling'!F8,"AAAAAH8g/xo=")</f>
        <v>#VALUE!</v>
      </c>
      <c r="AB19" t="e">
        <f>AND('Aggregates Handling'!G8,"AAAAAH8g/xs=")</f>
        <v>#VALUE!</v>
      </c>
      <c r="AC19" t="e">
        <f>AND('Aggregates Handling'!H8,"AAAAAH8g/xw=")</f>
        <v>#VALUE!</v>
      </c>
      <c r="AD19" t="e">
        <f>AND('Aggregates Handling'!I8,"AAAAAH8g/x0=")</f>
        <v>#VALUE!</v>
      </c>
      <c r="AE19" t="e">
        <f>AND('Aggregates Handling'!J8,"AAAAAH8g/x4=")</f>
        <v>#VALUE!</v>
      </c>
      <c r="AF19" t="e">
        <f>AND('Aggregates Handling'!K8,"AAAAAH8g/x8=")</f>
        <v>#VALUE!</v>
      </c>
      <c r="AG19" t="e">
        <f>AND('Aggregates Handling'!L8,"AAAAAH8g/yA=")</f>
        <v>#VALUE!</v>
      </c>
      <c r="AH19" t="e">
        <f>AND('Aggregates Handling'!M8,"AAAAAH8g/yE=")</f>
        <v>#VALUE!</v>
      </c>
      <c r="AI19" t="e">
        <f>AND('Aggregates Handling'!N8,"AAAAAH8g/yI=")</f>
        <v>#VALUE!</v>
      </c>
      <c r="AJ19" t="e">
        <f>AND('Aggregates Handling'!O8,"AAAAAH8g/yM=")</f>
        <v>#VALUE!</v>
      </c>
      <c r="AK19" t="e">
        <f>AND('Aggregates Handling'!P8,"AAAAAH8g/yQ=")</f>
        <v>#VALUE!</v>
      </c>
      <c r="AL19" t="e">
        <f>AND('Aggregates Handling'!Q8,"AAAAAH8g/yU=")</f>
        <v>#VALUE!</v>
      </c>
      <c r="AM19" t="e">
        <f>AND('Aggregates Handling'!R8,"AAAAAH8g/yY=")</f>
        <v>#VALUE!</v>
      </c>
      <c r="AN19" t="e">
        <f>AND('Aggregates Handling'!S8,"AAAAAH8g/yc=")</f>
        <v>#VALUE!</v>
      </c>
      <c r="AO19" t="e">
        <f>AND('Aggregates Handling'!T8,"AAAAAH8g/yg=")</f>
        <v>#VALUE!</v>
      </c>
      <c r="AP19">
        <f>IF('Aggregates Handling'!9:9,"AAAAAH8g/yk=",0)</f>
        <v>0</v>
      </c>
      <c r="AQ19" t="e">
        <f>AND('Aggregates Handling'!A9,"AAAAAH8g/yo=")</f>
        <v>#VALUE!</v>
      </c>
      <c r="AR19" t="e">
        <f>AND('Aggregates Handling'!B9,"AAAAAH8g/ys=")</f>
        <v>#VALUE!</v>
      </c>
      <c r="AS19" t="e">
        <f>AND('Aggregates Handling'!C9,"AAAAAH8g/yw=")</f>
        <v>#VALUE!</v>
      </c>
      <c r="AT19" t="e">
        <f>AND('Aggregates Handling'!D9,"AAAAAH8g/y0=")</f>
        <v>#VALUE!</v>
      </c>
      <c r="AU19" t="e">
        <f>AND('Aggregates Handling'!E9,"AAAAAH8g/y4=")</f>
        <v>#VALUE!</v>
      </c>
      <c r="AV19" t="e">
        <f>AND('Aggregates Handling'!F9,"AAAAAH8g/y8=")</f>
        <v>#VALUE!</v>
      </c>
      <c r="AW19" t="e">
        <f>AND('Aggregates Handling'!G9,"AAAAAH8g/zA=")</f>
        <v>#VALUE!</v>
      </c>
      <c r="AX19" t="e">
        <f>AND('Aggregates Handling'!H9,"AAAAAH8g/zE=")</f>
        <v>#VALUE!</v>
      </c>
      <c r="AY19" t="e">
        <f>AND('Aggregates Handling'!I9,"AAAAAH8g/zI=")</f>
        <v>#VALUE!</v>
      </c>
      <c r="AZ19" t="e">
        <f>AND('Aggregates Handling'!J9,"AAAAAH8g/zM=")</f>
        <v>#VALUE!</v>
      </c>
      <c r="BA19" t="e">
        <f>AND('Aggregates Handling'!K9,"AAAAAH8g/zQ=")</f>
        <v>#VALUE!</v>
      </c>
      <c r="BB19" t="e">
        <f>AND('Aggregates Handling'!L9,"AAAAAH8g/zU=")</f>
        <v>#VALUE!</v>
      </c>
      <c r="BC19" t="e">
        <f>AND('Aggregates Handling'!M9,"AAAAAH8g/zY=")</f>
        <v>#VALUE!</v>
      </c>
      <c r="BD19" t="e">
        <f>AND('Aggregates Handling'!N9,"AAAAAH8g/zc=")</f>
        <v>#VALUE!</v>
      </c>
      <c r="BE19" t="e">
        <f>AND('Aggregates Handling'!O9,"AAAAAH8g/zg=")</f>
        <v>#VALUE!</v>
      </c>
      <c r="BF19" t="e">
        <f>AND('Aggregates Handling'!P9,"AAAAAH8g/zk=")</f>
        <v>#VALUE!</v>
      </c>
      <c r="BG19" t="e">
        <f>AND('Aggregates Handling'!Q9,"AAAAAH8g/zo=")</f>
        <v>#VALUE!</v>
      </c>
      <c r="BH19" t="e">
        <f>AND('Aggregates Handling'!R9,"AAAAAH8g/zs=")</f>
        <v>#VALUE!</v>
      </c>
      <c r="BI19" t="e">
        <f>AND('Aggregates Handling'!S9,"AAAAAH8g/zw=")</f>
        <v>#VALUE!</v>
      </c>
      <c r="BJ19" t="e">
        <f>AND('Aggregates Handling'!T9,"AAAAAH8g/z0=")</f>
        <v>#VALUE!</v>
      </c>
      <c r="BK19">
        <f>IF('Aggregates Handling'!10:10,"AAAAAH8g/z4=",0)</f>
        <v>0</v>
      </c>
      <c r="BL19" t="e">
        <f>AND('Aggregates Handling'!A10,"AAAAAH8g/z8=")</f>
        <v>#VALUE!</v>
      </c>
      <c r="BM19" t="e">
        <f>AND('Aggregates Handling'!B10,"AAAAAH8g/0A=")</f>
        <v>#VALUE!</v>
      </c>
      <c r="BN19" t="e">
        <f>AND('Aggregates Handling'!C10,"AAAAAH8g/0E=")</f>
        <v>#VALUE!</v>
      </c>
      <c r="BO19" t="e">
        <f>AND('Aggregates Handling'!D10,"AAAAAH8g/0I=")</f>
        <v>#VALUE!</v>
      </c>
      <c r="BP19" t="e">
        <f>AND('Aggregates Handling'!E10,"AAAAAH8g/0M=")</f>
        <v>#VALUE!</v>
      </c>
      <c r="BQ19" t="e">
        <f>AND('Aggregates Handling'!F10,"AAAAAH8g/0Q=")</f>
        <v>#VALUE!</v>
      </c>
      <c r="BR19" t="e">
        <f>AND('Aggregates Handling'!G10,"AAAAAH8g/0U=")</f>
        <v>#VALUE!</v>
      </c>
      <c r="BS19" t="e">
        <f>AND('Aggregates Handling'!H10,"AAAAAH8g/0Y=")</f>
        <v>#VALUE!</v>
      </c>
      <c r="BT19" t="e">
        <f>AND('Aggregates Handling'!I10,"AAAAAH8g/0c=")</f>
        <v>#VALUE!</v>
      </c>
      <c r="BU19" t="e">
        <f>AND('Aggregates Handling'!J10,"AAAAAH8g/0g=")</f>
        <v>#VALUE!</v>
      </c>
      <c r="BV19" t="e">
        <f>AND('Aggregates Handling'!K10,"AAAAAH8g/0k=")</f>
        <v>#VALUE!</v>
      </c>
      <c r="BW19" t="e">
        <f>AND('Aggregates Handling'!L10,"AAAAAH8g/0o=")</f>
        <v>#VALUE!</v>
      </c>
      <c r="BX19" t="e">
        <f>AND('Aggregates Handling'!M10,"AAAAAH8g/0s=")</f>
        <v>#VALUE!</v>
      </c>
      <c r="BY19" t="e">
        <f>AND('Aggregates Handling'!N10,"AAAAAH8g/0w=")</f>
        <v>#VALUE!</v>
      </c>
      <c r="BZ19" t="e">
        <f>AND('Aggregates Handling'!O10,"AAAAAH8g/00=")</f>
        <v>#VALUE!</v>
      </c>
      <c r="CA19" t="e">
        <f>AND('Aggregates Handling'!P10,"AAAAAH8g/04=")</f>
        <v>#VALUE!</v>
      </c>
      <c r="CB19" t="e">
        <f>AND('Aggregates Handling'!Q10,"AAAAAH8g/08=")</f>
        <v>#VALUE!</v>
      </c>
      <c r="CC19" t="e">
        <f>AND('Aggregates Handling'!R10,"AAAAAH8g/1A=")</f>
        <v>#VALUE!</v>
      </c>
      <c r="CD19" t="e">
        <f>AND('Aggregates Handling'!S10,"AAAAAH8g/1E=")</f>
        <v>#VALUE!</v>
      </c>
      <c r="CE19" t="e">
        <f>AND('Aggregates Handling'!T10,"AAAAAH8g/1I=")</f>
        <v>#VALUE!</v>
      </c>
      <c r="CF19" t="e">
        <f>IF('Aggregates Handling'!#REF!,"AAAAAH8g/1M=",0)</f>
        <v>#REF!</v>
      </c>
      <c r="CG19" t="e">
        <f>AND('Aggregates Handling'!#REF!,"AAAAAH8g/1Q=")</f>
        <v>#REF!</v>
      </c>
      <c r="CH19" t="e">
        <f>AND('Aggregates Handling'!#REF!,"AAAAAH8g/1U=")</f>
        <v>#REF!</v>
      </c>
      <c r="CI19" t="e">
        <f>AND('Aggregates Handling'!#REF!,"AAAAAH8g/1Y=")</f>
        <v>#REF!</v>
      </c>
      <c r="CJ19" t="e">
        <f>AND('Aggregates Handling'!#REF!,"AAAAAH8g/1c=")</f>
        <v>#REF!</v>
      </c>
      <c r="CK19" t="e">
        <f>AND('Aggregates Handling'!#REF!,"AAAAAH8g/1g=")</f>
        <v>#REF!</v>
      </c>
      <c r="CL19" t="e">
        <f>AND('Aggregates Handling'!#REF!,"AAAAAH8g/1k=")</f>
        <v>#REF!</v>
      </c>
      <c r="CM19" t="e">
        <f>AND('Aggregates Handling'!#REF!,"AAAAAH8g/1o=")</f>
        <v>#REF!</v>
      </c>
      <c r="CN19" t="e">
        <f>AND('Aggregates Handling'!#REF!,"AAAAAH8g/1s=")</f>
        <v>#REF!</v>
      </c>
      <c r="CO19" t="e">
        <f>AND('Aggregates Handling'!#REF!,"AAAAAH8g/1w=")</f>
        <v>#REF!</v>
      </c>
      <c r="CP19" t="e">
        <f>AND('Aggregates Handling'!#REF!,"AAAAAH8g/10=")</f>
        <v>#REF!</v>
      </c>
      <c r="CQ19" t="e">
        <f>AND('Aggregates Handling'!#REF!,"AAAAAH8g/14=")</f>
        <v>#REF!</v>
      </c>
      <c r="CR19" t="e">
        <f>AND('Aggregates Handling'!#REF!,"AAAAAH8g/18=")</f>
        <v>#REF!</v>
      </c>
      <c r="CS19" t="e">
        <f>AND('Aggregates Handling'!#REF!,"AAAAAH8g/2A=")</f>
        <v>#REF!</v>
      </c>
      <c r="CT19" t="e">
        <f>AND('Aggregates Handling'!#REF!,"AAAAAH8g/2E=")</f>
        <v>#REF!</v>
      </c>
      <c r="CU19" t="e">
        <f>AND('Aggregates Handling'!#REF!,"AAAAAH8g/2I=")</f>
        <v>#REF!</v>
      </c>
      <c r="CV19" t="e">
        <f>AND('Aggregates Handling'!#REF!,"AAAAAH8g/2M=")</f>
        <v>#REF!</v>
      </c>
      <c r="CW19" t="e">
        <f>AND('Aggregates Handling'!#REF!,"AAAAAH8g/2Q=")</f>
        <v>#REF!</v>
      </c>
      <c r="CX19" t="e">
        <f>AND('Aggregates Handling'!#REF!,"AAAAAH8g/2U=")</f>
        <v>#REF!</v>
      </c>
      <c r="CY19" t="e">
        <f>AND('Aggregates Handling'!#REF!,"AAAAAH8g/2Y=")</f>
        <v>#REF!</v>
      </c>
      <c r="CZ19" t="e">
        <f>AND('Aggregates Handling'!#REF!,"AAAAAH8g/2c=")</f>
        <v>#REF!</v>
      </c>
      <c r="DA19" t="e">
        <f>IF('Aggregates Handling'!#REF!,"AAAAAH8g/2g=",0)</f>
        <v>#REF!</v>
      </c>
      <c r="DB19" t="e">
        <f>AND('Aggregates Handling'!#REF!,"AAAAAH8g/2k=")</f>
        <v>#REF!</v>
      </c>
      <c r="DC19" t="e">
        <f>AND('Aggregates Handling'!#REF!,"AAAAAH8g/2o=")</f>
        <v>#REF!</v>
      </c>
      <c r="DD19" t="e">
        <f>AND('Aggregates Handling'!#REF!,"AAAAAH8g/2s=")</f>
        <v>#REF!</v>
      </c>
      <c r="DE19" t="e">
        <f>AND('Aggregates Handling'!#REF!,"AAAAAH8g/2w=")</f>
        <v>#REF!</v>
      </c>
      <c r="DF19" t="e">
        <f>AND('Aggregates Handling'!#REF!,"AAAAAH8g/20=")</f>
        <v>#REF!</v>
      </c>
      <c r="DG19" t="e">
        <f>AND('Aggregates Handling'!#REF!,"AAAAAH8g/24=")</f>
        <v>#REF!</v>
      </c>
      <c r="DH19" t="e">
        <f>AND('Aggregates Handling'!#REF!,"AAAAAH8g/28=")</f>
        <v>#REF!</v>
      </c>
      <c r="DI19" t="e">
        <f>AND('Aggregates Handling'!#REF!,"AAAAAH8g/3A=")</f>
        <v>#REF!</v>
      </c>
      <c r="DJ19" t="e">
        <f>AND('Aggregates Handling'!#REF!,"AAAAAH8g/3E=")</f>
        <v>#REF!</v>
      </c>
      <c r="DK19" t="e">
        <f>AND('Aggregates Handling'!#REF!,"AAAAAH8g/3I=")</f>
        <v>#REF!</v>
      </c>
      <c r="DL19" t="e">
        <f>AND('Aggregates Handling'!#REF!,"AAAAAH8g/3M=")</f>
        <v>#REF!</v>
      </c>
      <c r="DM19" t="e">
        <f>AND('Aggregates Handling'!#REF!,"AAAAAH8g/3Q=")</f>
        <v>#REF!</v>
      </c>
      <c r="DN19" t="e">
        <f>AND('Aggregates Handling'!#REF!,"AAAAAH8g/3U=")</f>
        <v>#REF!</v>
      </c>
      <c r="DO19" t="e">
        <f>AND('Aggregates Handling'!#REF!,"AAAAAH8g/3Y=")</f>
        <v>#REF!</v>
      </c>
      <c r="DP19" t="e">
        <f>AND('Aggregates Handling'!#REF!,"AAAAAH8g/3c=")</f>
        <v>#REF!</v>
      </c>
      <c r="DQ19" t="e">
        <f>AND('Aggregates Handling'!#REF!,"AAAAAH8g/3g=")</f>
        <v>#REF!</v>
      </c>
      <c r="DR19" t="e">
        <f>AND('Aggregates Handling'!#REF!,"AAAAAH8g/3k=")</f>
        <v>#REF!</v>
      </c>
      <c r="DS19" t="e">
        <f>AND('Aggregates Handling'!#REF!,"AAAAAH8g/3o=")</f>
        <v>#REF!</v>
      </c>
      <c r="DT19" t="e">
        <f>AND('Aggregates Handling'!#REF!,"AAAAAH8g/3s=")</f>
        <v>#REF!</v>
      </c>
      <c r="DU19" t="e">
        <f>AND('Aggregates Handling'!#REF!,"AAAAAH8g/3w=")</f>
        <v>#REF!</v>
      </c>
      <c r="DV19" t="e">
        <f>IF('Aggregates Handling'!#REF!,"AAAAAH8g/30=",0)</f>
        <v>#REF!</v>
      </c>
      <c r="DW19" t="e">
        <f>AND('Aggregates Handling'!#REF!,"AAAAAH8g/34=")</f>
        <v>#REF!</v>
      </c>
      <c r="DX19" t="e">
        <f>AND('Aggregates Handling'!#REF!,"AAAAAH8g/38=")</f>
        <v>#REF!</v>
      </c>
      <c r="DY19" t="e">
        <f>AND('Aggregates Handling'!#REF!,"AAAAAH8g/4A=")</f>
        <v>#REF!</v>
      </c>
      <c r="DZ19" t="e">
        <f>AND('Aggregates Handling'!#REF!,"AAAAAH8g/4E=")</f>
        <v>#REF!</v>
      </c>
      <c r="EA19" t="e">
        <f>AND('Aggregates Handling'!#REF!,"AAAAAH8g/4I=")</f>
        <v>#REF!</v>
      </c>
      <c r="EB19" t="e">
        <f>AND('Aggregates Handling'!#REF!,"AAAAAH8g/4M=")</f>
        <v>#REF!</v>
      </c>
      <c r="EC19" t="e">
        <f>AND('Aggregates Handling'!#REF!,"AAAAAH8g/4Q=")</f>
        <v>#REF!</v>
      </c>
      <c r="ED19" t="e">
        <f>AND('Aggregates Handling'!#REF!,"AAAAAH8g/4U=")</f>
        <v>#REF!</v>
      </c>
      <c r="EE19" t="e">
        <f>AND('Aggregates Handling'!#REF!,"AAAAAH8g/4Y=")</f>
        <v>#REF!</v>
      </c>
      <c r="EF19" t="e">
        <f>AND('Aggregates Handling'!#REF!,"AAAAAH8g/4c=")</f>
        <v>#REF!</v>
      </c>
      <c r="EG19" t="e">
        <f>AND('Aggregates Handling'!#REF!,"AAAAAH8g/4g=")</f>
        <v>#REF!</v>
      </c>
      <c r="EH19" t="e">
        <f>AND('Aggregates Handling'!#REF!,"AAAAAH8g/4k=")</f>
        <v>#REF!</v>
      </c>
      <c r="EI19" t="e">
        <f>AND('Aggregates Handling'!#REF!,"AAAAAH8g/4o=")</f>
        <v>#REF!</v>
      </c>
      <c r="EJ19" t="e">
        <f>AND('Aggregates Handling'!#REF!,"AAAAAH8g/4s=")</f>
        <v>#REF!</v>
      </c>
      <c r="EK19" t="e">
        <f>AND('Aggregates Handling'!#REF!,"AAAAAH8g/4w=")</f>
        <v>#REF!</v>
      </c>
      <c r="EL19" t="e">
        <f>AND('Aggregates Handling'!#REF!,"AAAAAH8g/40=")</f>
        <v>#REF!</v>
      </c>
      <c r="EM19" t="e">
        <f>AND('Aggregates Handling'!#REF!,"AAAAAH8g/44=")</f>
        <v>#REF!</v>
      </c>
      <c r="EN19" t="e">
        <f>AND('Aggregates Handling'!#REF!,"AAAAAH8g/48=")</f>
        <v>#REF!</v>
      </c>
      <c r="EO19" t="e">
        <f>AND('Aggregates Handling'!#REF!,"AAAAAH8g/5A=")</f>
        <v>#REF!</v>
      </c>
      <c r="EP19" t="e">
        <f>AND('Aggregates Handling'!#REF!,"AAAAAH8g/5E=")</f>
        <v>#REF!</v>
      </c>
      <c r="EQ19" t="e">
        <f>IF('Aggregates Handling'!#REF!,"AAAAAH8g/5I=",0)</f>
        <v>#REF!</v>
      </c>
      <c r="ER19" t="e">
        <f>AND('Aggregates Handling'!#REF!,"AAAAAH8g/5M=")</f>
        <v>#REF!</v>
      </c>
      <c r="ES19" t="e">
        <f>AND('Aggregates Handling'!#REF!,"AAAAAH8g/5Q=")</f>
        <v>#REF!</v>
      </c>
      <c r="ET19" t="e">
        <f>AND('Aggregates Handling'!#REF!,"AAAAAH8g/5U=")</f>
        <v>#REF!</v>
      </c>
      <c r="EU19" t="e">
        <f>AND('Aggregates Handling'!#REF!,"AAAAAH8g/5Y=")</f>
        <v>#REF!</v>
      </c>
      <c r="EV19" t="e">
        <f>AND('Aggregates Handling'!#REF!,"AAAAAH8g/5c=")</f>
        <v>#REF!</v>
      </c>
      <c r="EW19" t="e">
        <f>AND('Aggregates Handling'!#REF!,"AAAAAH8g/5g=")</f>
        <v>#REF!</v>
      </c>
      <c r="EX19" t="e">
        <f>AND('Aggregates Handling'!#REF!,"AAAAAH8g/5k=")</f>
        <v>#REF!</v>
      </c>
      <c r="EY19" t="e">
        <f>AND('Aggregates Handling'!#REF!,"AAAAAH8g/5o=")</f>
        <v>#REF!</v>
      </c>
      <c r="EZ19" t="e">
        <f>AND('Aggregates Handling'!#REF!,"AAAAAH8g/5s=")</f>
        <v>#REF!</v>
      </c>
      <c r="FA19" t="e">
        <f>AND('Aggregates Handling'!#REF!,"AAAAAH8g/5w=")</f>
        <v>#REF!</v>
      </c>
      <c r="FB19" t="e">
        <f>AND('Aggregates Handling'!#REF!,"AAAAAH8g/50=")</f>
        <v>#REF!</v>
      </c>
      <c r="FC19" t="e">
        <f>AND('Aggregates Handling'!#REF!,"AAAAAH8g/54=")</f>
        <v>#REF!</v>
      </c>
      <c r="FD19" t="e">
        <f>AND('Aggregates Handling'!#REF!,"AAAAAH8g/58=")</f>
        <v>#REF!</v>
      </c>
      <c r="FE19" t="e">
        <f>AND('Aggregates Handling'!#REF!,"AAAAAH8g/6A=")</f>
        <v>#REF!</v>
      </c>
      <c r="FF19" t="e">
        <f>AND('Aggregates Handling'!#REF!,"AAAAAH8g/6E=")</f>
        <v>#REF!</v>
      </c>
      <c r="FG19" t="e">
        <f>AND('Aggregates Handling'!#REF!,"AAAAAH8g/6I=")</f>
        <v>#REF!</v>
      </c>
      <c r="FH19" t="e">
        <f>AND('Aggregates Handling'!#REF!,"AAAAAH8g/6M=")</f>
        <v>#REF!</v>
      </c>
      <c r="FI19" t="e">
        <f>AND('Aggregates Handling'!#REF!,"AAAAAH8g/6Q=")</f>
        <v>#REF!</v>
      </c>
      <c r="FJ19" t="e">
        <f>AND('Aggregates Handling'!#REF!,"AAAAAH8g/6U=")</f>
        <v>#REF!</v>
      </c>
      <c r="FK19" t="e">
        <f>AND('Aggregates Handling'!#REF!,"AAAAAH8g/6Y=")</f>
        <v>#REF!</v>
      </c>
      <c r="FL19" t="e">
        <f>IF('Aggregates Handling'!#REF!,"AAAAAH8g/6c=",0)</f>
        <v>#REF!</v>
      </c>
      <c r="FM19" t="e">
        <f>AND('Aggregates Handling'!#REF!,"AAAAAH8g/6g=")</f>
        <v>#REF!</v>
      </c>
      <c r="FN19" t="e">
        <f>AND('Aggregates Handling'!#REF!,"AAAAAH8g/6k=")</f>
        <v>#REF!</v>
      </c>
      <c r="FO19" t="e">
        <f>AND('Aggregates Handling'!#REF!,"AAAAAH8g/6o=")</f>
        <v>#REF!</v>
      </c>
      <c r="FP19" t="e">
        <f>AND('Aggregates Handling'!#REF!,"AAAAAH8g/6s=")</f>
        <v>#REF!</v>
      </c>
      <c r="FQ19" t="e">
        <f>AND('Aggregates Handling'!#REF!,"AAAAAH8g/6w=")</f>
        <v>#REF!</v>
      </c>
      <c r="FR19" t="e">
        <f>AND('Aggregates Handling'!#REF!,"AAAAAH8g/60=")</f>
        <v>#REF!</v>
      </c>
      <c r="FS19" t="e">
        <f>AND('Aggregates Handling'!#REF!,"AAAAAH8g/64=")</f>
        <v>#REF!</v>
      </c>
      <c r="FT19" t="e">
        <f>AND('Aggregates Handling'!#REF!,"AAAAAH8g/68=")</f>
        <v>#REF!</v>
      </c>
      <c r="FU19" t="e">
        <f>AND('Aggregates Handling'!#REF!,"AAAAAH8g/7A=")</f>
        <v>#REF!</v>
      </c>
      <c r="FV19" t="e">
        <f>AND('Aggregates Handling'!#REF!,"AAAAAH8g/7E=")</f>
        <v>#REF!</v>
      </c>
      <c r="FW19" t="e">
        <f>AND('Aggregates Handling'!#REF!,"AAAAAH8g/7I=")</f>
        <v>#REF!</v>
      </c>
      <c r="FX19" t="e">
        <f>AND('Aggregates Handling'!#REF!,"AAAAAH8g/7M=")</f>
        <v>#REF!</v>
      </c>
      <c r="FY19" t="e">
        <f>AND('Aggregates Handling'!#REF!,"AAAAAH8g/7Q=")</f>
        <v>#REF!</v>
      </c>
      <c r="FZ19" t="e">
        <f>AND('Aggregates Handling'!#REF!,"AAAAAH8g/7U=")</f>
        <v>#REF!</v>
      </c>
      <c r="GA19" t="e">
        <f>AND('Aggregates Handling'!#REF!,"AAAAAH8g/7Y=")</f>
        <v>#REF!</v>
      </c>
      <c r="GB19" t="e">
        <f>AND('Aggregates Handling'!#REF!,"AAAAAH8g/7c=")</f>
        <v>#REF!</v>
      </c>
      <c r="GC19" t="e">
        <f>AND('Aggregates Handling'!#REF!,"AAAAAH8g/7g=")</f>
        <v>#REF!</v>
      </c>
      <c r="GD19" t="e">
        <f>AND('Aggregates Handling'!#REF!,"AAAAAH8g/7k=")</f>
        <v>#REF!</v>
      </c>
      <c r="GE19" t="e">
        <f>AND('Aggregates Handling'!#REF!,"AAAAAH8g/7o=")</f>
        <v>#REF!</v>
      </c>
      <c r="GF19" t="e">
        <f>AND('Aggregates Handling'!#REF!,"AAAAAH8g/7s=")</f>
        <v>#REF!</v>
      </c>
      <c r="GG19" t="e">
        <f>IF('Aggregates Handling'!#REF!,"AAAAAH8g/7w=",0)</f>
        <v>#REF!</v>
      </c>
      <c r="GH19" t="e">
        <f>AND('Aggregates Handling'!#REF!,"AAAAAH8g/70=")</f>
        <v>#REF!</v>
      </c>
      <c r="GI19" t="e">
        <f>AND('Aggregates Handling'!#REF!,"AAAAAH8g/74=")</f>
        <v>#REF!</v>
      </c>
      <c r="GJ19" t="e">
        <f>AND('Aggregates Handling'!#REF!,"AAAAAH8g/78=")</f>
        <v>#REF!</v>
      </c>
      <c r="GK19" t="e">
        <f>AND('Aggregates Handling'!#REF!,"AAAAAH8g/8A=")</f>
        <v>#REF!</v>
      </c>
      <c r="GL19" t="e">
        <f>AND('Aggregates Handling'!#REF!,"AAAAAH8g/8E=")</f>
        <v>#REF!</v>
      </c>
      <c r="GM19" t="e">
        <f>AND('Aggregates Handling'!#REF!,"AAAAAH8g/8I=")</f>
        <v>#REF!</v>
      </c>
      <c r="GN19" t="e">
        <f>AND('Aggregates Handling'!#REF!,"AAAAAH8g/8M=")</f>
        <v>#REF!</v>
      </c>
      <c r="GO19" t="e">
        <f>AND('Aggregates Handling'!#REF!,"AAAAAH8g/8Q=")</f>
        <v>#REF!</v>
      </c>
      <c r="GP19" t="e">
        <f>AND('Aggregates Handling'!#REF!,"AAAAAH8g/8U=")</f>
        <v>#REF!</v>
      </c>
      <c r="GQ19" t="e">
        <f>AND('Aggregates Handling'!#REF!,"AAAAAH8g/8Y=")</f>
        <v>#REF!</v>
      </c>
      <c r="GR19" t="e">
        <f>AND('Aggregates Handling'!#REF!,"AAAAAH8g/8c=")</f>
        <v>#REF!</v>
      </c>
      <c r="GS19" t="e">
        <f>AND('Aggregates Handling'!#REF!,"AAAAAH8g/8g=")</f>
        <v>#REF!</v>
      </c>
      <c r="GT19" t="e">
        <f>AND('Aggregates Handling'!#REF!,"AAAAAH8g/8k=")</f>
        <v>#REF!</v>
      </c>
      <c r="GU19" t="e">
        <f>AND('Aggregates Handling'!#REF!,"AAAAAH8g/8o=")</f>
        <v>#REF!</v>
      </c>
      <c r="GV19" t="e">
        <f>AND('Aggregates Handling'!#REF!,"AAAAAH8g/8s=")</f>
        <v>#REF!</v>
      </c>
      <c r="GW19" t="e">
        <f>AND('Aggregates Handling'!#REF!,"AAAAAH8g/8w=")</f>
        <v>#REF!</v>
      </c>
      <c r="GX19" t="e">
        <f>AND('Aggregates Handling'!#REF!,"AAAAAH8g/80=")</f>
        <v>#REF!</v>
      </c>
      <c r="GY19" t="e">
        <f>AND('Aggregates Handling'!#REF!,"AAAAAH8g/84=")</f>
        <v>#REF!</v>
      </c>
      <c r="GZ19" t="e">
        <f>AND('Aggregates Handling'!#REF!,"AAAAAH8g/88=")</f>
        <v>#REF!</v>
      </c>
      <c r="HA19" t="e">
        <f>AND('Aggregates Handling'!#REF!,"AAAAAH8g/9A=")</f>
        <v>#REF!</v>
      </c>
      <c r="HB19" t="e">
        <f>IF('Aggregates Handling'!#REF!,"AAAAAH8g/9E=",0)</f>
        <v>#REF!</v>
      </c>
      <c r="HC19" t="e">
        <f>AND('Aggregates Handling'!#REF!,"AAAAAH8g/9I=")</f>
        <v>#REF!</v>
      </c>
      <c r="HD19" t="e">
        <f>AND('Aggregates Handling'!#REF!,"AAAAAH8g/9M=")</f>
        <v>#REF!</v>
      </c>
      <c r="HE19" t="e">
        <f>AND('Aggregates Handling'!#REF!,"AAAAAH8g/9Q=")</f>
        <v>#REF!</v>
      </c>
      <c r="HF19" t="e">
        <f>AND('Aggregates Handling'!#REF!,"AAAAAH8g/9U=")</f>
        <v>#REF!</v>
      </c>
      <c r="HG19" t="e">
        <f>AND('Aggregates Handling'!#REF!,"AAAAAH8g/9Y=")</f>
        <v>#REF!</v>
      </c>
      <c r="HH19" t="e">
        <f>AND('Aggregates Handling'!#REF!,"AAAAAH8g/9c=")</f>
        <v>#REF!</v>
      </c>
      <c r="HI19" t="e">
        <f>AND('Aggregates Handling'!#REF!,"AAAAAH8g/9g=")</f>
        <v>#REF!</v>
      </c>
      <c r="HJ19" t="e">
        <f>AND('Aggregates Handling'!#REF!,"AAAAAH8g/9k=")</f>
        <v>#REF!</v>
      </c>
      <c r="HK19" t="e">
        <f>AND('Aggregates Handling'!#REF!,"AAAAAH8g/9o=")</f>
        <v>#REF!</v>
      </c>
      <c r="HL19" t="e">
        <f>AND('Aggregates Handling'!#REF!,"AAAAAH8g/9s=")</f>
        <v>#REF!</v>
      </c>
      <c r="HM19" t="e">
        <f>AND('Aggregates Handling'!#REF!,"AAAAAH8g/9w=")</f>
        <v>#REF!</v>
      </c>
      <c r="HN19" t="e">
        <f>AND('Aggregates Handling'!#REF!,"AAAAAH8g/90=")</f>
        <v>#REF!</v>
      </c>
      <c r="HO19" t="e">
        <f>AND('Aggregates Handling'!#REF!,"AAAAAH8g/94=")</f>
        <v>#REF!</v>
      </c>
      <c r="HP19" t="e">
        <f>AND('Aggregates Handling'!#REF!,"AAAAAH8g/98=")</f>
        <v>#REF!</v>
      </c>
      <c r="HQ19" t="e">
        <f>AND('Aggregates Handling'!#REF!,"AAAAAH8g/+A=")</f>
        <v>#REF!</v>
      </c>
      <c r="HR19" t="e">
        <f>AND('Aggregates Handling'!#REF!,"AAAAAH8g/+E=")</f>
        <v>#REF!</v>
      </c>
      <c r="HS19" t="e">
        <f>AND('Aggregates Handling'!#REF!,"AAAAAH8g/+I=")</f>
        <v>#REF!</v>
      </c>
      <c r="HT19" t="e">
        <f>AND('Aggregates Handling'!#REF!,"AAAAAH8g/+M=")</f>
        <v>#REF!</v>
      </c>
      <c r="HU19" t="e">
        <f>AND('Aggregates Handling'!#REF!,"AAAAAH8g/+Q=")</f>
        <v>#REF!</v>
      </c>
      <c r="HV19" t="e">
        <f>AND('Aggregates Handling'!#REF!,"AAAAAH8g/+U=")</f>
        <v>#REF!</v>
      </c>
      <c r="HW19" t="e">
        <f>IF('Aggregates Handling'!#REF!,"AAAAAH8g/+Y=",0)</f>
        <v>#REF!</v>
      </c>
      <c r="HX19" t="e">
        <f>AND('Aggregates Handling'!#REF!,"AAAAAH8g/+c=")</f>
        <v>#REF!</v>
      </c>
      <c r="HY19" t="e">
        <f>AND('Aggregates Handling'!#REF!,"AAAAAH8g/+g=")</f>
        <v>#REF!</v>
      </c>
      <c r="HZ19" t="e">
        <f>AND('Aggregates Handling'!#REF!,"AAAAAH8g/+k=")</f>
        <v>#REF!</v>
      </c>
      <c r="IA19" t="e">
        <f>AND('Aggregates Handling'!#REF!,"AAAAAH8g/+o=")</f>
        <v>#REF!</v>
      </c>
      <c r="IB19" t="e">
        <f>AND('Aggregates Handling'!#REF!,"AAAAAH8g/+s=")</f>
        <v>#REF!</v>
      </c>
      <c r="IC19" t="e">
        <f>AND('Aggregates Handling'!#REF!,"AAAAAH8g/+w=")</f>
        <v>#REF!</v>
      </c>
      <c r="ID19" t="e">
        <f>AND('Aggregates Handling'!#REF!,"AAAAAH8g/+0=")</f>
        <v>#REF!</v>
      </c>
      <c r="IE19" t="e">
        <f>AND('Aggregates Handling'!#REF!,"AAAAAH8g/+4=")</f>
        <v>#REF!</v>
      </c>
      <c r="IF19" t="e">
        <f>AND('Aggregates Handling'!#REF!,"AAAAAH8g/+8=")</f>
        <v>#REF!</v>
      </c>
      <c r="IG19" t="e">
        <f>AND('Aggregates Handling'!#REF!,"AAAAAH8g//A=")</f>
        <v>#REF!</v>
      </c>
      <c r="IH19" t="e">
        <f>AND('Aggregates Handling'!#REF!,"AAAAAH8g//E=")</f>
        <v>#REF!</v>
      </c>
      <c r="II19" t="e">
        <f>AND('Aggregates Handling'!#REF!,"AAAAAH8g//I=")</f>
        <v>#REF!</v>
      </c>
      <c r="IJ19" t="e">
        <f>AND('Aggregates Handling'!#REF!,"AAAAAH8g//M=")</f>
        <v>#REF!</v>
      </c>
      <c r="IK19" t="e">
        <f>AND('Aggregates Handling'!#REF!,"AAAAAH8g//Q=")</f>
        <v>#REF!</v>
      </c>
      <c r="IL19" t="e">
        <f>AND('Aggregates Handling'!#REF!,"AAAAAH8g//U=")</f>
        <v>#REF!</v>
      </c>
      <c r="IM19" t="e">
        <f>AND('Aggregates Handling'!#REF!,"AAAAAH8g//Y=")</f>
        <v>#REF!</v>
      </c>
      <c r="IN19" t="e">
        <f>AND('Aggregates Handling'!#REF!,"AAAAAH8g//c=")</f>
        <v>#REF!</v>
      </c>
      <c r="IO19" t="e">
        <f>AND('Aggregates Handling'!#REF!,"AAAAAH8g//g=")</f>
        <v>#REF!</v>
      </c>
      <c r="IP19" t="e">
        <f>AND('Aggregates Handling'!#REF!,"AAAAAH8g//k=")</f>
        <v>#REF!</v>
      </c>
      <c r="IQ19" t="e">
        <f>AND('Aggregates Handling'!#REF!,"AAAAAH8g//o=")</f>
        <v>#REF!</v>
      </c>
      <c r="IR19">
        <f>IF('Aggregates Handling'!11:11,"AAAAAH8g//s=",0)</f>
        <v>0</v>
      </c>
      <c r="IS19" t="e">
        <f>AND('Aggregates Handling'!A11,"AAAAAH8g//w=")</f>
        <v>#VALUE!</v>
      </c>
      <c r="IT19" t="e">
        <f>AND('Aggregates Handling'!B11,"AAAAAH8g//0=")</f>
        <v>#VALUE!</v>
      </c>
      <c r="IU19" t="e">
        <f>AND('Aggregates Handling'!C11,"AAAAAH8g//4=")</f>
        <v>#VALUE!</v>
      </c>
      <c r="IV19" t="e">
        <f>AND('Aggregates Handling'!D11,"AAAAAH8g//8=")</f>
        <v>#VALUE!</v>
      </c>
    </row>
    <row r="20" spans="1:256">
      <c r="A20" t="e">
        <f>AND('Aggregates Handling'!E11,"AAAAAH97/gA=")</f>
        <v>#VALUE!</v>
      </c>
      <c r="B20" t="e">
        <f>AND('Aggregates Handling'!F11,"AAAAAH97/gE=")</f>
        <v>#VALUE!</v>
      </c>
      <c r="C20" t="e">
        <f>AND('Aggregates Handling'!G11,"AAAAAH97/gI=")</f>
        <v>#VALUE!</v>
      </c>
      <c r="D20" t="e">
        <f>AND('Aggregates Handling'!H11,"AAAAAH97/gM=")</f>
        <v>#VALUE!</v>
      </c>
      <c r="E20" t="e">
        <f>AND('Aggregates Handling'!I11,"AAAAAH97/gQ=")</f>
        <v>#VALUE!</v>
      </c>
      <c r="F20" t="e">
        <f>AND('Aggregates Handling'!J11,"AAAAAH97/gU=")</f>
        <v>#VALUE!</v>
      </c>
      <c r="G20" t="e">
        <f>AND('Aggregates Handling'!K11,"AAAAAH97/gY=")</f>
        <v>#VALUE!</v>
      </c>
      <c r="H20" t="e">
        <f>AND('Aggregates Handling'!L11,"AAAAAH97/gc=")</f>
        <v>#VALUE!</v>
      </c>
      <c r="I20" t="e">
        <f>AND('Aggregates Handling'!M11,"AAAAAH97/gg=")</f>
        <v>#VALUE!</v>
      </c>
      <c r="J20" t="e">
        <f>AND('Aggregates Handling'!N11,"AAAAAH97/gk=")</f>
        <v>#VALUE!</v>
      </c>
      <c r="K20" t="e">
        <f>AND('Aggregates Handling'!O11,"AAAAAH97/go=")</f>
        <v>#VALUE!</v>
      </c>
      <c r="L20" t="e">
        <f>AND('Aggregates Handling'!P11,"AAAAAH97/gs=")</f>
        <v>#VALUE!</v>
      </c>
      <c r="M20" t="e">
        <f>AND('Aggregates Handling'!Q11,"AAAAAH97/gw=")</f>
        <v>#VALUE!</v>
      </c>
      <c r="N20" t="e">
        <f>AND('Aggregates Handling'!R11,"AAAAAH97/g0=")</f>
        <v>#VALUE!</v>
      </c>
      <c r="O20" t="e">
        <f>AND('Aggregates Handling'!S11,"AAAAAH97/g4=")</f>
        <v>#VALUE!</v>
      </c>
      <c r="P20" t="e">
        <f>AND('Aggregates Handling'!T11,"AAAAAH97/g8=")</f>
        <v>#VALUE!</v>
      </c>
      <c r="Q20">
        <f>IF('Aggregates Handling'!12:12,"AAAAAH97/hA=",0)</f>
        <v>0</v>
      </c>
      <c r="R20" t="e">
        <f>AND('Aggregates Handling'!A12,"AAAAAH97/hE=")</f>
        <v>#VALUE!</v>
      </c>
      <c r="S20" t="e">
        <f>AND('Aggregates Handling'!B12,"AAAAAH97/hI=")</f>
        <v>#VALUE!</v>
      </c>
      <c r="T20" t="e">
        <f>AND('Aggregates Handling'!C12,"AAAAAH97/hM=")</f>
        <v>#VALUE!</v>
      </c>
      <c r="U20" t="e">
        <f>AND('Aggregates Handling'!D12,"AAAAAH97/hQ=")</f>
        <v>#VALUE!</v>
      </c>
      <c r="V20" t="e">
        <f>AND('Aggregates Handling'!E12,"AAAAAH97/hU=")</f>
        <v>#VALUE!</v>
      </c>
      <c r="W20" t="e">
        <f>AND('Aggregates Handling'!F12,"AAAAAH97/hY=")</f>
        <v>#VALUE!</v>
      </c>
      <c r="X20" t="e">
        <f>AND('Aggregates Handling'!G12,"AAAAAH97/hc=")</f>
        <v>#VALUE!</v>
      </c>
      <c r="Y20" t="e">
        <f>AND('Aggregates Handling'!H12,"AAAAAH97/hg=")</f>
        <v>#VALUE!</v>
      </c>
      <c r="Z20" t="e">
        <f>AND('Aggregates Handling'!I12,"AAAAAH97/hk=")</f>
        <v>#VALUE!</v>
      </c>
      <c r="AA20" t="e">
        <f>AND('Aggregates Handling'!J12,"AAAAAH97/ho=")</f>
        <v>#VALUE!</v>
      </c>
      <c r="AB20" t="e">
        <f>AND('Aggregates Handling'!K12,"AAAAAH97/hs=")</f>
        <v>#VALUE!</v>
      </c>
      <c r="AC20" t="e">
        <f>AND('Aggregates Handling'!L12,"AAAAAH97/hw=")</f>
        <v>#VALUE!</v>
      </c>
      <c r="AD20" t="e">
        <f>AND('Aggregates Handling'!M12,"AAAAAH97/h0=")</f>
        <v>#VALUE!</v>
      </c>
      <c r="AE20" t="e">
        <f>AND('Aggregates Handling'!N12,"AAAAAH97/h4=")</f>
        <v>#VALUE!</v>
      </c>
      <c r="AF20" t="e">
        <f>AND('Aggregates Handling'!O12,"AAAAAH97/h8=")</f>
        <v>#VALUE!</v>
      </c>
      <c r="AG20" t="e">
        <f>AND('Aggregates Handling'!P12,"AAAAAH97/iA=")</f>
        <v>#VALUE!</v>
      </c>
      <c r="AH20" t="e">
        <f>AND('Aggregates Handling'!Q12,"AAAAAH97/iE=")</f>
        <v>#VALUE!</v>
      </c>
      <c r="AI20" t="e">
        <f>AND('Aggregates Handling'!R12,"AAAAAH97/iI=")</f>
        <v>#VALUE!</v>
      </c>
      <c r="AJ20" t="e">
        <f>AND('Aggregates Handling'!S12,"AAAAAH97/iM=")</f>
        <v>#VALUE!</v>
      </c>
      <c r="AK20" t="e">
        <f>AND('Aggregates Handling'!T12,"AAAAAH97/iQ=")</f>
        <v>#VALUE!</v>
      </c>
      <c r="AL20">
        <f>IF('Aggregates Handling'!13:13,"AAAAAH97/iU=",0)</f>
        <v>0</v>
      </c>
      <c r="AM20" t="e">
        <f>AND('Aggregates Handling'!A13,"AAAAAH97/iY=")</f>
        <v>#VALUE!</v>
      </c>
      <c r="AN20" t="e">
        <f>AND('Aggregates Handling'!B13,"AAAAAH97/ic=")</f>
        <v>#VALUE!</v>
      </c>
      <c r="AO20" t="e">
        <f>AND('Aggregates Handling'!C13,"AAAAAH97/ig=")</f>
        <v>#VALUE!</v>
      </c>
      <c r="AP20" t="e">
        <f>AND('Aggregates Handling'!#REF!,"AAAAAH97/ik=")</f>
        <v>#REF!</v>
      </c>
      <c r="AQ20" t="e">
        <f>AND('Aggregates Handling'!#REF!,"AAAAAH97/io=")</f>
        <v>#REF!</v>
      </c>
      <c r="AR20" t="e">
        <f>AND('Aggregates Handling'!#REF!,"AAAAAH97/is=")</f>
        <v>#REF!</v>
      </c>
      <c r="AS20" t="e">
        <f>AND('Aggregates Handling'!D13,"AAAAAH97/iw=")</f>
        <v>#VALUE!</v>
      </c>
      <c r="AT20" t="e">
        <f>AND('Aggregates Handling'!E13,"AAAAAH97/i0=")</f>
        <v>#VALUE!</v>
      </c>
      <c r="AU20" t="e">
        <f>AND('Aggregates Handling'!F13,"AAAAAH97/i4=")</f>
        <v>#VALUE!</v>
      </c>
      <c r="AV20" t="e">
        <f>AND('Aggregates Handling'!G13,"AAAAAH97/i8=")</f>
        <v>#VALUE!</v>
      </c>
      <c r="AW20" t="e">
        <f>AND('Aggregates Handling'!H13,"AAAAAH97/jA=")</f>
        <v>#VALUE!</v>
      </c>
      <c r="AX20" t="e">
        <f>AND('Aggregates Handling'!I13,"AAAAAH97/jE=")</f>
        <v>#VALUE!</v>
      </c>
      <c r="AY20" t="e">
        <f>AND('Aggregates Handling'!J13,"AAAAAH97/jI=")</f>
        <v>#VALUE!</v>
      </c>
      <c r="AZ20" t="e">
        <f>AND('Aggregates Handling'!K13,"AAAAAH97/jM=")</f>
        <v>#VALUE!</v>
      </c>
      <c r="BA20" t="e">
        <f>AND('Aggregates Handling'!L13,"AAAAAH97/jQ=")</f>
        <v>#VALUE!</v>
      </c>
      <c r="BB20" t="e">
        <f>AND('Aggregates Handling'!M13,"AAAAAH97/jU=")</f>
        <v>#VALUE!</v>
      </c>
      <c r="BC20" t="e">
        <f>AND('Aggregates Handling'!N13,"AAAAAH97/jY=")</f>
        <v>#VALUE!</v>
      </c>
      <c r="BD20" t="e">
        <f>AND('Aggregates Handling'!O13,"AAAAAH97/jc=")</f>
        <v>#VALUE!</v>
      </c>
      <c r="BE20" t="e">
        <f>AND('Aggregates Handling'!P13,"AAAAAH97/jg=")</f>
        <v>#VALUE!</v>
      </c>
      <c r="BF20" t="e">
        <f>AND('Aggregates Handling'!Q13,"AAAAAH97/jk=")</f>
        <v>#VALUE!</v>
      </c>
      <c r="BG20">
        <f>IF('Aggregates Handling'!14:14,"AAAAAH97/jo=",0)</f>
        <v>0</v>
      </c>
      <c r="BH20" t="e">
        <f>AND('Aggregates Handling'!A14,"AAAAAH97/js=")</f>
        <v>#VALUE!</v>
      </c>
      <c r="BI20" t="e">
        <f>AND('Aggregates Handling'!B14,"AAAAAH97/jw=")</f>
        <v>#VALUE!</v>
      </c>
      <c r="BJ20" t="e">
        <f>AND('Aggregates Handling'!C14,"AAAAAH97/j0=")</f>
        <v>#VALUE!</v>
      </c>
      <c r="BK20" t="e">
        <f>AND('Aggregates Handling'!#REF!,"AAAAAH97/j4=")</f>
        <v>#REF!</v>
      </c>
      <c r="BL20" t="e">
        <f>AND('Aggregates Handling'!#REF!,"AAAAAH97/j8=")</f>
        <v>#REF!</v>
      </c>
      <c r="BM20" t="e">
        <f>AND('Aggregates Handling'!#REF!,"AAAAAH97/kA=")</f>
        <v>#REF!</v>
      </c>
      <c r="BN20" t="e">
        <f>AND('Aggregates Handling'!D14,"AAAAAH97/kE=")</f>
        <v>#VALUE!</v>
      </c>
      <c r="BO20" t="e">
        <f>AND('Aggregates Handling'!E14,"AAAAAH97/kI=")</f>
        <v>#VALUE!</v>
      </c>
      <c r="BP20" t="e">
        <f>AND('Aggregates Handling'!F14,"AAAAAH97/kM=")</f>
        <v>#VALUE!</v>
      </c>
      <c r="BQ20" t="e">
        <f>AND('Aggregates Handling'!G14,"AAAAAH97/kQ=")</f>
        <v>#VALUE!</v>
      </c>
      <c r="BR20" t="e">
        <f>AND('Aggregates Handling'!H14,"AAAAAH97/kU=")</f>
        <v>#VALUE!</v>
      </c>
      <c r="BS20" t="e">
        <f>AND('Aggregates Handling'!I14,"AAAAAH97/kY=")</f>
        <v>#VALUE!</v>
      </c>
      <c r="BT20" t="e">
        <f>AND('Aggregates Handling'!J14,"AAAAAH97/kc=")</f>
        <v>#VALUE!</v>
      </c>
      <c r="BU20" t="e">
        <f>AND('Aggregates Handling'!K14,"AAAAAH97/kg=")</f>
        <v>#VALUE!</v>
      </c>
      <c r="BV20" t="e">
        <f>AND('Aggregates Handling'!L14,"AAAAAH97/kk=")</f>
        <v>#VALUE!</v>
      </c>
      <c r="BW20" t="e">
        <f>AND('Aggregates Handling'!M14,"AAAAAH97/ko=")</f>
        <v>#VALUE!</v>
      </c>
      <c r="BX20" t="e">
        <f>AND('Aggregates Handling'!N14,"AAAAAH97/ks=")</f>
        <v>#VALUE!</v>
      </c>
      <c r="BY20" t="e">
        <f>AND('Aggregates Handling'!O14,"AAAAAH97/kw=")</f>
        <v>#VALUE!</v>
      </c>
      <c r="BZ20" t="e">
        <f>AND('Aggregates Handling'!P14,"AAAAAH97/k0=")</f>
        <v>#VALUE!</v>
      </c>
      <c r="CA20" t="e">
        <f>AND('Aggregates Handling'!Q14,"AAAAAH97/k4=")</f>
        <v>#VALUE!</v>
      </c>
      <c r="CB20">
        <f>IF('Aggregates Handling'!15:15,"AAAAAH97/k8=",0)</f>
        <v>0</v>
      </c>
      <c r="CC20" t="e">
        <f>AND('Aggregates Handling'!A15,"AAAAAH97/lA=")</f>
        <v>#VALUE!</v>
      </c>
      <c r="CD20" t="e">
        <f>AND('Aggregates Handling'!B15,"AAAAAH97/lE=")</f>
        <v>#VALUE!</v>
      </c>
      <c r="CE20" t="e">
        <f>AND('Aggregates Handling'!C15,"AAAAAH97/lI=")</f>
        <v>#VALUE!</v>
      </c>
      <c r="CF20" t="e">
        <f>AND('Aggregates Handling'!#REF!,"AAAAAH97/lM=")</f>
        <v>#REF!</v>
      </c>
      <c r="CG20" t="e">
        <f>AND('Aggregates Handling'!#REF!,"AAAAAH97/lQ=")</f>
        <v>#REF!</v>
      </c>
      <c r="CH20" t="e">
        <f>AND('Aggregates Handling'!#REF!,"AAAAAH97/lU=")</f>
        <v>#REF!</v>
      </c>
      <c r="CI20" t="e">
        <f>AND('Aggregates Handling'!D15,"AAAAAH97/lY=")</f>
        <v>#VALUE!</v>
      </c>
      <c r="CJ20" t="e">
        <f>AND('Aggregates Handling'!E15,"AAAAAH97/lc=")</f>
        <v>#VALUE!</v>
      </c>
      <c r="CK20" t="e">
        <f>AND('Aggregates Handling'!F15,"AAAAAH97/lg=")</f>
        <v>#VALUE!</v>
      </c>
      <c r="CL20" t="e">
        <f>AND('Aggregates Handling'!G15,"AAAAAH97/lk=")</f>
        <v>#VALUE!</v>
      </c>
      <c r="CM20" t="e">
        <f>AND('Aggregates Handling'!H15,"AAAAAH97/lo=")</f>
        <v>#VALUE!</v>
      </c>
      <c r="CN20" t="e">
        <f>AND('Aggregates Handling'!I15,"AAAAAH97/ls=")</f>
        <v>#VALUE!</v>
      </c>
      <c r="CO20" t="e">
        <f>AND('Aggregates Handling'!J15,"AAAAAH97/lw=")</f>
        <v>#VALUE!</v>
      </c>
      <c r="CP20" t="e">
        <f>AND('Aggregates Handling'!K15,"AAAAAH97/l0=")</f>
        <v>#VALUE!</v>
      </c>
      <c r="CQ20" t="e">
        <f>AND('Aggregates Handling'!L15,"AAAAAH97/l4=")</f>
        <v>#VALUE!</v>
      </c>
      <c r="CR20" t="e">
        <f>AND('Aggregates Handling'!M15,"AAAAAH97/l8=")</f>
        <v>#VALUE!</v>
      </c>
      <c r="CS20" t="e">
        <f>AND('Aggregates Handling'!N15,"AAAAAH97/mA=")</f>
        <v>#VALUE!</v>
      </c>
      <c r="CT20" t="e">
        <f>AND('Aggregates Handling'!O15,"AAAAAH97/mE=")</f>
        <v>#VALUE!</v>
      </c>
      <c r="CU20" t="e">
        <f>AND('Aggregates Handling'!P15,"AAAAAH97/mI=")</f>
        <v>#VALUE!</v>
      </c>
      <c r="CV20" t="e">
        <f>AND('Aggregates Handling'!Q15,"AAAAAH97/mM=")</f>
        <v>#VALUE!</v>
      </c>
      <c r="CW20">
        <f>IF('Aggregates Handling'!16:16,"AAAAAH97/mQ=",0)</f>
        <v>0</v>
      </c>
      <c r="CX20" t="e">
        <f>AND('Aggregates Handling'!A16,"AAAAAH97/mU=")</f>
        <v>#VALUE!</v>
      </c>
      <c r="CY20" t="e">
        <f>AND('Aggregates Handling'!B16,"AAAAAH97/mY=")</f>
        <v>#VALUE!</v>
      </c>
      <c r="CZ20" t="e">
        <f>AND('Aggregates Handling'!C16,"AAAAAH97/mc=")</f>
        <v>#VALUE!</v>
      </c>
      <c r="DA20" t="e">
        <f>AND('Aggregates Handling'!#REF!,"AAAAAH97/mg=")</f>
        <v>#REF!</v>
      </c>
      <c r="DB20" t="e">
        <f>AND('Aggregates Handling'!#REF!,"AAAAAH97/mk=")</f>
        <v>#REF!</v>
      </c>
      <c r="DC20" t="e">
        <f>AND('Aggregates Handling'!#REF!,"AAAAAH97/mo=")</f>
        <v>#REF!</v>
      </c>
      <c r="DD20" t="e">
        <f>AND('Aggregates Handling'!D16,"AAAAAH97/ms=")</f>
        <v>#VALUE!</v>
      </c>
      <c r="DE20" t="e">
        <f>AND('Aggregates Handling'!E16,"AAAAAH97/mw=")</f>
        <v>#VALUE!</v>
      </c>
      <c r="DF20" t="e">
        <f>AND('Aggregates Handling'!F16,"AAAAAH97/m0=")</f>
        <v>#VALUE!</v>
      </c>
      <c r="DG20" t="e">
        <f>AND('Aggregates Handling'!G16,"AAAAAH97/m4=")</f>
        <v>#VALUE!</v>
      </c>
      <c r="DH20" t="e">
        <f>AND('Aggregates Handling'!H16,"AAAAAH97/m8=")</f>
        <v>#VALUE!</v>
      </c>
      <c r="DI20" t="e">
        <f>AND('Aggregates Handling'!I16,"AAAAAH97/nA=")</f>
        <v>#VALUE!</v>
      </c>
      <c r="DJ20" t="e">
        <f>AND('Aggregates Handling'!J16,"AAAAAH97/nE=")</f>
        <v>#VALUE!</v>
      </c>
      <c r="DK20" t="e">
        <f>AND('Aggregates Handling'!K16,"AAAAAH97/nI=")</f>
        <v>#VALUE!</v>
      </c>
      <c r="DL20" t="e">
        <f>AND('Aggregates Handling'!L16,"AAAAAH97/nM=")</f>
        <v>#VALUE!</v>
      </c>
      <c r="DM20" t="e">
        <f>AND('Aggregates Handling'!M16,"AAAAAH97/nQ=")</f>
        <v>#VALUE!</v>
      </c>
      <c r="DN20" t="e">
        <f>AND('Aggregates Handling'!N16,"AAAAAH97/nU=")</f>
        <v>#VALUE!</v>
      </c>
      <c r="DO20" t="e">
        <f>AND('Aggregates Handling'!O16,"AAAAAH97/nY=")</f>
        <v>#VALUE!</v>
      </c>
      <c r="DP20" t="e">
        <f>AND('Aggregates Handling'!P16,"AAAAAH97/nc=")</f>
        <v>#VALUE!</v>
      </c>
      <c r="DQ20" t="e">
        <f>AND('Aggregates Handling'!Q16,"AAAAAH97/ng=")</f>
        <v>#VALUE!</v>
      </c>
      <c r="DR20">
        <f>IF('Aggregates Handling'!17:17,"AAAAAH97/nk=",0)</f>
        <v>0</v>
      </c>
      <c r="DS20" t="e">
        <f>AND('Aggregates Handling'!A17,"AAAAAH97/no=")</f>
        <v>#VALUE!</v>
      </c>
      <c r="DT20" t="e">
        <f>AND('Aggregates Handling'!B17,"AAAAAH97/ns=")</f>
        <v>#VALUE!</v>
      </c>
      <c r="DU20" t="e">
        <f>AND('Aggregates Handling'!C17,"AAAAAH97/nw=")</f>
        <v>#VALUE!</v>
      </c>
      <c r="DV20" t="e">
        <f>AND('Aggregates Handling'!#REF!,"AAAAAH97/n0=")</f>
        <v>#REF!</v>
      </c>
      <c r="DW20" t="e">
        <f>AND('Aggregates Handling'!#REF!,"AAAAAH97/n4=")</f>
        <v>#REF!</v>
      </c>
      <c r="DX20" t="e">
        <f>AND('Aggregates Handling'!#REF!,"AAAAAH97/n8=")</f>
        <v>#REF!</v>
      </c>
      <c r="DY20" t="e">
        <f>AND('Aggregates Handling'!D17,"AAAAAH97/oA=")</f>
        <v>#VALUE!</v>
      </c>
      <c r="DZ20" t="e">
        <f>AND('Aggregates Handling'!E17,"AAAAAH97/oE=")</f>
        <v>#VALUE!</v>
      </c>
      <c r="EA20" t="e">
        <f>AND('Aggregates Handling'!F17,"AAAAAH97/oI=")</f>
        <v>#VALUE!</v>
      </c>
      <c r="EB20" t="e">
        <f>AND('Aggregates Handling'!G17,"AAAAAH97/oM=")</f>
        <v>#VALUE!</v>
      </c>
      <c r="EC20" t="e">
        <f>AND('Aggregates Handling'!H17,"AAAAAH97/oQ=")</f>
        <v>#VALUE!</v>
      </c>
      <c r="ED20" t="e">
        <f>AND('Aggregates Handling'!I17,"AAAAAH97/oU=")</f>
        <v>#VALUE!</v>
      </c>
      <c r="EE20" t="e">
        <f>AND('Aggregates Handling'!J17,"AAAAAH97/oY=")</f>
        <v>#VALUE!</v>
      </c>
      <c r="EF20" t="e">
        <f>AND('Aggregates Handling'!K17,"AAAAAH97/oc=")</f>
        <v>#VALUE!</v>
      </c>
      <c r="EG20" t="e">
        <f>AND('Aggregates Handling'!L17,"AAAAAH97/og=")</f>
        <v>#VALUE!</v>
      </c>
      <c r="EH20" t="e">
        <f>AND('Aggregates Handling'!M17,"AAAAAH97/ok=")</f>
        <v>#VALUE!</v>
      </c>
      <c r="EI20" t="e">
        <f>AND('Aggregates Handling'!N17,"AAAAAH97/oo=")</f>
        <v>#VALUE!</v>
      </c>
      <c r="EJ20" t="e">
        <f>AND('Aggregates Handling'!O17,"AAAAAH97/os=")</f>
        <v>#VALUE!</v>
      </c>
      <c r="EK20" t="e">
        <f>AND('Aggregates Handling'!P17,"AAAAAH97/ow=")</f>
        <v>#VALUE!</v>
      </c>
      <c r="EL20" t="e">
        <f>AND('Aggregates Handling'!Q17,"AAAAAH97/o0=")</f>
        <v>#VALUE!</v>
      </c>
      <c r="EM20">
        <f>IF('Aggregates Handling'!18:18,"AAAAAH97/o4=",0)</f>
        <v>0</v>
      </c>
      <c r="EN20" t="e">
        <f>AND('Aggregates Handling'!A18,"AAAAAH97/o8=")</f>
        <v>#VALUE!</v>
      </c>
      <c r="EO20" t="e">
        <f>AND('Aggregates Handling'!B18,"AAAAAH97/pA=")</f>
        <v>#VALUE!</v>
      </c>
      <c r="EP20" t="e">
        <f>AND('Aggregates Handling'!C18,"AAAAAH97/pE=")</f>
        <v>#VALUE!</v>
      </c>
      <c r="EQ20" t="e">
        <f>AND('Aggregates Handling'!#REF!,"AAAAAH97/pI=")</f>
        <v>#REF!</v>
      </c>
      <c r="ER20" t="e">
        <f>AND('Aggregates Handling'!#REF!,"AAAAAH97/pM=")</f>
        <v>#REF!</v>
      </c>
      <c r="ES20" t="e">
        <f>AND('Aggregates Handling'!#REF!,"AAAAAH97/pQ=")</f>
        <v>#REF!</v>
      </c>
      <c r="ET20" t="e">
        <f>AND('Aggregates Handling'!D18,"AAAAAH97/pU=")</f>
        <v>#VALUE!</v>
      </c>
      <c r="EU20" t="e">
        <f>AND('Aggregates Handling'!E18,"AAAAAH97/pY=")</f>
        <v>#VALUE!</v>
      </c>
      <c r="EV20" t="e">
        <f>AND('Aggregates Handling'!F18,"AAAAAH97/pc=")</f>
        <v>#VALUE!</v>
      </c>
      <c r="EW20" t="e">
        <f>AND('Aggregates Handling'!G18,"AAAAAH97/pg=")</f>
        <v>#VALUE!</v>
      </c>
      <c r="EX20" t="e">
        <f>AND('Aggregates Handling'!H18,"AAAAAH97/pk=")</f>
        <v>#VALUE!</v>
      </c>
      <c r="EY20" t="e">
        <f>AND('Aggregates Handling'!I18,"AAAAAH97/po=")</f>
        <v>#VALUE!</v>
      </c>
      <c r="EZ20" t="e">
        <f>AND('Aggregates Handling'!J18,"AAAAAH97/ps=")</f>
        <v>#VALUE!</v>
      </c>
      <c r="FA20" t="e">
        <f>AND('Aggregates Handling'!K18,"AAAAAH97/pw=")</f>
        <v>#VALUE!</v>
      </c>
      <c r="FB20" t="e">
        <f>AND('Aggregates Handling'!L18,"AAAAAH97/p0=")</f>
        <v>#VALUE!</v>
      </c>
      <c r="FC20" t="e">
        <f>AND('Aggregates Handling'!M18,"AAAAAH97/p4=")</f>
        <v>#VALUE!</v>
      </c>
      <c r="FD20" t="e">
        <f>AND('Aggregates Handling'!N18,"AAAAAH97/p8=")</f>
        <v>#VALUE!</v>
      </c>
      <c r="FE20" t="e">
        <f>AND('Aggregates Handling'!O18,"AAAAAH97/qA=")</f>
        <v>#VALUE!</v>
      </c>
      <c r="FF20" t="e">
        <f>AND('Aggregates Handling'!P18,"AAAAAH97/qE=")</f>
        <v>#VALUE!</v>
      </c>
      <c r="FG20" t="e">
        <f>AND('Aggregates Handling'!Q18,"AAAAAH97/qI=")</f>
        <v>#VALUE!</v>
      </c>
      <c r="FH20">
        <f>IF('Aggregates Handling'!19:19,"AAAAAH97/qM=",0)</f>
        <v>0</v>
      </c>
      <c r="FI20" t="e">
        <f>AND('Aggregates Handling'!A19,"AAAAAH97/qQ=")</f>
        <v>#VALUE!</v>
      </c>
      <c r="FJ20" t="e">
        <f>AND('Aggregates Handling'!B19,"AAAAAH97/qU=")</f>
        <v>#VALUE!</v>
      </c>
      <c r="FK20" t="e">
        <f>AND('Aggregates Handling'!C19,"AAAAAH97/qY=")</f>
        <v>#VALUE!</v>
      </c>
      <c r="FL20" t="e">
        <f>AND('Aggregates Handling'!#REF!,"AAAAAH97/qc=")</f>
        <v>#REF!</v>
      </c>
      <c r="FM20" t="e">
        <f>AND('Aggregates Handling'!#REF!,"AAAAAH97/qg=")</f>
        <v>#REF!</v>
      </c>
      <c r="FN20" t="e">
        <f>AND('Aggregates Handling'!#REF!,"AAAAAH97/qk=")</f>
        <v>#REF!</v>
      </c>
      <c r="FO20" t="e">
        <f>AND('Aggregates Handling'!D19,"AAAAAH97/qo=")</f>
        <v>#VALUE!</v>
      </c>
      <c r="FP20" t="e">
        <f>AND('Aggregates Handling'!E19,"AAAAAH97/qs=")</f>
        <v>#VALUE!</v>
      </c>
      <c r="FQ20" t="e">
        <f>AND('Aggregates Handling'!F19,"AAAAAH97/qw=")</f>
        <v>#VALUE!</v>
      </c>
      <c r="FR20" t="e">
        <f>AND('Aggregates Handling'!G19,"AAAAAH97/q0=")</f>
        <v>#VALUE!</v>
      </c>
      <c r="FS20" t="e">
        <f>AND('Aggregates Handling'!H19,"AAAAAH97/q4=")</f>
        <v>#VALUE!</v>
      </c>
      <c r="FT20" t="e">
        <f>AND('Aggregates Handling'!I19,"AAAAAH97/q8=")</f>
        <v>#VALUE!</v>
      </c>
      <c r="FU20" t="e">
        <f>AND('Aggregates Handling'!J19,"AAAAAH97/rA=")</f>
        <v>#VALUE!</v>
      </c>
      <c r="FV20" t="e">
        <f>AND('Aggregates Handling'!K19,"AAAAAH97/rE=")</f>
        <v>#VALUE!</v>
      </c>
      <c r="FW20" t="e">
        <f>AND('Aggregates Handling'!L19,"AAAAAH97/rI=")</f>
        <v>#VALUE!</v>
      </c>
      <c r="FX20" t="e">
        <f>AND('Aggregates Handling'!M19,"AAAAAH97/rM=")</f>
        <v>#VALUE!</v>
      </c>
      <c r="FY20" t="e">
        <f>AND('Aggregates Handling'!N19,"AAAAAH97/rQ=")</f>
        <v>#VALUE!</v>
      </c>
      <c r="FZ20" t="e">
        <f>AND('Aggregates Handling'!O19,"AAAAAH97/rU=")</f>
        <v>#VALUE!</v>
      </c>
      <c r="GA20" t="e">
        <f>AND('Aggregates Handling'!P19,"AAAAAH97/rY=")</f>
        <v>#VALUE!</v>
      </c>
      <c r="GB20" t="e">
        <f>AND('Aggregates Handling'!Q19,"AAAAAH97/rc=")</f>
        <v>#VALUE!</v>
      </c>
      <c r="GC20">
        <f>IF('Aggregates Handling'!20:20,"AAAAAH97/rg=",0)</f>
        <v>0</v>
      </c>
      <c r="GD20" t="e">
        <f>AND('Aggregates Handling'!A20,"AAAAAH97/rk=")</f>
        <v>#VALUE!</v>
      </c>
      <c r="GE20" t="e">
        <f>AND('Aggregates Handling'!B20,"AAAAAH97/ro=")</f>
        <v>#VALUE!</v>
      </c>
      <c r="GF20" t="e">
        <f>AND('Aggregates Handling'!C20,"AAAAAH97/rs=")</f>
        <v>#VALUE!</v>
      </c>
      <c r="GG20" t="e">
        <f>AND('Aggregates Handling'!#REF!,"AAAAAH97/rw=")</f>
        <v>#REF!</v>
      </c>
      <c r="GH20" t="e">
        <f>AND('Aggregates Handling'!#REF!,"AAAAAH97/r0=")</f>
        <v>#REF!</v>
      </c>
      <c r="GI20" t="e">
        <f>AND('Aggregates Handling'!#REF!,"AAAAAH97/r4=")</f>
        <v>#REF!</v>
      </c>
      <c r="GJ20" t="e">
        <f>AND('Aggregates Handling'!D20,"AAAAAH97/r8=")</f>
        <v>#VALUE!</v>
      </c>
      <c r="GK20" t="e">
        <f>AND('Aggregates Handling'!E20,"AAAAAH97/sA=")</f>
        <v>#VALUE!</v>
      </c>
      <c r="GL20" t="e">
        <f>AND('Aggregates Handling'!F20,"AAAAAH97/sE=")</f>
        <v>#VALUE!</v>
      </c>
      <c r="GM20" t="e">
        <f>AND('Aggregates Handling'!G20,"AAAAAH97/sI=")</f>
        <v>#VALUE!</v>
      </c>
      <c r="GN20" t="e">
        <f>AND('Aggregates Handling'!H20,"AAAAAH97/sM=")</f>
        <v>#VALUE!</v>
      </c>
      <c r="GO20" t="e">
        <f>AND('Aggregates Handling'!I20,"AAAAAH97/sQ=")</f>
        <v>#VALUE!</v>
      </c>
      <c r="GP20" t="e">
        <f>AND('Aggregates Handling'!J20,"AAAAAH97/sU=")</f>
        <v>#VALUE!</v>
      </c>
      <c r="GQ20" t="e">
        <f>AND('Aggregates Handling'!K20,"AAAAAH97/sY=")</f>
        <v>#VALUE!</v>
      </c>
      <c r="GR20" t="e">
        <f>AND('Aggregates Handling'!L20,"AAAAAH97/sc=")</f>
        <v>#VALUE!</v>
      </c>
      <c r="GS20" t="e">
        <f>AND('Aggregates Handling'!M20,"AAAAAH97/sg=")</f>
        <v>#VALUE!</v>
      </c>
      <c r="GT20" t="e">
        <f>AND('Aggregates Handling'!N20,"AAAAAH97/sk=")</f>
        <v>#VALUE!</v>
      </c>
      <c r="GU20" t="e">
        <f>AND('Aggregates Handling'!O20,"AAAAAH97/so=")</f>
        <v>#VALUE!</v>
      </c>
      <c r="GV20" t="e">
        <f>AND('Aggregates Handling'!P20,"AAAAAH97/ss=")</f>
        <v>#VALUE!</v>
      </c>
      <c r="GW20" t="e">
        <f>AND('Aggregates Handling'!Q20,"AAAAAH97/sw=")</f>
        <v>#VALUE!</v>
      </c>
      <c r="GX20" t="e">
        <f>IF('Aggregates Handling'!#REF!,"AAAAAH97/s0=",0)</f>
        <v>#REF!</v>
      </c>
      <c r="GY20" t="e">
        <f>AND('Aggregates Handling'!#REF!,"AAAAAH97/s4=")</f>
        <v>#REF!</v>
      </c>
      <c r="GZ20" t="e">
        <f>AND('Aggregates Handling'!#REF!,"AAAAAH97/s8=")</f>
        <v>#REF!</v>
      </c>
      <c r="HA20" t="e">
        <f>AND('Aggregates Handling'!#REF!,"AAAAAH97/tA=")</f>
        <v>#REF!</v>
      </c>
      <c r="HB20" t="e">
        <f>AND('Aggregates Handling'!#REF!,"AAAAAH97/tE=")</f>
        <v>#REF!</v>
      </c>
      <c r="HC20" t="e">
        <f>AND('Aggregates Handling'!#REF!,"AAAAAH97/tI=")</f>
        <v>#REF!</v>
      </c>
      <c r="HD20" t="e">
        <f>AND('Aggregates Handling'!#REF!,"AAAAAH97/tM=")</f>
        <v>#REF!</v>
      </c>
      <c r="HE20" t="e">
        <f>AND('Aggregates Handling'!#REF!,"AAAAAH97/tQ=")</f>
        <v>#REF!</v>
      </c>
      <c r="HF20" t="e">
        <f>AND('Aggregates Handling'!#REF!,"AAAAAH97/tU=")</f>
        <v>#REF!</v>
      </c>
      <c r="HG20" t="e">
        <f>AND('Aggregates Handling'!#REF!,"AAAAAH97/tY=")</f>
        <v>#REF!</v>
      </c>
      <c r="HH20" t="e">
        <f>AND('Aggregates Handling'!#REF!,"AAAAAH97/tc=")</f>
        <v>#REF!</v>
      </c>
      <c r="HI20" t="e">
        <f>AND('Aggregates Handling'!#REF!,"AAAAAH97/tg=")</f>
        <v>#REF!</v>
      </c>
      <c r="HJ20" t="e">
        <f>AND('Aggregates Handling'!#REF!,"AAAAAH97/tk=")</f>
        <v>#REF!</v>
      </c>
      <c r="HK20" t="e">
        <f>AND('Aggregates Handling'!#REF!,"AAAAAH97/to=")</f>
        <v>#REF!</v>
      </c>
      <c r="HL20" t="e">
        <f>AND('Aggregates Handling'!#REF!,"AAAAAH97/ts=")</f>
        <v>#REF!</v>
      </c>
      <c r="HM20" t="e">
        <f>AND('Aggregates Handling'!#REF!,"AAAAAH97/tw=")</f>
        <v>#REF!</v>
      </c>
      <c r="HN20" t="e">
        <f>AND('Aggregates Handling'!#REF!,"AAAAAH97/t0=")</f>
        <v>#REF!</v>
      </c>
      <c r="HO20" t="e">
        <f>AND('Aggregates Handling'!#REF!,"AAAAAH97/t4=")</f>
        <v>#REF!</v>
      </c>
      <c r="HP20" t="e">
        <f>AND('Aggregates Handling'!#REF!,"AAAAAH97/t8=")</f>
        <v>#REF!</v>
      </c>
      <c r="HQ20" t="e">
        <f>AND('Aggregates Handling'!#REF!,"AAAAAH97/uA=")</f>
        <v>#REF!</v>
      </c>
      <c r="HR20" t="e">
        <f>AND('Aggregates Handling'!#REF!,"AAAAAH97/uE=")</f>
        <v>#REF!</v>
      </c>
      <c r="HS20" t="e">
        <f>IF('Aggregates Handling'!#REF!,"AAAAAH97/uI=",0)</f>
        <v>#REF!</v>
      </c>
      <c r="HT20" t="e">
        <f>AND('Aggregates Handling'!#REF!,"AAAAAH97/uM=")</f>
        <v>#REF!</v>
      </c>
      <c r="HU20" t="e">
        <f>AND('Aggregates Handling'!#REF!,"AAAAAH97/uQ=")</f>
        <v>#REF!</v>
      </c>
      <c r="HV20" t="e">
        <f>AND('Aggregates Handling'!#REF!,"AAAAAH97/uU=")</f>
        <v>#REF!</v>
      </c>
      <c r="HW20" t="e">
        <f>AND('Aggregates Handling'!#REF!,"AAAAAH97/uY=")</f>
        <v>#REF!</v>
      </c>
      <c r="HX20" t="e">
        <f>AND('Aggregates Handling'!#REF!,"AAAAAH97/uc=")</f>
        <v>#REF!</v>
      </c>
      <c r="HY20" t="e">
        <f>AND('Aggregates Handling'!#REF!,"AAAAAH97/ug=")</f>
        <v>#REF!</v>
      </c>
      <c r="HZ20" t="e">
        <f>AND('Aggregates Handling'!#REF!,"AAAAAH97/uk=")</f>
        <v>#REF!</v>
      </c>
      <c r="IA20" t="e">
        <f>AND('Aggregates Handling'!#REF!,"AAAAAH97/uo=")</f>
        <v>#REF!</v>
      </c>
      <c r="IB20" t="e">
        <f>AND('Aggregates Handling'!#REF!,"AAAAAH97/us=")</f>
        <v>#REF!</v>
      </c>
      <c r="IC20" t="e">
        <f>AND('Aggregates Handling'!#REF!,"AAAAAH97/uw=")</f>
        <v>#REF!</v>
      </c>
      <c r="ID20" t="e">
        <f>AND('Aggregates Handling'!#REF!,"AAAAAH97/u0=")</f>
        <v>#REF!</v>
      </c>
      <c r="IE20" t="e">
        <f>AND('Aggregates Handling'!#REF!,"AAAAAH97/u4=")</f>
        <v>#REF!</v>
      </c>
      <c r="IF20" t="e">
        <f>AND('Aggregates Handling'!#REF!,"AAAAAH97/u8=")</f>
        <v>#REF!</v>
      </c>
      <c r="IG20" t="e">
        <f>AND('Aggregates Handling'!#REF!,"AAAAAH97/vA=")</f>
        <v>#REF!</v>
      </c>
      <c r="IH20" t="e">
        <f>AND('Aggregates Handling'!#REF!,"AAAAAH97/vE=")</f>
        <v>#REF!</v>
      </c>
      <c r="II20" t="e">
        <f>AND('Aggregates Handling'!#REF!,"AAAAAH97/vI=")</f>
        <v>#REF!</v>
      </c>
      <c r="IJ20" t="e">
        <f>AND('Aggregates Handling'!#REF!,"AAAAAH97/vM=")</f>
        <v>#REF!</v>
      </c>
      <c r="IK20" t="e">
        <f>AND('Aggregates Handling'!#REF!,"AAAAAH97/vQ=")</f>
        <v>#REF!</v>
      </c>
      <c r="IL20" t="e">
        <f>AND('Aggregates Handling'!#REF!,"AAAAAH97/vU=")</f>
        <v>#REF!</v>
      </c>
      <c r="IM20" t="e">
        <f>AND('Aggregates Handling'!#REF!,"AAAAAH97/vY=")</f>
        <v>#REF!</v>
      </c>
      <c r="IN20" t="e">
        <f>IF('Aggregates Handling'!#REF!,"AAAAAH97/vc=",0)</f>
        <v>#REF!</v>
      </c>
      <c r="IO20" t="e">
        <f>AND('Aggregates Handling'!#REF!,"AAAAAH97/vg=")</f>
        <v>#REF!</v>
      </c>
      <c r="IP20" t="e">
        <f>AND('Aggregates Handling'!#REF!,"AAAAAH97/vk=")</f>
        <v>#REF!</v>
      </c>
      <c r="IQ20" t="e">
        <f>AND('Aggregates Handling'!#REF!,"AAAAAH97/vo=")</f>
        <v>#REF!</v>
      </c>
      <c r="IR20" t="e">
        <f>AND('Aggregates Handling'!#REF!,"AAAAAH97/vs=")</f>
        <v>#REF!</v>
      </c>
      <c r="IS20" t="e">
        <f>AND('Aggregates Handling'!#REF!,"AAAAAH97/vw=")</f>
        <v>#REF!</v>
      </c>
      <c r="IT20" t="e">
        <f>AND('Aggregates Handling'!#REF!,"AAAAAH97/v0=")</f>
        <v>#REF!</v>
      </c>
      <c r="IU20" t="e">
        <f>AND('Aggregates Handling'!#REF!,"AAAAAH97/v4=")</f>
        <v>#REF!</v>
      </c>
      <c r="IV20" t="e">
        <f>AND('Aggregates Handling'!#REF!,"AAAAAH97/v8=")</f>
        <v>#REF!</v>
      </c>
    </row>
    <row r="21" spans="1:256">
      <c r="A21" t="e">
        <f>AND('Aggregates Handling'!#REF!,"AAAAAHn79QA=")</f>
        <v>#REF!</v>
      </c>
      <c r="B21" t="e">
        <f>AND('Aggregates Handling'!#REF!,"AAAAAHn79QE=")</f>
        <v>#REF!</v>
      </c>
      <c r="C21" t="e">
        <f>AND('Aggregates Handling'!#REF!,"AAAAAHn79QI=")</f>
        <v>#REF!</v>
      </c>
      <c r="D21" t="e">
        <f>AND('Aggregates Handling'!#REF!,"AAAAAHn79QM=")</f>
        <v>#REF!</v>
      </c>
      <c r="E21" t="e">
        <f>AND('Aggregates Handling'!#REF!,"AAAAAHn79QQ=")</f>
        <v>#REF!</v>
      </c>
      <c r="F21" t="e">
        <f>AND('Aggregates Handling'!#REF!,"AAAAAHn79QU=")</f>
        <v>#REF!</v>
      </c>
      <c r="G21" t="e">
        <f>AND('Aggregates Handling'!#REF!,"AAAAAHn79QY=")</f>
        <v>#REF!</v>
      </c>
      <c r="H21" t="e">
        <f>AND('Aggregates Handling'!#REF!,"AAAAAHn79Qc=")</f>
        <v>#REF!</v>
      </c>
      <c r="I21" t="e">
        <f>AND('Aggregates Handling'!#REF!,"AAAAAHn79Qg=")</f>
        <v>#REF!</v>
      </c>
      <c r="J21" t="e">
        <f>AND('Aggregates Handling'!#REF!,"AAAAAHn79Qk=")</f>
        <v>#REF!</v>
      </c>
      <c r="K21" t="e">
        <f>AND('Aggregates Handling'!#REF!,"AAAAAHn79Qo=")</f>
        <v>#REF!</v>
      </c>
      <c r="L21" t="e">
        <f>AND('Aggregates Handling'!#REF!,"AAAAAHn79Qs=")</f>
        <v>#REF!</v>
      </c>
      <c r="M21" t="e">
        <f>IF('Aggregates Handling'!#REF!,"AAAAAHn79Qw=",0)</f>
        <v>#REF!</v>
      </c>
      <c r="N21" t="e">
        <f>AND('Aggregates Handling'!#REF!,"AAAAAHn79Q0=")</f>
        <v>#REF!</v>
      </c>
      <c r="O21" t="e">
        <f>AND('Aggregates Handling'!#REF!,"AAAAAHn79Q4=")</f>
        <v>#REF!</v>
      </c>
      <c r="P21" t="e">
        <f>AND('Aggregates Handling'!#REF!,"AAAAAHn79Q8=")</f>
        <v>#REF!</v>
      </c>
      <c r="Q21" t="e">
        <f>AND('Aggregates Handling'!#REF!,"AAAAAHn79RA=")</f>
        <v>#REF!</v>
      </c>
      <c r="R21" t="e">
        <f>AND('Aggregates Handling'!#REF!,"AAAAAHn79RE=")</f>
        <v>#REF!</v>
      </c>
      <c r="S21" t="e">
        <f>AND('Aggregates Handling'!#REF!,"AAAAAHn79RI=")</f>
        <v>#REF!</v>
      </c>
      <c r="T21" t="e">
        <f>AND('Aggregates Handling'!#REF!,"AAAAAHn79RM=")</f>
        <v>#REF!</v>
      </c>
      <c r="U21" t="e">
        <f>AND('Aggregates Handling'!#REF!,"AAAAAHn79RQ=")</f>
        <v>#REF!</v>
      </c>
      <c r="V21" t="e">
        <f>AND('Aggregates Handling'!#REF!,"AAAAAHn79RU=")</f>
        <v>#REF!</v>
      </c>
      <c r="W21" t="e">
        <f>AND('Aggregates Handling'!#REF!,"AAAAAHn79RY=")</f>
        <v>#REF!</v>
      </c>
      <c r="X21" t="e">
        <f>AND('Aggregates Handling'!#REF!,"AAAAAHn79Rc=")</f>
        <v>#REF!</v>
      </c>
      <c r="Y21" t="e">
        <f>AND('Aggregates Handling'!#REF!,"AAAAAHn79Rg=")</f>
        <v>#REF!</v>
      </c>
      <c r="Z21" t="e">
        <f>AND('Aggregates Handling'!#REF!,"AAAAAHn79Rk=")</f>
        <v>#REF!</v>
      </c>
      <c r="AA21" t="e">
        <f>AND('Aggregates Handling'!#REF!,"AAAAAHn79Ro=")</f>
        <v>#REF!</v>
      </c>
      <c r="AB21" t="e">
        <f>AND('Aggregates Handling'!#REF!,"AAAAAHn79Rs=")</f>
        <v>#REF!</v>
      </c>
      <c r="AC21" t="e">
        <f>AND('Aggregates Handling'!#REF!,"AAAAAHn79Rw=")</f>
        <v>#REF!</v>
      </c>
      <c r="AD21" t="e">
        <f>AND('Aggregates Handling'!#REF!,"AAAAAHn79R0=")</f>
        <v>#REF!</v>
      </c>
      <c r="AE21" t="e">
        <f>AND('Aggregates Handling'!#REF!,"AAAAAHn79R4=")</f>
        <v>#REF!</v>
      </c>
      <c r="AF21" t="e">
        <f>AND('Aggregates Handling'!#REF!,"AAAAAHn79R8=")</f>
        <v>#REF!</v>
      </c>
      <c r="AG21" t="e">
        <f>AND('Aggregates Handling'!#REF!,"AAAAAHn79SA=")</f>
        <v>#REF!</v>
      </c>
      <c r="AH21" t="e">
        <f>IF('Aggregates Handling'!#REF!,"AAAAAHn79SE=",0)</f>
        <v>#REF!</v>
      </c>
      <c r="AI21" t="e">
        <f>AND('Aggregates Handling'!#REF!,"AAAAAHn79SI=")</f>
        <v>#REF!</v>
      </c>
      <c r="AJ21" t="e">
        <f>AND('Aggregates Handling'!#REF!,"AAAAAHn79SM=")</f>
        <v>#REF!</v>
      </c>
      <c r="AK21" t="e">
        <f>AND('Aggregates Handling'!#REF!,"AAAAAHn79SQ=")</f>
        <v>#REF!</v>
      </c>
      <c r="AL21" t="e">
        <f>AND('Aggregates Handling'!#REF!,"AAAAAHn79SU=")</f>
        <v>#REF!</v>
      </c>
      <c r="AM21" t="e">
        <f>AND('Aggregates Handling'!#REF!,"AAAAAHn79SY=")</f>
        <v>#REF!</v>
      </c>
      <c r="AN21" t="e">
        <f>AND('Aggregates Handling'!#REF!,"AAAAAHn79Sc=")</f>
        <v>#REF!</v>
      </c>
      <c r="AO21" t="e">
        <f>AND('Aggregates Handling'!#REF!,"AAAAAHn79Sg=")</f>
        <v>#REF!</v>
      </c>
      <c r="AP21" t="e">
        <f>AND('Aggregates Handling'!#REF!,"AAAAAHn79Sk=")</f>
        <v>#REF!</v>
      </c>
      <c r="AQ21" t="e">
        <f>AND('Aggregates Handling'!#REF!,"AAAAAHn79So=")</f>
        <v>#REF!</v>
      </c>
      <c r="AR21" t="e">
        <f>AND('Aggregates Handling'!#REF!,"AAAAAHn79Ss=")</f>
        <v>#REF!</v>
      </c>
      <c r="AS21" t="e">
        <f>AND('Aggregates Handling'!#REF!,"AAAAAHn79Sw=")</f>
        <v>#REF!</v>
      </c>
      <c r="AT21" t="e">
        <f>AND('Aggregates Handling'!#REF!,"AAAAAHn79S0=")</f>
        <v>#REF!</v>
      </c>
      <c r="AU21" t="e">
        <f>AND('Aggregates Handling'!#REF!,"AAAAAHn79S4=")</f>
        <v>#REF!</v>
      </c>
      <c r="AV21" t="e">
        <f>AND('Aggregates Handling'!#REF!,"AAAAAHn79S8=")</f>
        <v>#REF!</v>
      </c>
      <c r="AW21" t="e">
        <f>AND('Aggregates Handling'!#REF!,"AAAAAHn79TA=")</f>
        <v>#REF!</v>
      </c>
      <c r="AX21" t="e">
        <f>AND('Aggregates Handling'!#REF!,"AAAAAHn79TE=")</f>
        <v>#REF!</v>
      </c>
      <c r="AY21" t="e">
        <f>AND('Aggregates Handling'!#REF!,"AAAAAHn79TI=")</f>
        <v>#REF!</v>
      </c>
      <c r="AZ21" t="e">
        <f>AND('Aggregates Handling'!#REF!,"AAAAAHn79TM=")</f>
        <v>#REF!</v>
      </c>
      <c r="BA21" t="e">
        <f>AND('Aggregates Handling'!#REF!,"AAAAAHn79TQ=")</f>
        <v>#REF!</v>
      </c>
      <c r="BB21" t="e">
        <f>AND('Aggregates Handling'!#REF!,"AAAAAHn79TU=")</f>
        <v>#REF!</v>
      </c>
      <c r="BC21" t="e">
        <f>IF('Aggregates Handling'!#REF!,"AAAAAHn79TY=",0)</f>
        <v>#REF!</v>
      </c>
      <c r="BD21" t="e">
        <f>AND('Aggregates Handling'!#REF!,"AAAAAHn79Tc=")</f>
        <v>#REF!</v>
      </c>
      <c r="BE21" t="e">
        <f>AND('Aggregates Handling'!#REF!,"AAAAAHn79Tg=")</f>
        <v>#REF!</v>
      </c>
      <c r="BF21" t="e">
        <f>AND('Aggregates Handling'!#REF!,"AAAAAHn79Tk=")</f>
        <v>#REF!</v>
      </c>
      <c r="BG21" t="e">
        <f>AND('Aggregates Handling'!#REF!,"AAAAAHn79To=")</f>
        <v>#REF!</v>
      </c>
      <c r="BH21" t="e">
        <f>AND('Aggregates Handling'!#REF!,"AAAAAHn79Ts=")</f>
        <v>#REF!</v>
      </c>
      <c r="BI21" t="e">
        <f>AND('Aggregates Handling'!#REF!,"AAAAAHn79Tw=")</f>
        <v>#REF!</v>
      </c>
      <c r="BJ21" t="e">
        <f>AND('Aggregates Handling'!#REF!,"AAAAAHn79T0=")</f>
        <v>#REF!</v>
      </c>
      <c r="BK21" t="e">
        <f>AND('Aggregates Handling'!#REF!,"AAAAAHn79T4=")</f>
        <v>#REF!</v>
      </c>
      <c r="BL21" t="e">
        <f>AND('Aggregates Handling'!#REF!,"AAAAAHn79T8=")</f>
        <v>#REF!</v>
      </c>
      <c r="BM21" t="e">
        <f>AND('Aggregates Handling'!#REF!,"AAAAAHn79UA=")</f>
        <v>#REF!</v>
      </c>
      <c r="BN21" t="e">
        <f>AND('Aggregates Handling'!#REF!,"AAAAAHn79UE=")</f>
        <v>#REF!</v>
      </c>
      <c r="BO21" t="e">
        <f>AND('Aggregates Handling'!#REF!,"AAAAAHn79UI=")</f>
        <v>#REF!</v>
      </c>
      <c r="BP21" t="e">
        <f>AND('Aggregates Handling'!#REF!,"AAAAAHn79UM=")</f>
        <v>#REF!</v>
      </c>
      <c r="BQ21" t="e">
        <f>AND('Aggregates Handling'!#REF!,"AAAAAHn79UQ=")</f>
        <v>#REF!</v>
      </c>
      <c r="BR21" t="e">
        <f>AND('Aggregates Handling'!#REF!,"AAAAAHn79UU=")</f>
        <v>#REF!</v>
      </c>
      <c r="BS21" t="e">
        <f>AND('Aggregates Handling'!#REF!,"AAAAAHn79UY=")</f>
        <v>#REF!</v>
      </c>
      <c r="BT21" t="e">
        <f>AND('Aggregates Handling'!#REF!,"AAAAAHn79Uc=")</f>
        <v>#REF!</v>
      </c>
      <c r="BU21" t="e">
        <f>AND('Aggregates Handling'!#REF!,"AAAAAHn79Ug=")</f>
        <v>#REF!</v>
      </c>
      <c r="BV21" t="e">
        <f>AND('Aggregates Handling'!#REF!,"AAAAAHn79Uk=")</f>
        <v>#REF!</v>
      </c>
      <c r="BW21" t="e">
        <f>AND('Aggregates Handling'!#REF!,"AAAAAHn79Uo=")</f>
        <v>#REF!</v>
      </c>
      <c r="BX21" t="e">
        <f>IF('Aggregates Handling'!#REF!,"AAAAAHn79Us=",0)</f>
        <v>#REF!</v>
      </c>
      <c r="BY21" t="e">
        <f>AND('Aggregates Handling'!#REF!,"AAAAAHn79Uw=")</f>
        <v>#REF!</v>
      </c>
      <c r="BZ21" t="e">
        <f>AND('Aggregates Handling'!#REF!,"AAAAAHn79U0=")</f>
        <v>#REF!</v>
      </c>
      <c r="CA21" t="e">
        <f>AND('Aggregates Handling'!#REF!,"AAAAAHn79U4=")</f>
        <v>#REF!</v>
      </c>
      <c r="CB21" t="e">
        <f>AND('Aggregates Handling'!#REF!,"AAAAAHn79U8=")</f>
        <v>#REF!</v>
      </c>
      <c r="CC21" t="e">
        <f>AND('Aggregates Handling'!#REF!,"AAAAAHn79VA=")</f>
        <v>#REF!</v>
      </c>
      <c r="CD21" t="e">
        <f>AND('Aggregates Handling'!#REF!,"AAAAAHn79VE=")</f>
        <v>#REF!</v>
      </c>
      <c r="CE21" t="e">
        <f>AND('Aggregates Handling'!#REF!,"AAAAAHn79VI=")</f>
        <v>#REF!</v>
      </c>
      <c r="CF21" t="e">
        <f>AND('Aggregates Handling'!#REF!,"AAAAAHn79VM=")</f>
        <v>#REF!</v>
      </c>
      <c r="CG21" t="e">
        <f>AND('Aggregates Handling'!#REF!,"AAAAAHn79VQ=")</f>
        <v>#REF!</v>
      </c>
      <c r="CH21" t="e">
        <f>AND('Aggregates Handling'!#REF!,"AAAAAHn79VU=")</f>
        <v>#REF!</v>
      </c>
      <c r="CI21" t="e">
        <f>AND('Aggregates Handling'!#REF!,"AAAAAHn79VY=")</f>
        <v>#REF!</v>
      </c>
      <c r="CJ21" t="e">
        <f>AND('Aggregates Handling'!#REF!,"AAAAAHn79Vc=")</f>
        <v>#REF!</v>
      </c>
      <c r="CK21" t="e">
        <f>AND('Aggregates Handling'!#REF!,"AAAAAHn79Vg=")</f>
        <v>#REF!</v>
      </c>
      <c r="CL21" t="e">
        <f>AND('Aggregates Handling'!#REF!,"AAAAAHn79Vk=")</f>
        <v>#REF!</v>
      </c>
      <c r="CM21" t="e">
        <f>AND('Aggregates Handling'!#REF!,"AAAAAHn79Vo=")</f>
        <v>#REF!</v>
      </c>
      <c r="CN21" t="e">
        <f>AND('Aggregates Handling'!#REF!,"AAAAAHn79Vs=")</f>
        <v>#REF!</v>
      </c>
      <c r="CO21" t="e">
        <f>AND('Aggregates Handling'!#REF!,"AAAAAHn79Vw=")</f>
        <v>#REF!</v>
      </c>
      <c r="CP21" t="e">
        <f>AND('Aggregates Handling'!#REF!,"AAAAAHn79V0=")</f>
        <v>#REF!</v>
      </c>
      <c r="CQ21" t="e">
        <f>AND('Aggregates Handling'!#REF!,"AAAAAHn79V4=")</f>
        <v>#REF!</v>
      </c>
      <c r="CR21" t="e">
        <f>AND('Aggregates Handling'!#REF!,"AAAAAHn79V8=")</f>
        <v>#REF!</v>
      </c>
      <c r="CS21" t="e">
        <f>IF('Aggregates Handling'!#REF!,"AAAAAHn79WA=",0)</f>
        <v>#REF!</v>
      </c>
      <c r="CT21" t="e">
        <f>AND('Aggregates Handling'!#REF!,"AAAAAHn79WE=")</f>
        <v>#REF!</v>
      </c>
      <c r="CU21" t="e">
        <f>AND('Aggregates Handling'!#REF!,"AAAAAHn79WI=")</f>
        <v>#REF!</v>
      </c>
      <c r="CV21" t="e">
        <f>AND('Aggregates Handling'!#REF!,"AAAAAHn79WM=")</f>
        <v>#REF!</v>
      </c>
      <c r="CW21" t="e">
        <f>AND('Aggregates Handling'!#REF!,"AAAAAHn79WQ=")</f>
        <v>#REF!</v>
      </c>
      <c r="CX21" t="e">
        <f>AND('Aggregates Handling'!#REF!,"AAAAAHn79WU=")</f>
        <v>#REF!</v>
      </c>
      <c r="CY21" t="e">
        <f>AND('Aggregates Handling'!#REF!,"AAAAAHn79WY=")</f>
        <v>#REF!</v>
      </c>
      <c r="CZ21" t="e">
        <f>AND('Aggregates Handling'!#REF!,"AAAAAHn79Wc=")</f>
        <v>#REF!</v>
      </c>
      <c r="DA21" t="e">
        <f>AND('Aggregates Handling'!#REF!,"AAAAAHn79Wg=")</f>
        <v>#REF!</v>
      </c>
      <c r="DB21" t="e">
        <f>AND('Aggregates Handling'!#REF!,"AAAAAHn79Wk=")</f>
        <v>#REF!</v>
      </c>
      <c r="DC21" t="e">
        <f>AND('Aggregates Handling'!#REF!,"AAAAAHn79Wo=")</f>
        <v>#REF!</v>
      </c>
      <c r="DD21" t="e">
        <f>AND('Aggregates Handling'!#REF!,"AAAAAHn79Ws=")</f>
        <v>#REF!</v>
      </c>
      <c r="DE21" t="e">
        <f>AND('Aggregates Handling'!#REF!,"AAAAAHn79Ww=")</f>
        <v>#REF!</v>
      </c>
      <c r="DF21" t="e">
        <f>AND('Aggregates Handling'!#REF!,"AAAAAHn79W0=")</f>
        <v>#REF!</v>
      </c>
      <c r="DG21" t="e">
        <f>AND('Aggregates Handling'!#REF!,"AAAAAHn79W4=")</f>
        <v>#REF!</v>
      </c>
      <c r="DH21" t="e">
        <f>AND('Aggregates Handling'!#REF!,"AAAAAHn79W8=")</f>
        <v>#REF!</v>
      </c>
      <c r="DI21" t="e">
        <f>AND('Aggregates Handling'!#REF!,"AAAAAHn79XA=")</f>
        <v>#REF!</v>
      </c>
      <c r="DJ21" t="e">
        <f>AND('Aggregates Handling'!#REF!,"AAAAAHn79XE=")</f>
        <v>#REF!</v>
      </c>
      <c r="DK21" t="e">
        <f>AND('Aggregates Handling'!#REF!,"AAAAAHn79XI=")</f>
        <v>#REF!</v>
      </c>
      <c r="DL21" t="e">
        <f>AND('Aggregates Handling'!#REF!,"AAAAAHn79XM=")</f>
        <v>#REF!</v>
      </c>
      <c r="DM21" t="e">
        <f>AND('Aggregates Handling'!#REF!,"AAAAAHn79XQ=")</f>
        <v>#REF!</v>
      </c>
      <c r="DN21" t="e">
        <f>IF('Aggregates Handling'!#REF!,"AAAAAHn79XU=",0)</f>
        <v>#REF!</v>
      </c>
      <c r="DO21" t="e">
        <f>AND('Aggregates Handling'!#REF!,"AAAAAHn79XY=")</f>
        <v>#REF!</v>
      </c>
      <c r="DP21" t="e">
        <f>AND('Aggregates Handling'!#REF!,"AAAAAHn79Xc=")</f>
        <v>#REF!</v>
      </c>
      <c r="DQ21" t="e">
        <f>AND('Aggregates Handling'!#REF!,"AAAAAHn79Xg=")</f>
        <v>#REF!</v>
      </c>
      <c r="DR21" t="e">
        <f>AND('Aggregates Handling'!#REF!,"AAAAAHn79Xk=")</f>
        <v>#REF!</v>
      </c>
      <c r="DS21" t="e">
        <f>AND('Aggregates Handling'!#REF!,"AAAAAHn79Xo=")</f>
        <v>#REF!</v>
      </c>
      <c r="DT21" t="e">
        <f>AND('Aggregates Handling'!#REF!,"AAAAAHn79Xs=")</f>
        <v>#REF!</v>
      </c>
      <c r="DU21" t="e">
        <f>AND('Aggregates Handling'!#REF!,"AAAAAHn79Xw=")</f>
        <v>#REF!</v>
      </c>
      <c r="DV21" t="e">
        <f>AND('Aggregates Handling'!#REF!,"AAAAAHn79X0=")</f>
        <v>#REF!</v>
      </c>
      <c r="DW21" t="e">
        <f>AND('Aggregates Handling'!#REF!,"AAAAAHn79X4=")</f>
        <v>#REF!</v>
      </c>
      <c r="DX21" t="e">
        <f>AND('Aggregates Handling'!#REF!,"AAAAAHn79X8=")</f>
        <v>#REF!</v>
      </c>
      <c r="DY21" t="e">
        <f>AND('Aggregates Handling'!#REF!,"AAAAAHn79YA=")</f>
        <v>#REF!</v>
      </c>
      <c r="DZ21" t="e">
        <f>AND('Aggregates Handling'!#REF!,"AAAAAHn79YE=")</f>
        <v>#REF!</v>
      </c>
      <c r="EA21" t="e">
        <f>AND('Aggregates Handling'!#REF!,"AAAAAHn79YI=")</f>
        <v>#REF!</v>
      </c>
      <c r="EB21" t="e">
        <f>AND('Aggregates Handling'!#REF!,"AAAAAHn79YM=")</f>
        <v>#REF!</v>
      </c>
      <c r="EC21" t="e">
        <f>AND('Aggregates Handling'!#REF!,"AAAAAHn79YQ=")</f>
        <v>#REF!</v>
      </c>
      <c r="ED21" t="e">
        <f>AND('Aggregates Handling'!#REF!,"AAAAAHn79YU=")</f>
        <v>#REF!</v>
      </c>
      <c r="EE21" t="e">
        <f>AND('Aggregates Handling'!#REF!,"AAAAAHn79YY=")</f>
        <v>#REF!</v>
      </c>
      <c r="EF21" t="e">
        <f>AND('Aggregates Handling'!#REF!,"AAAAAHn79Yc=")</f>
        <v>#REF!</v>
      </c>
      <c r="EG21" t="e">
        <f>AND('Aggregates Handling'!#REF!,"AAAAAHn79Yg=")</f>
        <v>#REF!</v>
      </c>
      <c r="EH21" t="e">
        <f>AND('Aggregates Handling'!#REF!,"AAAAAHn79Yk=")</f>
        <v>#REF!</v>
      </c>
      <c r="EI21" t="e">
        <f>IF('Aggregates Handling'!#REF!,"AAAAAHn79Yo=",0)</f>
        <v>#REF!</v>
      </c>
      <c r="EJ21" t="e">
        <f>AND('Aggregates Handling'!#REF!,"AAAAAHn79Ys=")</f>
        <v>#REF!</v>
      </c>
      <c r="EK21" t="e">
        <f>AND('Aggregates Handling'!#REF!,"AAAAAHn79Yw=")</f>
        <v>#REF!</v>
      </c>
      <c r="EL21" t="e">
        <f>AND('Aggregates Handling'!#REF!,"AAAAAHn79Y0=")</f>
        <v>#REF!</v>
      </c>
      <c r="EM21" t="e">
        <f>AND('Aggregates Handling'!#REF!,"AAAAAHn79Y4=")</f>
        <v>#REF!</v>
      </c>
      <c r="EN21" t="e">
        <f>AND('Aggregates Handling'!#REF!,"AAAAAHn79Y8=")</f>
        <v>#REF!</v>
      </c>
      <c r="EO21" t="e">
        <f>AND('Aggregates Handling'!#REF!,"AAAAAHn79ZA=")</f>
        <v>#REF!</v>
      </c>
      <c r="EP21" t="e">
        <f>AND('Aggregates Handling'!#REF!,"AAAAAHn79ZE=")</f>
        <v>#REF!</v>
      </c>
      <c r="EQ21" t="e">
        <f>AND('Aggregates Handling'!#REF!,"AAAAAHn79ZI=")</f>
        <v>#REF!</v>
      </c>
      <c r="ER21" t="e">
        <f>AND('Aggregates Handling'!#REF!,"AAAAAHn79ZM=")</f>
        <v>#REF!</v>
      </c>
      <c r="ES21" t="e">
        <f>AND('Aggregates Handling'!#REF!,"AAAAAHn79ZQ=")</f>
        <v>#REF!</v>
      </c>
      <c r="ET21" t="e">
        <f>AND('Aggregates Handling'!#REF!,"AAAAAHn79ZU=")</f>
        <v>#REF!</v>
      </c>
      <c r="EU21" t="e">
        <f>AND('Aggregates Handling'!#REF!,"AAAAAHn79ZY=")</f>
        <v>#REF!</v>
      </c>
      <c r="EV21" t="e">
        <f>AND('Aggregates Handling'!#REF!,"AAAAAHn79Zc=")</f>
        <v>#REF!</v>
      </c>
      <c r="EW21" t="e">
        <f>AND('Aggregates Handling'!#REF!,"AAAAAHn79Zg=")</f>
        <v>#REF!</v>
      </c>
      <c r="EX21" t="e">
        <f>AND('Aggregates Handling'!#REF!,"AAAAAHn79Zk=")</f>
        <v>#REF!</v>
      </c>
      <c r="EY21" t="e">
        <f>AND('Aggregates Handling'!#REF!,"AAAAAHn79Zo=")</f>
        <v>#REF!</v>
      </c>
      <c r="EZ21" t="e">
        <f>AND('Aggregates Handling'!#REF!,"AAAAAHn79Zs=")</f>
        <v>#REF!</v>
      </c>
      <c r="FA21" t="e">
        <f>AND('Aggregates Handling'!#REF!,"AAAAAHn79Zw=")</f>
        <v>#REF!</v>
      </c>
      <c r="FB21" t="e">
        <f>AND('Aggregates Handling'!#REF!,"AAAAAHn79Z0=")</f>
        <v>#REF!</v>
      </c>
      <c r="FC21" t="e">
        <f>AND('Aggregates Handling'!#REF!,"AAAAAHn79Z4=")</f>
        <v>#REF!</v>
      </c>
      <c r="FD21" t="e">
        <f>IF('Aggregates Handling'!#REF!,"AAAAAHn79Z8=",0)</f>
        <v>#REF!</v>
      </c>
      <c r="FE21" t="e">
        <f>AND('Aggregates Handling'!#REF!,"AAAAAHn79aA=")</f>
        <v>#REF!</v>
      </c>
      <c r="FF21" t="e">
        <f>AND('Aggregates Handling'!#REF!,"AAAAAHn79aE=")</f>
        <v>#REF!</v>
      </c>
      <c r="FG21" t="e">
        <f>AND('Aggregates Handling'!#REF!,"AAAAAHn79aI=")</f>
        <v>#REF!</v>
      </c>
      <c r="FH21" t="e">
        <f>AND('Aggregates Handling'!#REF!,"AAAAAHn79aM=")</f>
        <v>#REF!</v>
      </c>
      <c r="FI21" t="e">
        <f>AND('Aggregates Handling'!#REF!,"AAAAAHn79aQ=")</f>
        <v>#REF!</v>
      </c>
      <c r="FJ21" t="e">
        <f>AND('Aggregates Handling'!#REF!,"AAAAAHn79aU=")</f>
        <v>#REF!</v>
      </c>
      <c r="FK21" t="e">
        <f>AND('Aggregates Handling'!#REF!,"AAAAAHn79aY=")</f>
        <v>#REF!</v>
      </c>
      <c r="FL21" t="e">
        <f>AND('Aggregates Handling'!#REF!,"AAAAAHn79ac=")</f>
        <v>#REF!</v>
      </c>
      <c r="FM21" t="e">
        <f>AND('Aggregates Handling'!#REF!,"AAAAAHn79ag=")</f>
        <v>#REF!</v>
      </c>
      <c r="FN21" t="e">
        <f>AND('Aggregates Handling'!#REF!,"AAAAAHn79ak=")</f>
        <v>#REF!</v>
      </c>
      <c r="FO21" t="e">
        <f>AND('Aggregates Handling'!#REF!,"AAAAAHn79ao=")</f>
        <v>#REF!</v>
      </c>
      <c r="FP21" t="e">
        <f>AND('Aggregates Handling'!#REF!,"AAAAAHn79as=")</f>
        <v>#REF!</v>
      </c>
      <c r="FQ21" t="e">
        <f>AND('Aggregates Handling'!#REF!,"AAAAAHn79aw=")</f>
        <v>#REF!</v>
      </c>
      <c r="FR21" t="e">
        <f>AND('Aggregates Handling'!#REF!,"AAAAAHn79a0=")</f>
        <v>#REF!</v>
      </c>
      <c r="FS21" t="e">
        <f>AND('Aggregates Handling'!#REF!,"AAAAAHn79a4=")</f>
        <v>#REF!</v>
      </c>
      <c r="FT21" t="e">
        <f>AND('Aggregates Handling'!#REF!,"AAAAAHn79a8=")</f>
        <v>#REF!</v>
      </c>
      <c r="FU21" t="e">
        <f>AND('Aggregates Handling'!#REF!,"AAAAAHn79bA=")</f>
        <v>#REF!</v>
      </c>
      <c r="FV21" t="e">
        <f>AND('Aggregates Handling'!#REF!,"AAAAAHn79bE=")</f>
        <v>#REF!</v>
      </c>
      <c r="FW21" t="e">
        <f>AND('Aggregates Handling'!#REF!,"AAAAAHn79bI=")</f>
        <v>#REF!</v>
      </c>
      <c r="FX21" t="e">
        <f>AND('Aggregates Handling'!#REF!,"AAAAAHn79bM=")</f>
        <v>#REF!</v>
      </c>
      <c r="FY21" t="e">
        <f>IF('Aggregates Handling'!#REF!,"AAAAAHn79bQ=",0)</f>
        <v>#REF!</v>
      </c>
      <c r="FZ21" t="e">
        <f>AND('Aggregates Handling'!#REF!,"AAAAAHn79bU=")</f>
        <v>#REF!</v>
      </c>
      <c r="GA21" t="e">
        <f>AND('Aggregates Handling'!#REF!,"AAAAAHn79bY=")</f>
        <v>#REF!</v>
      </c>
      <c r="GB21" t="e">
        <f>AND('Aggregates Handling'!#REF!,"AAAAAHn79bc=")</f>
        <v>#REF!</v>
      </c>
      <c r="GC21" t="e">
        <f>AND('Aggregates Handling'!#REF!,"AAAAAHn79bg=")</f>
        <v>#REF!</v>
      </c>
      <c r="GD21" t="e">
        <f>AND('Aggregates Handling'!#REF!,"AAAAAHn79bk=")</f>
        <v>#REF!</v>
      </c>
      <c r="GE21" t="e">
        <f>AND('Aggregates Handling'!#REF!,"AAAAAHn79bo=")</f>
        <v>#REF!</v>
      </c>
      <c r="GF21" t="e">
        <f>AND('Aggregates Handling'!#REF!,"AAAAAHn79bs=")</f>
        <v>#REF!</v>
      </c>
      <c r="GG21" t="e">
        <f>AND('Aggregates Handling'!#REF!,"AAAAAHn79bw=")</f>
        <v>#REF!</v>
      </c>
      <c r="GH21" t="e">
        <f>AND('Aggregates Handling'!#REF!,"AAAAAHn79b0=")</f>
        <v>#REF!</v>
      </c>
      <c r="GI21" t="e">
        <f>AND('Aggregates Handling'!#REF!,"AAAAAHn79b4=")</f>
        <v>#REF!</v>
      </c>
      <c r="GJ21" t="e">
        <f>AND('Aggregates Handling'!#REF!,"AAAAAHn79b8=")</f>
        <v>#REF!</v>
      </c>
      <c r="GK21" t="e">
        <f>AND('Aggregates Handling'!#REF!,"AAAAAHn79cA=")</f>
        <v>#REF!</v>
      </c>
      <c r="GL21" t="e">
        <f>AND('Aggregates Handling'!#REF!,"AAAAAHn79cE=")</f>
        <v>#REF!</v>
      </c>
      <c r="GM21" t="e">
        <f>AND('Aggregates Handling'!#REF!,"AAAAAHn79cI=")</f>
        <v>#REF!</v>
      </c>
      <c r="GN21" t="e">
        <f>AND('Aggregates Handling'!#REF!,"AAAAAHn79cM=")</f>
        <v>#REF!</v>
      </c>
      <c r="GO21" t="e">
        <f>AND('Aggregates Handling'!#REF!,"AAAAAHn79cQ=")</f>
        <v>#REF!</v>
      </c>
      <c r="GP21" t="e">
        <f>AND('Aggregates Handling'!#REF!,"AAAAAHn79cU=")</f>
        <v>#REF!</v>
      </c>
      <c r="GQ21" t="e">
        <f>AND('Aggregates Handling'!#REF!,"AAAAAHn79cY=")</f>
        <v>#REF!</v>
      </c>
      <c r="GR21" t="e">
        <f>AND('Aggregates Handling'!#REF!,"AAAAAHn79cc=")</f>
        <v>#REF!</v>
      </c>
      <c r="GS21" t="e">
        <f>AND('Aggregates Handling'!#REF!,"AAAAAHn79cg=")</f>
        <v>#REF!</v>
      </c>
      <c r="GT21" t="e">
        <f>IF('Aggregates Handling'!#REF!,"AAAAAHn79ck=",0)</f>
        <v>#REF!</v>
      </c>
      <c r="GU21" t="e">
        <f>AND('Aggregates Handling'!#REF!,"AAAAAHn79co=")</f>
        <v>#REF!</v>
      </c>
      <c r="GV21" t="e">
        <f>AND('Aggregates Handling'!#REF!,"AAAAAHn79cs=")</f>
        <v>#REF!</v>
      </c>
      <c r="GW21" t="e">
        <f>AND('Aggregates Handling'!#REF!,"AAAAAHn79cw=")</f>
        <v>#REF!</v>
      </c>
      <c r="GX21" t="e">
        <f>AND('Aggregates Handling'!#REF!,"AAAAAHn79c0=")</f>
        <v>#REF!</v>
      </c>
      <c r="GY21" t="e">
        <f>AND('Aggregates Handling'!#REF!,"AAAAAHn79c4=")</f>
        <v>#REF!</v>
      </c>
      <c r="GZ21" t="e">
        <f>AND('Aggregates Handling'!#REF!,"AAAAAHn79c8=")</f>
        <v>#REF!</v>
      </c>
      <c r="HA21" t="e">
        <f>AND('Aggregates Handling'!#REF!,"AAAAAHn79dA=")</f>
        <v>#REF!</v>
      </c>
      <c r="HB21" t="e">
        <f>AND('Aggregates Handling'!#REF!,"AAAAAHn79dE=")</f>
        <v>#REF!</v>
      </c>
      <c r="HC21" t="e">
        <f>AND('Aggregates Handling'!#REF!,"AAAAAHn79dI=")</f>
        <v>#REF!</v>
      </c>
      <c r="HD21" t="e">
        <f>AND('Aggregates Handling'!#REF!,"AAAAAHn79dM=")</f>
        <v>#REF!</v>
      </c>
      <c r="HE21" t="e">
        <f>AND('Aggregates Handling'!#REF!,"AAAAAHn79dQ=")</f>
        <v>#REF!</v>
      </c>
      <c r="HF21" t="e">
        <f>AND('Aggregates Handling'!#REF!,"AAAAAHn79dU=")</f>
        <v>#REF!</v>
      </c>
      <c r="HG21" t="e">
        <f>AND('Aggregates Handling'!#REF!,"AAAAAHn79dY=")</f>
        <v>#REF!</v>
      </c>
      <c r="HH21" t="e">
        <f>AND('Aggregates Handling'!#REF!,"AAAAAHn79dc=")</f>
        <v>#REF!</v>
      </c>
      <c r="HI21" t="e">
        <f>AND('Aggregates Handling'!#REF!,"AAAAAHn79dg=")</f>
        <v>#REF!</v>
      </c>
      <c r="HJ21" t="e">
        <f>AND('Aggregates Handling'!#REF!,"AAAAAHn79dk=")</f>
        <v>#REF!</v>
      </c>
      <c r="HK21" t="e">
        <f>AND('Aggregates Handling'!#REF!,"AAAAAHn79do=")</f>
        <v>#REF!</v>
      </c>
      <c r="HL21" t="e">
        <f>AND('Aggregates Handling'!#REF!,"AAAAAHn79ds=")</f>
        <v>#REF!</v>
      </c>
      <c r="HM21" t="e">
        <f>AND('Aggregates Handling'!#REF!,"AAAAAHn79dw=")</f>
        <v>#REF!</v>
      </c>
      <c r="HN21" t="e">
        <f>AND('Aggregates Handling'!#REF!,"AAAAAHn79d0=")</f>
        <v>#REF!</v>
      </c>
      <c r="HO21" t="e">
        <f>IF('Aggregates Handling'!#REF!,"AAAAAHn79d4=",0)</f>
        <v>#REF!</v>
      </c>
      <c r="HP21" t="e">
        <f>AND('Aggregates Handling'!#REF!,"AAAAAHn79d8=")</f>
        <v>#REF!</v>
      </c>
      <c r="HQ21" t="e">
        <f>AND('Aggregates Handling'!#REF!,"AAAAAHn79eA=")</f>
        <v>#REF!</v>
      </c>
      <c r="HR21" t="e">
        <f>AND('Aggregates Handling'!#REF!,"AAAAAHn79eE=")</f>
        <v>#REF!</v>
      </c>
      <c r="HS21" t="e">
        <f>AND('Aggregates Handling'!#REF!,"AAAAAHn79eI=")</f>
        <v>#REF!</v>
      </c>
      <c r="HT21" t="e">
        <f>AND('Aggregates Handling'!#REF!,"AAAAAHn79eM=")</f>
        <v>#REF!</v>
      </c>
      <c r="HU21" t="e">
        <f>AND('Aggregates Handling'!#REF!,"AAAAAHn79eQ=")</f>
        <v>#REF!</v>
      </c>
      <c r="HV21" t="e">
        <f>AND('Aggregates Handling'!#REF!,"AAAAAHn79eU=")</f>
        <v>#REF!</v>
      </c>
      <c r="HW21" t="e">
        <f>AND('Aggregates Handling'!#REF!,"AAAAAHn79eY=")</f>
        <v>#REF!</v>
      </c>
      <c r="HX21" t="e">
        <f>AND('Aggregates Handling'!#REF!,"AAAAAHn79ec=")</f>
        <v>#REF!</v>
      </c>
      <c r="HY21" t="e">
        <f>AND('Aggregates Handling'!#REF!,"AAAAAHn79eg=")</f>
        <v>#REF!</v>
      </c>
      <c r="HZ21" t="e">
        <f>AND('Aggregates Handling'!#REF!,"AAAAAHn79ek=")</f>
        <v>#REF!</v>
      </c>
      <c r="IA21" t="e">
        <f>AND('Aggregates Handling'!#REF!,"AAAAAHn79eo=")</f>
        <v>#REF!</v>
      </c>
      <c r="IB21" t="e">
        <f>AND('Aggregates Handling'!#REF!,"AAAAAHn79es=")</f>
        <v>#REF!</v>
      </c>
      <c r="IC21" t="e">
        <f>AND('Aggregates Handling'!#REF!,"AAAAAHn79ew=")</f>
        <v>#REF!</v>
      </c>
      <c r="ID21" t="e">
        <f>AND('Aggregates Handling'!#REF!,"AAAAAHn79e0=")</f>
        <v>#REF!</v>
      </c>
      <c r="IE21" t="e">
        <f>AND('Aggregates Handling'!#REF!,"AAAAAHn79e4=")</f>
        <v>#REF!</v>
      </c>
      <c r="IF21" t="e">
        <f>AND('Aggregates Handling'!#REF!,"AAAAAHn79e8=")</f>
        <v>#REF!</v>
      </c>
      <c r="IG21" t="e">
        <f>AND('Aggregates Handling'!#REF!,"AAAAAHn79fA=")</f>
        <v>#REF!</v>
      </c>
      <c r="IH21" t="e">
        <f>AND('Aggregates Handling'!#REF!,"AAAAAHn79fE=")</f>
        <v>#REF!</v>
      </c>
      <c r="II21" t="e">
        <f>AND('Aggregates Handling'!#REF!,"AAAAAHn79fI=")</f>
        <v>#REF!</v>
      </c>
      <c r="IJ21" t="e">
        <f>IF('Aggregates Handling'!#REF!,"AAAAAHn79fM=",0)</f>
        <v>#REF!</v>
      </c>
      <c r="IK21" t="e">
        <f>AND('Aggregates Handling'!#REF!,"AAAAAHn79fQ=")</f>
        <v>#REF!</v>
      </c>
      <c r="IL21" t="e">
        <f>AND('Aggregates Handling'!#REF!,"AAAAAHn79fU=")</f>
        <v>#REF!</v>
      </c>
      <c r="IM21" t="e">
        <f>AND('Aggregates Handling'!#REF!,"AAAAAHn79fY=")</f>
        <v>#REF!</v>
      </c>
      <c r="IN21" t="e">
        <f>AND('Aggregates Handling'!#REF!,"AAAAAHn79fc=")</f>
        <v>#REF!</v>
      </c>
      <c r="IO21" t="e">
        <f>AND('Aggregates Handling'!#REF!,"AAAAAHn79fg=")</f>
        <v>#REF!</v>
      </c>
      <c r="IP21" t="e">
        <f>AND('Aggregates Handling'!#REF!,"AAAAAHn79fk=")</f>
        <v>#REF!</v>
      </c>
      <c r="IQ21" t="e">
        <f>AND('Aggregates Handling'!#REF!,"AAAAAHn79fo=")</f>
        <v>#REF!</v>
      </c>
      <c r="IR21" t="e">
        <f>AND('Aggregates Handling'!#REF!,"AAAAAHn79fs=")</f>
        <v>#REF!</v>
      </c>
      <c r="IS21" t="e">
        <f>AND('Aggregates Handling'!#REF!,"AAAAAHn79fw=")</f>
        <v>#REF!</v>
      </c>
      <c r="IT21" t="e">
        <f>AND('Aggregates Handling'!#REF!,"AAAAAHn79f0=")</f>
        <v>#REF!</v>
      </c>
      <c r="IU21" t="e">
        <f>AND('Aggregates Handling'!#REF!,"AAAAAHn79f4=")</f>
        <v>#REF!</v>
      </c>
      <c r="IV21" t="e">
        <f>AND('Aggregates Handling'!#REF!,"AAAAAHn79f8=")</f>
        <v>#REF!</v>
      </c>
    </row>
    <row r="22" spans="1:256">
      <c r="A22" t="e">
        <f>AND('Aggregates Handling'!#REF!,"AAAAAH/j+wA=")</f>
        <v>#REF!</v>
      </c>
      <c r="B22" t="e">
        <f>AND('Aggregates Handling'!#REF!,"AAAAAH/j+wE=")</f>
        <v>#REF!</v>
      </c>
      <c r="C22" t="e">
        <f>AND('Aggregates Handling'!#REF!,"AAAAAH/j+wI=")</f>
        <v>#REF!</v>
      </c>
      <c r="D22" t="e">
        <f>AND('Aggregates Handling'!#REF!,"AAAAAH/j+wM=")</f>
        <v>#REF!</v>
      </c>
      <c r="E22" t="e">
        <f>AND('Aggregates Handling'!#REF!,"AAAAAH/j+wQ=")</f>
        <v>#REF!</v>
      </c>
      <c r="F22" t="e">
        <f>AND('Aggregates Handling'!#REF!,"AAAAAH/j+wU=")</f>
        <v>#REF!</v>
      </c>
      <c r="G22" t="e">
        <f>AND('Aggregates Handling'!#REF!,"AAAAAH/j+wY=")</f>
        <v>#REF!</v>
      </c>
      <c r="H22" t="e">
        <f>AND('Aggregates Handling'!#REF!,"AAAAAH/j+wc=")</f>
        <v>#REF!</v>
      </c>
      <c r="I22" t="e">
        <f>IF('Aggregates Handling'!#REF!,"AAAAAH/j+wg=",0)</f>
        <v>#REF!</v>
      </c>
      <c r="J22" t="e">
        <f>AND('Aggregates Handling'!#REF!,"AAAAAH/j+wk=")</f>
        <v>#REF!</v>
      </c>
      <c r="K22" t="e">
        <f>AND('Aggregates Handling'!#REF!,"AAAAAH/j+wo=")</f>
        <v>#REF!</v>
      </c>
      <c r="L22" t="e">
        <f>AND('Aggregates Handling'!#REF!,"AAAAAH/j+ws=")</f>
        <v>#REF!</v>
      </c>
      <c r="M22" t="e">
        <f>AND('Aggregates Handling'!#REF!,"AAAAAH/j+ww=")</f>
        <v>#REF!</v>
      </c>
      <c r="N22" t="e">
        <f>AND('Aggregates Handling'!#REF!,"AAAAAH/j+w0=")</f>
        <v>#REF!</v>
      </c>
      <c r="O22" t="e">
        <f>AND('Aggregates Handling'!#REF!,"AAAAAH/j+w4=")</f>
        <v>#REF!</v>
      </c>
      <c r="P22" t="e">
        <f>AND('Aggregates Handling'!#REF!,"AAAAAH/j+w8=")</f>
        <v>#REF!</v>
      </c>
      <c r="Q22" t="e">
        <f>AND('Aggregates Handling'!#REF!,"AAAAAH/j+xA=")</f>
        <v>#REF!</v>
      </c>
      <c r="R22" t="e">
        <f>AND('Aggregates Handling'!#REF!,"AAAAAH/j+xE=")</f>
        <v>#REF!</v>
      </c>
      <c r="S22" t="e">
        <f>AND('Aggregates Handling'!#REF!,"AAAAAH/j+xI=")</f>
        <v>#REF!</v>
      </c>
      <c r="T22" t="e">
        <f>AND('Aggregates Handling'!#REF!,"AAAAAH/j+xM=")</f>
        <v>#REF!</v>
      </c>
      <c r="U22" t="e">
        <f>AND('Aggregates Handling'!#REF!,"AAAAAH/j+xQ=")</f>
        <v>#REF!</v>
      </c>
      <c r="V22" t="e">
        <f>AND('Aggregates Handling'!#REF!,"AAAAAH/j+xU=")</f>
        <v>#REF!</v>
      </c>
      <c r="W22" t="e">
        <f>AND('Aggregates Handling'!#REF!,"AAAAAH/j+xY=")</f>
        <v>#REF!</v>
      </c>
      <c r="X22" t="e">
        <f>AND('Aggregates Handling'!#REF!,"AAAAAH/j+xc=")</f>
        <v>#REF!</v>
      </c>
      <c r="Y22" t="e">
        <f>AND('Aggregates Handling'!#REF!,"AAAAAH/j+xg=")</f>
        <v>#REF!</v>
      </c>
      <c r="Z22" t="e">
        <f>AND('Aggregates Handling'!#REF!,"AAAAAH/j+xk=")</f>
        <v>#REF!</v>
      </c>
      <c r="AA22" t="e">
        <f>AND('Aggregates Handling'!#REF!,"AAAAAH/j+xo=")</f>
        <v>#REF!</v>
      </c>
      <c r="AB22" t="e">
        <f>AND('Aggregates Handling'!#REF!,"AAAAAH/j+xs=")</f>
        <v>#REF!</v>
      </c>
      <c r="AC22" t="e">
        <f>AND('Aggregates Handling'!#REF!,"AAAAAH/j+xw=")</f>
        <v>#REF!</v>
      </c>
      <c r="AD22" t="e">
        <f>IF('Aggregates Handling'!#REF!,"AAAAAH/j+x0=",0)</f>
        <v>#REF!</v>
      </c>
      <c r="AE22" t="e">
        <f>AND('Aggregates Handling'!#REF!,"AAAAAH/j+x4=")</f>
        <v>#REF!</v>
      </c>
      <c r="AF22" t="e">
        <f>AND('Aggregates Handling'!#REF!,"AAAAAH/j+x8=")</f>
        <v>#REF!</v>
      </c>
      <c r="AG22" t="e">
        <f>AND('Aggregates Handling'!#REF!,"AAAAAH/j+yA=")</f>
        <v>#REF!</v>
      </c>
      <c r="AH22" t="e">
        <f>AND('Aggregates Handling'!#REF!,"AAAAAH/j+yE=")</f>
        <v>#REF!</v>
      </c>
      <c r="AI22" t="e">
        <f>AND('Aggregates Handling'!#REF!,"AAAAAH/j+yI=")</f>
        <v>#REF!</v>
      </c>
      <c r="AJ22" t="e">
        <f>AND('Aggregates Handling'!#REF!,"AAAAAH/j+yM=")</f>
        <v>#REF!</v>
      </c>
      <c r="AK22" t="e">
        <f>AND('Aggregates Handling'!#REF!,"AAAAAH/j+yQ=")</f>
        <v>#REF!</v>
      </c>
      <c r="AL22" t="e">
        <f>AND('Aggregates Handling'!#REF!,"AAAAAH/j+yU=")</f>
        <v>#REF!</v>
      </c>
      <c r="AM22" t="e">
        <f>AND('Aggregates Handling'!#REF!,"AAAAAH/j+yY=")</f>
        <v>#REF!</v>
      </c>
      <c r="AN22" t="e">
        <f>AND('Aggregates Handling'!#REF!,"AAAAAH/j+yc=")</f>
        <v>#REF!</v>
      </c>
      <c r="AO22" t="e">
        <f>AND('Aggregates Handling'!#REF!,"AAAAAH/j+yg=")</f>
        <v>#REF!</v>
      </c>
      <c r="AP22" t="e">
        <f>AND('Aggregates Handling'!#REF!,"AAAAAH/j+yk=")</f>
        <v>#REF!</v>
      </c>
      <c r="AQ22" t="e">
        <f>AND('Aggregates Handling'!#REF!,"AAAAAH/j+yo=")</f>
        <v>#REF!</v>
      </c>
      <c r="AR22" t="e">
        <f>AND('Aggregates Handling'!#REF!,"AAAAAH/j+ys=")</f>
        <v>#REF!</v>
      </c>
      <c r="AS22" t="e">
        <f>AND('Aggregates Handling'!#REF!,"AAAAAH/j+yw=")</f>
        <v>#REF!</v>
      </c>
      <c r="AT22" t="e">
        <f>AND('Aggregates Handling'!#REF!,"AAAAAH/j+y0=")</f>
        <v>#REF!</v>
      </c>
      <c r="AU22" t="e">
        <f>AND('Aggregates Handling'!#REF!,"AAAAAH/j+y4=")</f>
        <v>#REF!</v>
      </c>
      <c r="AV22" t="e">
        <f>AND('Aggregates Handling'!#REF!,"AAAAAH/j+y8=")</f>
        <v>#REF!</v>
      </c>
      <c r="AW22" t="e">
        <f>AND('Aggregates Handling'!#REF!,"AAAAAH/j+zA=")</f>
        <v>#REF!</v>
      </c>
      <c r="AX22" t="e">
        <f>AND('Aggregates Handling'!#REF!,"AAAAAH/j+zE=")</f>
        <v>#REF!</v>
      </c>
      <c r="AY22">
        <f>IF('Aggregates Handling'!21:21,"AAAAAH/j+zI=",0)</f>
        <v>0</v>
      </c>
      <c r="AZ22" t="e">
        <f>AND('Aggregates Handling'!A21,"AAAAAH/j+zM=")</f>
        <v>#VALUE!</v>
      </c>
      <c r="BA22" t="e">
        <f>AND('Aggregates Handling'!B21,"AAAAAH/j+zQ=")</f>
        <v>#VALUE!</v>
      </c>
      <c r="BB22" t="e">
        <f>AND('Aggregates Handling'!C21,"AAAAAH/j+zU=")</f>
        <v>#VALUE!</v>
      </c>
      <c r="BC22" t="e">
        <f>AND('Aggregates Handling'!D21,"AAAAAH/j+zY=")</f>
        <v>#VALUE!</v>
      </c>
      <c r="BD22" t="e">
        <f>AND('Aggregates Handling'!E21,"AAAAAH/j+zc=")</f>
        <v>#VALUE!</v>
      </c>
      <c r="BE22" t="e">
        <f>AND('Aggregates Handling'!F21,"AAAAAH/j+zg=")</f>
        <v>#VALUE!</v>
      </c>
      <c r="BF22" t="e">
        <f>AND('Aggregates Handling'!G21,"AAAAAH/j+zk=")</f>
        <v>#VALUE!</v>
      </c>
      <c r="BG22" t="e">
        <f>AND('Aggregates Handling'!H21,"AAAAAH/j+zo=")</f>
        <v>#VALUE!</v>
      </c>
      <c r="BH22" t="e">
        <f>AND('Aggregates Handling'!I21,"AAAAAH/j+zs=")</f>
        <v>#VALUE!</v>
      </c>
      <c r="BI22" t="e">
        <f>AND('Aggregates Handling'!J21,"AAAAAH/j+zw=")</f>
        <v>#VALUE!</v>
      </c>
      <c r="BJ22" t="e">
        <f>AND('Aggregates Handling'!K21,"AAAAAH/j+z0=")</f>
        <v>#VALUE!</v>
      </c>
      <c r="BK22" t="e">
        <f>AND('Aggregates Handling'!L21,"AAAAAH/j+z4=")</f>
        <v>#VALUE!</v>
      </c>
      <c r="BL22" t="e">
        <f>AND('Aggregates Handling'!M21,"AAAAAH/j+z8=")</f>
        <v>#VALUE!</v>
      </c>
      <c r="BM22" t="e">
        <f>AND('Aggregates Handling'!N21,"AAAAAH/j+0A=")</f>
        <v>#VALUE!</v>
      </c>
      <c r="BN22" t="e">
        <f>AND('Aggregates Handling'!O21,"AAAAAH/j+0E=")</f>
        <v>#VALUE!</v>
      </c>
      <c r="BO22" t="e">
        <f>AND('Aggregates Handling'!P21,"AAAAAH/j+0I=")</f>
        <v>#VALUE!</v>
      </c>
      <c r="BP22" t="e">
        <f>AND('Aggregates Handling'!Q21,"AAAAAH/j+0M=")</f>
        <v>#VALUE!</v>
      </c>
      <c r="BQ22" t="e">
        <f>AND('Aggregates Handling'!R21,"AAAAAH/j+0Q=")</f>
        <v>#VALUE!</v>
      </c>
      <c r="BR22" t="e">
        <f>AND('Aggregates Handling'!S21,"AAAAAH/j+0U=")</f>
        <v>#VALUE!</v>
      </c>
      <c r="BS22" t="e">
        <f>AND('Aggregates Handling'!T21,"AAAAAH/j+0Y=")</f>
        <v>#VALUE!</v>
      </c>
      <c r="BT22">
        <f>IF('Aggregates Handling'!22:22,"AAAAAH/j+0c=",0)</f>
        <v>0</v>
      </c>
      <c r="BU22" t="e">
        <f>AND('Aggregates Handling'!A22,"AAAAAH/j+0g=")</f>
        <v>#VALUE!</v>
      </c>
      <c r="BV22" t="e">
        <f>AND('Aggregates Handling'!D22,"AAAAAH/j+0k=")</f>
        <v>#VALUE!</v>
      </c>
      <c r="BW22" t="e">
        <f>AND('Aggregates Handling'!#REF!,"AAAAAH/j+0o=")</f>
        <v>#REF!</v>
      </c>
      <c r="BX22" t="e">
        <f>AND('Aggregates Handling'!#REF!,"AAAAAH/j+0s=")</f>
        <v>#REF!</v>
      </c>
      <c r="BY22" t="e">
        <f>AND('Aggregates Handling'!#REF!,"AAAAAH/j+0w=")</f>
        <v>#REF!</v>
      </c>
      <c r="BZ22" t="e">
        <f>AND('Aggregates Handling'!#REF!,"AAAAAH/j+00=")</f>
        <v>#REF!</v>
      </c>
      <c r="CA22" t="e">
        <f>AND('Aggregates Handling'!#REF!,"AAAAAH/j+04=")</f>
        <v>#REF!</v>
      </c>
      <c r="CB22" t="e">
        <f>AND('Aggregates Handling'!#REF!,"AAAAAH/j+08=")</f>
        <v>#REF!</v>
      </c>
      <c r="CC22" t="e">
        <f>AND('Aggregates Handling'!#REF!,"AAAAAH/j+1A=")</f>
        <v>#REF!</v>
      </c>
      <c r="CD22" t="e">
        <f>AND('Aggregates Handling'!#REF!,"AAAAAH/j+1E=")</f>
        <v>#REF!</v>
      </c>
      <c r="CE22" t="e">
        <f>AND('Aggregates Handling'!#REF!,"AAAAAH/j+1I=")</f>
        <v>#REF!</v>
      </c>
      <c r="CF22" t="e">
        <f>AND('Aggregates Handling'!E22,"AAAAAH/j+1M=")</f>
        <v>#VALUE!</v>
      </c>
      <c r="CG22" t="e">
        <f>AND('Aggregates Handling'!F22,"AAAAAH/j+1Q=")</f>
        <v>#VALUE!</v>
      </c>
      <c r="CH22" t="e">
        <f>AND('Aggregates Handling'!G22,"AAAAAH/j+1U=")</f>
        <v>#VALUE!</v>
      </c>
      <c r="CI22" t="e">
        <f>AND('Aggregates Handling'!H22,"AAAAAH/j+1Y=")</f>
        <v>#VALUE!</v>
      </c>
      <c r="CJ22" t="e">
        <f>AND('Aggregates Handling'!I22,"AAAAAH/j+1c=")</f>
        <v>#VALUE!</v>
      </c>
      <c r="CK22" t="e">
        <f>AND('Aggregates Handling'!J22,"AAAAAH/j+1g=")</f>
        <v>#VALUE!</v>
      </c>
      <c r="CL22" t="e">
        <f>AND('Aggregates Handling'!K22,"AAAAAH/j+1k=")</f>
        <v>#VALUE!</v>
      </c>
      <c r="CM22" t="e">
        <f>AND('Aggregates Handling'!L22,"AAAAAH/j+1o=")</f>
        <v>#VALUE!</v>
      </c>
      <c r="CN22" t="e">
        <f>AND('Aggregates Handling'!M22,"AAAAAH/j+1s=")</f>
        <v>#VALUE!</v>
      </c>
      <c r="CO22">
        <f>IF('Aggregates Handling'!23:23,"AAAAAH/j+1w=",0)</f>
        <v>0</v>
      </c>
      <c r="CP22" t="e">
        <f>AND('Aggregates Handling'!A23,"AAAAAH/j+10=")</f>
        <v>#VALUE!</v>
      </c>
      <c r="CQ22" t="e">
        <f>AND('Aggregates Handling'!D23,"AAAAAH/j+14=")</f>
        <v>#VALUE!</v>
      </c>
      <c r="CR22" t="e">
        <f>AND('Aggregates Handling'!#REF!,"AAAAAH/j+18=")</f>
        <v>#REF!</v>
      </c>
      <c r="CS22" t="e">
        <f>AND('Aggregates Handling'!#REF!,"AAAAAH/j+2A=")</f>
        <v>#REF!</v>
      </c>
      <c r="CT22" t="e">
        <f>AND('Aggregates Handling'!#REF!,"AAAAAH/j+2E=")</f>
        <v>#REF!</v>
      </c>
      <c r="CU22" t="e">
        <f>AND('Aggregates Handling'!#REF!,"AAAAAH/j+2I=")</f>
        <v>#REF!</v>
      </c>
      <c r="CV22" t="e">
        <f>AND('Aggregates Handling'!#REF!,"AAAAAH/j+2M=")</f>
        <v>#REF!</v>
      </c>
      <c r="CW22" t="e">
        <f>AND('Aggregates Handling'!#REF!,"AAAAAH/j+2Q=")</f>
        <v>#REF!</v>
      </c>
      <c r="CX22" t="e">
        <f>AND('Aggregates Handling'!#REF!,"AAAAAH/j+2U=")</f>
        <v>#REF!</v>
      </c>
      <c r="CY22" t="e">
        <f>AND('Aggregates Handling'!#REF!,"AAAAAH/j+2Y=")</f>
        <v>#REF!</v>
      </c>
      <c r="CZ22" t="e">
        <f>AND('Aggregates Handling'!#REF!,"AAAAAH/j+2c=")</f>
        <v>#REF!</v>
      </c>
      <c r="DA22" t="e">
        <f>AND('Aggregates Handling'!E23,"AAAAAH/j+2g=")</f>
        <v>#VALUE!</v>
      </c>
      <c r="DB22" t="e">
        <f>AND('Aggregates Handling'!F23,"AAAAAH/j+2k=")</f>
        <v>#VALUE!</v>
      </c>
      <c r="DC22" t="e">
        <f>AND('Aggregates Handling'!G23,"AAAAAH/j+2o=")</f>
        <v>#VALUE!</v>
      </c>
      <c r="DD22" t="e">
        <f>AND('Aggregates Handling'!H23,"AAAAAH/j+2s=")</f>
        <v>#VALUE!</v>
      </c>
      <c r="DE22" t="e">
        <f>AND('Aggregates Handling'!I23,"AAAAAH/j+2w=")</f>
        <v>#VALUE!</v>
      </c>
      <c r="DF22" t="e">
        <f>AND('Aggregates Handling'!J23,"AAAAAH/j+20=")</f>
        <v>#VALUE!</v>
      </c>
      <c r="DG22" t="e">
        <f>AND('Aggregates Handling'!K23,"AAAAAH/j+24=")</f>
        <v>#VALUE!</v>
      </c>
      <c r="DH22" t="e">
        <f>AND('Aggregates Handling'!L23,"AAAAAH/j+28=")</f>
        <v>#VALUE!</v>
      </c>
      <c r="DI22" t="e">
        <f>AND('Aggregates Handling'!M23,"AAAAAH/j+3A=")</f>
        <v>#VALUE!</v>
      </c>
      <c r="DJ22">
        <f>IF('Aggregates Handling'!24:24,"AAAAAH/j+3E=",0)</f>
        <v>0</v>
      </c>
      <c r="DK22" t="e">
        <f>AND('Aggregates Handling'!A24,"AAAAAH/j+3I=")</f>
        <v>#VALUE!</v>
      </c>
      <c r="DL22" t="e">
        <f>AND('Aggregates Handling'!D24,"AAAAAH/j+3M=")</f>
        <v>#VALUE!</v>
      </c>
      <c r="DM22" t="e">
        <f>AND('Aggregates Handling'!#REF!,"AAAAAH/j+3Q=")</f>
        <v>#REF!</v>
      </c>
      <c r="DN22" t="e">
        <f>AND('Aggregates Handling'!#REF!,"AAAAAH/j+3U=")</f>
        <v>#REF!</v>
      </c>
      <c r="DO22" t="e">
        <f>AND('Aggregates Handling'!#REF!,"AAAAAH/j+3Y=")</f>
        <v>#REF!</v>
      </c>
      <c r="DP22" t="e">
        <f>AND('Aggregates Handling'!#REF!,"AAAAAH/j+3c=")</f>
        <v>#REF!</v>
      </c>
      <c r="DQ22" t="e">
        <f>AND('Aggregates Handling'!#REF!,"AAAAAH/j+3g=")</f>
        <v>#REF!</v>
      </c>
      <c r="DR22" t="e">
        <f>AND('Aggregates Handling'!#REF!,"AAAAAH/j+3k=")</f>
        <v>#REF!</v>
      </c>
      <c r="DS22" t="e">
        <f>AND('Aggregates Handling'!#REF!,"AAAAAH/j+3o=")</f>
        <v>#REF!</v>
      </c>
      <c r="DT22" t="e">
        <f>AND('Aggregates Handling'!#REF!,"AAAAAH/j+3s=")</f>
        <v>#REF!</v>
      </c>
      <c r="DU22" t="e">
        <f>AND('Aggregates Handling'!#REF!,"AAAAAH/j+3w=")</f>
        <v>#REF!</v>
      </c>
      <c r="DV22" t="e">
        <f>AND('Aggregates Handling'!E24,"AAAAAH/j+30=")</f>
        <v>#VALUE!</v>
      </c>
      <c r="DW22" t="e">
        <f>AND('Aggregates Handling'!F24,"AAAAAH/j+34=")</f>
        <v>#VALUE!</v>
      </c>
      <c r="DX22" t="e">
        <f>AND('Aggregates Handling'!G24,"AAAAAH/j+38=")</f>
        <v>#VALUE!</v>
      </c>
      <c r="DY22" t="e">
        <f>AND('Aggregates Handling'!H24,"AAAAAH/j+4A=")</f>
        <v>#VALUE!</v>
      </c>
      <c r="DZ22" t="e">
        <f>AND('Aggregates Handling'!I24,"AAAAAH/j+4E=")</f>
        <v>#VALUE!</v>
      </c>
      <c r="EA22" t="e">
        <f>AND('Aggregates Handling'!J24,"AAAAAH/j+4I=")</f>
        <v>#VALUE!</v>
      </c>
      <c r="EB22" t="e">
        <f>AND('Aggregates Handling'!K24,"AAAAAH/j+4M=")</f>
        <v>#VALUE!</v>
      </c>
      <c r="EC22" t="e">
        <f>AND('Aggregates Handling'!L24,"AAAAAH/j+4Q=")</f>
        <v>#VALUE!</v>
      </c>
      <c r="ED22" t="e">
        <f>AND('Aggregates Handling'!M24,"AAAAAH/j+4U=")</f>
        <v>#VALUE!</v>
      </c>
      <c r="EE22">
        <f>IF('Aggregates Handling'!25:25,"AAAAAH/j+4Y=",0)</f>
        <v>0</v>
      </c>
      <c r="EF22" t="e">
        <f>AND('Aggregates Handling'!A25,"AAAAAH/j+4c=")</f>
        <v>#VALUE!</v>
      </c>
      <c r="EG22" t="e">
        <f>AND('Aggregates Handling'!D25,"AAAAAH/j+4g=")</f>
        <v>#VALUE!</v>
      </c>
      <c r="EH22" t="e">
        <f>AND('Aggregates Handling'!#REF!,"AAAAAH/j+4k=")</f>
        <v>#REF!</v>
      </c>
      <c r="EI22" t="e">
        <f>AND('Aggregates Handling'!#REF!,"AAAAAH/j+4o=")</f>
        <v>#REF!</v>
      </c>
      <c r="EJ22" t="e">
        <f>AND('Aggregates Handling'!#REF!,"AAAAAH/j+4s=")</f>
        <v>#REF!</v>
      </c>
      <c r="EK22" t="e">
        <f>AND('Aggregates Handling'!#REF!,"AAAAAH/j+4w=")</f>
        <v>#REF!</v>
      </c>
      <c r="EL22" t="e">
        <f>AND('Aggregates Handling'!#REF!,"AAAAAH/j+40=")</f>
        <v>#REF!</v>
      </c>
      <c r="EM22" t="e">
        <f>AND('Aggregates Handling'!#REF!,"AAAAAH/j+44=")</f>
        <v>#REF!</v>
      </c>
      <c r="EN22" t="e">
        <f>AND('Aggregates Handling'!#REF!,"AAAAAH/j+48=")</f>
        <v>#REF!</v>
      </c>
      <c r="EO22" t="e">
        <f>AND('Aggregates Handling'!#REF!,"AAAAAH/j+5A=")</f>
        <v>#REF!</v>
      </c>
      <c r="EP22" t="e">
        <f>AND('Aggregates Handling'!#REF!,"AAAAAH/j+5E=")</f>
        <v>#REF!</v>
      </c>
      <c r="EQ22" t="e">
        <f>AND('Aggregates Handling'!E25,"AAAAAH/j+5I=")</f>
        <v>#VALUE!</v>
      </c>
      <c r="ER22" t="e">
        <f>AND('Aggregates Handling'!F25,"AAAAAH/j+5M=")</f>
        <v>#VALUE!</v>
      </c>
      <c r="ES22" t="e">
        <f>AND('Aggregates Handling'!G25,"AAAAAH/j+5Q=")</f>
        <v>#VALUE!</v>
      </c>
      <c r="ET22" t="e">
        <f>AND('Aggregates Handling'!H25,"AAAAAH/j+5U=")</f>
        <v>#VALUE!</v>
      </c>
      <c r="EU22" t="e">
        <f>AND('Aggregates Handling'!I25,"AAAAAH/j+5Y=")</f>
        <v>#VALUE!</v>
      </c>
      <c r="EV22" t="e">
        <f>AND('Aggregates Handling'!J25,"AAAAAH/j+5c=")</f>
        <v>#VALUE!</v>
      </c>
      <c r="EW22" t="e">
        <f>AND('Aggregates Handling'!K25,"AAAAAH/j+5g=")</f>
        <v>#VALUE!</v>
      </c>
      <c r="EX22" t="e">
        <f>AND('Aggregates Handling'!L25,"AAAAAH/j+5k=")</f>
        <v>#VALUE!</v>
      </c>
      <c r="EY22" t="e">
        <f>AND('Aggregates Handling'!M25,"AAAAAH/j+5o=")</f>
        <v>#VALUE!</v>
      </c>
      <c r="EZ22">
        <f>IF('Aggregates Handling'!26:26,"AAAAAH/j+5s=",0)</f>
        <v>0</v>
      </c>
      <c r="FA22" t="e">
        <f>AND('Aggregates Handling'!A26,"AAAAAH/j+5w=")</f>
        <v>#VALUE!</v>
      </c>
      <c r="FB22" t="e">
        <f>AND('Aggregates Handling'!D26,"AAAAAH/j+50=")</f>
        <v>#VALUE!</v>
      </c>
      <c r="FC22" t="e">
        <f>AND('Aggregates Handling'!#REF!,"AAAAAH/j+54=")</f>
        <v>#REF!</v>
      </c>
      <c r="FD22" t="e">
        <f>AND('Aggregates Handling'!#REF!,"AAAAAH/j+58=")</f>
        <v>#REF!</v>
      </c>
      <c r="FE22" t="e">
        <f>AND('Aggregates Handling'!#REF!,"AAAAAH/j+6A=")</f>
        <v>#REF!</v>
      </c>
      <c r="FF22" t="e">
        <f>AND('Aggregates Handling'!#REF!,"AAAAAH/j+6E=")</f>
        <v>#REF!</v>
      </c>
      <c r="FG22" t="e">
        <f>AND('Aggregates Handling'!#REF!,"AAAAAH/j+6I=")</f>
        <v>#REF!</v>
      </c>
      <c r="FH22" t="e">
        <f>AND('Aggregates Handling'!#REF!,"AAAAAH/j+6M=")</f>
        <v>#REF!</v>
      </c>
      <c r="FI22" t="e">
        <f>AND('Aggregates Handling'!#REF!,"AAAAAH/j+6Q=")</f>
        <v>#REF!</v>
      </c>
      <c r="FJ22" t="e">
        <f>AND('Aggregates Handling'!#REF!,"AAAAAH/j+6U=")</f>
        <v>#REF!</v>
      </c>
      <c r="FK22" t="e">
        <f>AND('Aggregates Handling'!#REF!,"AAAAAH/j+6Y=")</f>
        <v>#REF!</v>
      </c>
      <c r="FL22" t="e">
        <f>AND('Aggregates Handling'!E26,"AAAAAH/j+6c=")</f>
        <v>#VALUE!</v>
      </c>
      <c r="FM22" t="e">
        <f>AND('Aggregates Handling'!F26,"AAAAAH/j+6g=")</f>
        <v>#VALUE!</v>
      </c>
      <c r="FN22" t="e">
        <f>AND('Aggregates Handling'!G26,"AAAAAH/j+6k=")</f>
        <v>#VALUE!</v>
      </c>
      <c r="FO22" t="e">
        <f>AND('Aggregates Handling'!H26,"AAAAAH/j+6o=")</f>
        <v>#VALUE!</v>
      </c>
      <c r="FP22" t="e">
        <f>AND('Aggregates Handling'!I26,"AAAAAH/j+6s=")</f>
        <v>#VALUE!</v>
      </c>
      <c r="FQ22" t="e">
        <f>AND('Aggregates Handling'!J26,"AAAAAH/j+6w=")</f>
        <v>#VALUE!</v>
      </c>
      <c r="FR22" t="e">
        <f>AND('Aggregates Handling'!K26,"AAAAAH/j+60=")</f>
        <v>#VALUE!</v>
      </c>
      <c r="FS22" t="e">
        <f>AND('Aggregates Handling'!L26,"AAAAAH/j+64=")</f>
        <v>#VALUE!</v>
      </c>
      <c r="FT22" t="e">
        <f>AND('Aggregates Handling'!M26,"AAAAAH/j+68=")</f>
        <v>#VALUE!</v>
      </c>
      <c r="FU22">
        <f>IF('Aggregates Handling'!27:27,"AAAAAH/j+7A=",0)</f>
        <v>0</v>
      </c>
      <c r="FV22" t="e">
        <f>AND('Aggregates Handling'!A27,"AAAAAH/j+7E=")</f>
        <v>#VALUE!</v>
      </c>
      <c r="FW22" t="e">
        <f>AND('Aggregates Handling'!D27,"AAAAAH/j+7I=")</f>
        <v>#VALUE!</v>
      </c>
      <c r="FX22" t="e">
        <f>AND('Aggregates Handling'!#REF!,"AAAAAH/j+7M=")</f>
        <v>#REF!</v>
      </c>
      <c r="FY22" t="e">
        <f>AND('Aggregates Handling'!#REF!,"AAAAAH/j+7Q=")</f>
        <v>#REF!</v>
      </c>
      <c r="FZ22" t="e">
        <f>AND('Aggregates Handling'!#REF!,"AAAAAH/j+7U=")</f>
        <v>#REF!</v>
      </c>
      <c r="GA22" t="e">
        <f>AND('Aggregates Handling'!#REF!,"AAAAAH/j+7Y=")</f>
        <v>#REF!</v>
      </c>
      <c r="GB22" t="e">
        <f>AND('Aggregates Handling'!#REF!,"AAAAAH/j+7c=")</f>
        <v>#REF!</v>
      </c>
      <c r="GC22" t="e">
        <f>AND('Aggregates Handling'!#REF!,"AAAAAH/j+7g=")</f>
        <v>#REF!</v>
      </c>
      <c r="GD22" t="e">
        <f>AND('Aggregates Handling'!#REF!,"AAAAAH/j+7k=")</f>
        <v>#REF!</v>
      </c>
      <c r="GE22" t="e">
        <f>AND('Aggregates Handling'!#REF!,"AAAAAH/j+7o=")</f>
        <v>#REF!</v>
      </c>
      <c r="GF22" t="e">
        <f>AND('Aggregates Handling'!#REF!,"AAAAAH/j+7s=")</f>
        <v>#REF!</v>
      </c>
      <c r="GG22" t="e">
        <f>AND('Aggregates Handling'!E27,"AAAAAH/j+7w=")</f>
        <v>#VALUE!</v>
      </c>
      <c r="GH22" t="e">
        <f>AND('Aggregates Handling'!F27,"AAAAAH/j+70=")</f>
        <v>#VALUE!</v>
      </c>
      <c r="GI22" t="e">
        <f>AND('Aggregates Handling'!G27,"AAAAAH/j+74=")</f>
        <v>#VALUE!</v>
      </c>
      <c r="GJ22" t="e">
        <f>AND('Aggregates Handling'!H27,"AAAAAH/j+78=")</f>
        <v>#VALUE!</v>
      </c>
      <c r="GK22" t="e">
        <f>AND('Aggregates Handling'!I27,"AAAAAH/j+8A=")</f>
        <v>#VALUE!</v>
      </c>
      <c r="GL22" t="e">
        <f>AND('Aggregates Handling'!J27,"AAAAAH/j+8E=")</f>
        <v>#VALUE!</v>
      </c>
      <c r="GM22" t="e">
        <f>AND('Aggregates Handling'!K27,"AAAAAH/j+8I=")</f>
        <v>#VALUE!</v>
      </c>
      <c r="GN22" t="e">
        <f>AND('Aggregates Handling'!L27,"AAAAAH/j+8M=")</f>
        <v>#VALUE!</v>
      </c>
      <c r="GO22" t="e">
        <f>AND('Aggregates Handling'!M27,"AAAAAH/j+8Q=")</f>
        <v>#VALUE!</v>
      </c>
      <c r="GP22" t="e">
        <f>IF('Aggregates Handling'!#REF!,"AAAAAH/j+8U=",0)</f>
        <v>#REF!</v>
      </c>
      <c r="GQ22" t="e">
        <f>AND('Aggregates Handling'!#REF!,"AAAAAH/j+8Y=")</f>
        <v>#REF!</v>
      </c>
      <c r="GR22" t="e">
        <f>AND('Aggregates Handling'!#REF!,"AAAAAH/j+8c=")</f>
        <v>#REF!</v>
      </c>
      <c r="GS22" t="e">
        <f>AND('Aggregates Handling'!#REF!,"AAAAAH/j+8g=")</f>
        <v>#REF!</v>
      </c>
      <c r="GT22" t="e">
        <f>AND('Aggregates Handling'!#REF!,"AAAAAH/j+8k=")</f>
        <v>#REF!</v>
      </c>
      <c r="GU22" t="e">
        <f>AND('Aggregates Handling'!#REF!,"AAAAAH/j+8o=")</f>
        <v>#REF!</v>
      </c>
      <c r="GV22" t="e">
        <f>AND('Aggregates Handling'!#REF!,"AAAAAH/j+8s=")</f>
        <v>#REF!</v>
      </c>
      <c r="GW22" t="e">
        <f>AND('Aggregates Handling'!#REF!,"AAAAAH/j+8w=")</f>
        <v>#REF!</v>
      </c>
      <c r="GX22" t="e">
        <f>AND('Aggregates Handling'!#REF!,"AAAAAH/j+80=")</f>
        <v>#REF!</v>
      </c>
      <c r="GY22" t="e">
        <f>AND('Aggregates Handling'!#REF!,"AAAAAH/j+84=")</f>
        <v>#REF!</v>
      </c>
      <c r="GZ22" t="e">
        <f>AND('Aggregates Handling'!#REF!,"AAAAAH/j+88=")</f>
        <v>#REF!</v>
      </c>
      <c r="HA22" t="e">
        <f>AND('Aggregates Handling'!#REF!,"AAAAAH/j+9A=")</f>
        <v>#REF!</v>
      </c>
      <c r="HB22" t="e">
        <f>AND('Aggregates Handling'!#REF!,"AAAAAH/j+9E=")</f>
        <v>#REF!</v>
      </c>
      <c r="HC22" t="e">
        <f>AND('Aggregates Handling'!#REF!,"AAAAAH/j+9I=")</f>
        <v>#REF!</v>
      </c>
      <c r="HD22" t="e">
        <f>AND('Aggregates Handling'!#REF!,"AAAAAH/j+9M=")</f>
        <v>#REF!</v>
      </c>
      <c r="HE22" t="e">
        <f>AND('Aggregates Handling'!#REF!,"AAAAAH/j+9Q=")</f>
        <v>#REF!</v>
      </c>
      <c r="HF22" t="e">
        <f>AND('Aggregates Handling'!#REF!,"AAAAAH/j+9U=")</f>
        <v>#REF!</v>
      </c>
      <c r="HG22" t="e">
        <f>AND('Aggregates Handling'!#REF!,"AAAAAH/j+9Y=")</f>
        <v>#REF!</v>
      </c>
      <c r="HH22" t="e">
        <f>AND('Aggregates Handling'!#REF!,"AAAAAH/j+9c=")</f>
        <v>#REF!</v>
      </c>
      <c r="HI22" t="e">
        <f>AND('Aggregates Handling'!#REF!,"AAAAAH/j+9g=")</f>
        <v>#REF!</v>
      </c>
      <c r="HJ22" t="e">
        <f>AND('Aggregates Handling'!#REF!,"AAAAAH/j+9k=")</f>
        <v>#REF!</v>
      </c>
      <c r="HK22">
        <f>IF('Aggregates Handling'!28:28,"AAAAAH/j+9o=",0)</f>
        <v>0</v>
      </c>
      <c r="HL22" t="e">
        <f>AND('Aggregates Handling'!A28,"AAAAAH/j+9s=")</f>
        <v>#VALUE!</v>
      </c>
      <c r="HM22" t="e">
        <f>AND('Aggregates Handling'!B28,"AAAAAH/j+9w=")</f>
        <v>#VALUE!</v>
      </c>
      <c r="HN22" t="e">
        <f>AND('Aggregates Handling'!#REF!,"AAAAAH/j+90=")</f>
        <v>#REF!</v>
      </c>
      <c r="HO22" t="e">
        <f>AND('Aggregates Handling'!#REF!,"AAAAAH/j+94=")</f>
        <v>#REF!</v>
      </c>
      <c r="HP22" t="e">
        <f>AND('Aggregates Handling'!#REF!,"AAAAAH/j+98=")</f>
        <v>#REF!</v>
      </c>
      <c r="HQ22" t="e">
        <f>AND('Aggregates Handling'!#REF!,"AAAAAH/j++A=")</f>
        <v>#REF!</v>
      </c>
      <c r="HR22" t="e">
        <f>AND('Aggregates Handling'!#REF!,"AAAAAH/j++E=")</f>
        <v>#REF!</v>
      </c>
      <c r="HS22" t="e">
        <f>AND('Aggregates Handling'!#REF!,"AAAAAH/j++I=")</f>
        <v>#REF!</v>
      </c>
      <c r="HT22" t="e">
        <f>AND('Aggregates Handling'!#REF!,"AAAAAH/j++M=")</f>
        <v>#REF!</v>
      </c>
      <c r="HU22" t="e">
        <f>AND('Aggregates Handling'!#REF!,"AAAAAH/j++Q=")</f>
        <v>#REF!</v>
      </c>
      <c r="HV22" t="e">
        <f>AND('Aggregates Handling'!#REF!,"AAAAAH/j++U=")</f>
        <v>#REF!</v>
      </c>
      <c r="HW22" t="e">
        <f>AND('Aggregates Handling'!C28,"AAAAAH/j++Y=")</f>
        <v>#VALUE!</v>
      </c>
      <c r="HX22" t="e">
        <f>AND('Aggregates Handling'!D28,"AAAAAH/j++c=")</f>
        <v>#VALUE!</v>
      </c>
      <c r="HY22" t="e">
        <f>AND('Aggregates Handling'!E28,"AAAAAH/j++g=")</f>
        <v>#VALUE!</v>
      </c>
      <c r="HZ22" t="e">
        <f>AND('Aggregates Handling'!F28,"AAAAAH/j++k=")</f>
        <v>#VALUE!</v>
      </c>
      <c r="IA22" t="e">
        <f>AND('Aggregates Handling'!G28,"AAAAAH/j++o=")</f>
        <v>#VALUE!</v>
      </c>
      <c r="IB22" t="e">
        <f>AND('Aggregates Handling'!H28,"AAAAAH/j++s=")</f>
        <v>#VALUE!</v>
      </c>
      <c r="IC22" t="e">
        <f>AND('Aggregates Handling'!I28,"AAAAAH/j++w=")</f>
        <v>#VALUE!</v>
      </c>
      <c r="ID22" t="e">
        <f>AND('Aggregates Handling'!J28,"AAAAAH/j++0=")</f>
        <v>#VALUE!</v>
      </c>
      <c r="IE22" t="e">
        <f>AND('Aggregates Handling'!K28,"AAAAAH/j++4=")</f>
        <v>#VALUE!</v>
      </c>
      <c r="IF22" t="e">
        <f>IF('Aggregates Handling'!#REF!,"AAAAAH/j++8=",0)</f>
        <v>#REF!</v>
      </c>
      <c r="IG22" t="e">
        <f>AND('Aggregates Handling'!#REF!,"AAAAAH/j+/A=")</f>
        <v>#REF!</v>
      </c>
      <c r="IH22" t="e">
        <f>AND('Aggregates Handling'!#REF!,"AAAAAH/j+/E=")</f>
        <v>#REF!</v>
      </c>
      <c r="II22" t="e">
        <f>AND('Aggregates Handling'!#REF!,"AAAAAH/j+/I=")</f>
        <v>#REF!</v>
      </c>
      <c r="IJ22" t="e">
        <f>AND('Aggregates Handling'!#REF!,"AAAAAH/j+/M=")</f>
        <v>#REF!</v>
      </c>
      <c r="IK22" t="e">
        <f>AND('Aggregates Handling'!#REF!,"AAAAAH/j+/Q=")</f>
        <v>#REF!</v>
      </c>
      <c r="IL22" t="e">
        <f>AND('Aggregates Handling'!#REF!,"AAAAAH/j+/U=")</f>
        <v>#REF!</v>
      </c>
      <c r="IM22" t="e">
        <f>AND('Aggregates Handling'!#REF!,"AAAAAH/j+/Y=")</f>
        <v>#REF!</v>
      </c>
      <c r="IN22" t="e">
        <f>AND('Aggregates Handling'!#REF!,"AAAAAH/j+/c=")</f>
        <v>#REF!</v>
      </c>
      <c r="IO22" t="e">
        <f>AND('Aggregates Handling'!#REF!,"AAAAAH/j+/g=")</f>
        <v>#REF!</v>
      </c>
      <c r="IP22" t="e">
        <f>AND('Aggregates Handling'!#REF!,"AAAAAH/j+/k=")</f>
        <v>#REF!</v>
      </c>
      <c r="IQ22" t="e">
        <f>AND('Aggregates Handling'!#REF!,"AAAAAH/j+/o=")</f>
        <v>#REF!</v>
      </c>
      <c r="IR22" t="e">
        <f>AND('Aggregates Handling'!#REF!,"AAAAAH/j+/s=")</f>
        <v>#REF!</v>
      </c>
      <c r="IS22" t="e">
        <f>AND('Aggregates Handling'!#REF!,"AAAAAH/j+/w=")</f>
        <v>#REF!</v>
      </c>
      <c r="IT22" t="e">
        <f>AND('Aggregates Handling'!#REF!,"AAAAAH/j+/0=")</f>
        <v>#REF!</v>
      </c>
      <c r="IU22" t="e">
        <f>AND('Aggregates Handling'!#REF!,"AAAAAH/j+/4=")</f>
        <v>#REF!</v>
      </c>
      <c r="IV22" t="e">
        <f>AND('Aggregates Handling'!#REF!,"AAAAAH/j+/8=")</f>
        <v>#REF!</v>
      </c>
    </row>
    <row r="23" spans="1:256">
      <c r="A23" t="e">
        <f>AND('Aggregates Handling'!#REF!,"AAAAAH/v5wA=")</f>
        <v>#REF!</v>
      </c>
      <c r="B23" t="e">
        <f>AND('Aggregates Handling'!#REF!,"AAAAAH/v5wE=")</f>
        <v>#REF!</v>
      </c>
      <c r="C23" t="e">
        <f>AND('Aggregates Handling'!#REF!,"AAAAAH/v5wI=")</f>
        <v>#REF!</v>
      </c>
      <c r="D23" t="e">
        <f>AND('Aggregates Handling'!#REF!,"AAAAAH/v5wM=")</f>
        <v>#REF!</v>
      </c>
      <c r="E23" t="e">
        <f>IF('Aggregates Handling'!#REF!,"AAAAAH/v5wQ=",0)</f>
        <v>#REF!</v>
      </c>
      <c r="F23" t="e">
        <f>AND('Aggregates Handling'!#REF!,"AAAAAH/v5wU=")</f>
        <v>#REF!</v>
      </c>
      <c r="G23" t="e">
        <f>AND('Aggregates Handling'!#REF!,"AAAAAH/v5wY=")</f>
        <v>#REF!</v>
      </c>
      <c r="H23" t="e">
        <f>AND('Aggregates Handling'!#REF!,"AAAAAH/v5wc=")</f>
        <v>#REF!</v>
      </c>
      <c r="I23" t="e">
        <f>AND('Aggregates Handling'!#REF!,"AAAAAH/v5wg=")</f>
        <v>#REF!</v>
      </c>
      <c r="J23" t="e">
        <f>AND('Aggregates Handling'!#REF!,"AAAAAH/v5wk=")</f>
        <v>#REF!</v>
      </c>
      <c r="K23" t="e">
        <f>AND('Aggregates Handling'!#REF!,"AAAAAH/v5wo=")</f>
        <v>#REF!</v>
      </c>
      <c r="L23" t="e">
        <f>AND('Aggregates Handling'!#REF!,"AAAAAH/v5ws=")</f>
        <v>#REF!</v>
      </c>
      <c r="M23" t="e">
        <f>AND('Aggregates Handling'!#REF!,"AAAAAH/v5ww=")</f>
        <v>#REF!</v>
      </c>
      <c r="N23" t="e">
        <f>AND('Aggregates Handling'!#REF!,"AAAAAH/v5w0=")</f>
        <v>#REF!</v>
      </c>
      <c r="O23" t="e">
        <f>AND('Aggregates Handling'!#REF!,"AAAAAH/v5w4=")</f>
        <v>#REF!</v>
      </c>
      <c r="P23" t="e">
        <f>AND('Aggregates Handling'!#REF!,"AAAAAH/v5w8=")</f>
        <v>#REF!</v>
      </c>
      <c r="Q23" t="e">
        <f>AND('Aggregates Handling'!#REF!,"AAAAAH/v5xA=")</f>
        <v>#REF!</v>
      </c>
      <c r="R23" t="e">
        <f>AND('Aggregates Handling'!#REF!,"AAAAAH/v5xE=")</f>
        <v>#REF!</v>
      </c>
      <c r="S23" t="e">
        <f>AND('Aggregates Handling'!#REF!,"AAAAAH/v5xI=")</f>
        <v>#REF!</v>
      </c>
      <c r="T23" t="e">
        <f>AND('Aggregates Handling'!#REF!,"AAAAAH/v5xM=")</f>
        <v>#REF!</v>
      </c>
      <c r="U23" t="e">
        <f>AND('Aggregates Handling'!#REF!,"AAAAAH/v5xQ=")</f>
        <v>#REF!</v>
      </c>
      <c r="V23" t="e">
        <f>AND('Aggregates Handling'!#REF!,"AAAAAH/v5xU=")</f>
        <v>#REF!</v>
      </c>
      <c r="W23" t="e">
        <f>AND('Aggregates Handling'!#REF!,"AAAAAH/v5xY=")</f>
        <v>#REF!</v>
      </c>
      <c r="X23" t="e">
        <f>AND('Aggregates Handling'!#REF!,"AAAAAH/v5xc=")</f>
        <v>#REF!</v>
      </c>
      <c r="Y23" t="e">
        <f>AND('Aggregates Handling'!#REF!,"AAAAAH/v5xg=")</f>
        <v>#REF!</v>
      </c>
      <c r="Z23" t="e">
        <f>IF('Aggregates Handling'!#REF!,"AAAAAH/v5xk=",0)</f>
        <v>#REF!</v>
      </c>
      <c r="AA23" t="e">
        <f>AND('Aggregates Handling'!#REF!,"AAAAAH/v5xo=")</f>
        <v>#REF!</v>
      </c>
      <c r="AB23" t="e">
        <f>AND('Aggregates Handling'!#REF!,"AAAAAH/v5xs=")</f>
        <v>#REF!</v>
      </c>
      <c r="AC23" t="e">
        <f>AND('Aggregates Handling'!#REF!,"AAAAAH/v5xw=")</f>
        <v>#REF!</v>
      </c>
      <c r="AD23" t="e">
        <f>AND('Aggregates Handling'!#REF!,"AAAAAH/v5x0=")</f>
        <v>#REF!</v>
      </c>
      <c r="AE23" t="e">
        <f>AND('Aggregates Handling'!#REF!,"AAAAAH/v5x4=")</f>
        <v>#REF!</v>
      </c>
      <c r="AF23" t="e">
        <f>AND('Aggregates Handling'!#REF!,"AAAAAH/v5x8=")</f>
        <v>#REF!</v>
      </c>
      <c r="AG23" t="e">
        <f>AND('Aggregates Handling'!#REF!,"AAAAAH/v5yA=")</f>
        <v>#REF!</v>
      </c>
      <c r="AH23" t="e">
        <f>AND('Aggregates Handling'!#REF!,"AAAAAH/v5yE=")</f>
        <v>#REF!</v>
      </c>
      <c r="AI23" t="e">
        <f>AND('Aggregates Handling'!#REF!,"AAAAAH/v5yI=")</f>
        <v>#REF!</v>
      </c>
      <c r="AJ23" t="e">
        <f>AND('Aggregates Handling'!#REF!,"AAAAAH/v5yM=")</f>
        <v>#REF!</v>
      </c>
      <c r="AK23" t="e">
        <f>AND('Aggregates Handling'!#REF!,"AAAAAH/v5yQ=")</f>
        <v>#REF!</v>
      </c>
      <c r="AL23" t="e">
        <f>AND('Aggregates Handling'!#REF!,"AAAAAH/v5yU=")</f>
        <v>#REF!</v>
      </c>
      <c r="AM23" t="e">
        <f>AND('Aggregates Handling'!#REF!,"AAAAAH/v5yY=")</f>
        <v>#REF!</v>
      </c>
      <c r="AN23" t="e">
        <f>AND('Aggregates Handling'!#REF!,"AAAAAH/v5yc=")</f>
        <v>#REF!</v>
      </c>
      <c r="AO23" t="e">
        <f>AND('Aggregates Handling'!#REF!,"AAAAAH/v5yg=")</f>
        <v>#REF!</v>
      </c>
      <c r="AP23" t="e">
        <f>AND('Aggregates Handling'!#REF!,"AAAAAH/v5yk=")</f>
        <v>#REF!</v>
      </c>
      <c r="AQ23" t="e">
        <f>AND('Aggregates Handling'!#REF!,"AAAAAH/v5yo=")</f>
        <v>#REF!</v>
      </c>
      <c r="AR23" t="e">
        <f>AND('Aggregates Handling'!#REF!,"AAAAAH/v5ys=")</f>
        <v>#REF!</v>
      </c>
      <c r="AS23" t="e">
        <f>AND('Aggregates Handling'!#REF!,"AAAAAH/v5yw=")</f>
        <v>#REF!</v>
      </c>
      <c r="AT23" t="e">
        <f>AND('Aggregates Handling'!#REF!,"AAAAAH/v5y0=")</f>
        <v>#REF!</v>
      </c>
      <c r="AU23" t="e">
        <f>IF('Aggregates Handling'!#REF!,"AAAAAH/v5y4=",0)</f>
        <v>#REF!</v>
      </c>
      <c r="AV23" t="e">
        <f>AND('Aggregates Handling'!#REF!,"AAAAAH/v5y8=")</f>
        <v>#REF!</v>
      </c>
      <c r="AW23" t="e">
        <f>AND('Aggregates Handling'!#REF!,"AAAAAH/v5zA=")</f>
        <v>#REF!</v>
      </c>
      <c r="AX23" t="e">
        <f>AND('Aggregates Handling'!#REF!,"AAAAAH/v5zE=")</f>
        <v>#REF!</v>
      </c>
      <c r="AY23" t="e">
        <f>AND('Aggregates Handling'!#REF!,"AAAAAH/v5zI=")</f>
        <v>#REF!</v>
      </c>
      <c r="AZ23" t="e">
        <f>AND('Aggregates Handling'!#REF!,"AAAAAH/v5zM=")</f>
        <v>#REF!</v>
      </c>
      <c r="BA23" t="e">
        <f>AND('Aggregates Handling'!#REF!,"AAAAAH/v5zQ=")</f>
        <v>#REF!</v>
      </c>
      <c r="BB23" t="e">
        <f>AND('Aggregates Handling'!#REF!,"AAAAAH/v5zU=")</f>
        <v>#REF!</v>
      </c>
      <c r="BC23" t="e">
        <f>AND('Aggregates Handling'!#REF!,"AAAAAH/v5zY=")</f>
        <v>#REF!</v>
      </c>
      <c r="BD23" t="e">
        <f>AND('Aggregates Handling'!#REF!,"AAAAAH/v5zc=")</f>
        <v>#REF!</v>
      </c>
      <c r="BE23" t="e">
        <f>AND('Aggregates Handling'!#REF!,"AAAAAH/v5zg=")</f>
        <v>#REF!</v>
      </c>
      <c r="BF23" t="e">
        <f>AND('Aggregates Handling'!#REF!,"AAAAAH/v5zk=")</f>
        <v>#REF!</v>
      </c>
      <c r="BG23" t="e">
        <f>AND('Aggregates Handling'!#REF!,"AAAAAH/v5zo=")</f>
        <v>#REF!</v>
      </c>
      <c r="BH23" t="e">
        <f>AND('Aggregates Handling'!#REF!,"AAAAAH/v5zs=")</f>
        <v>#REF!</v>
      </c>
      <c r="BI23" t="e">
        <f>AND('Aggregates Handling'!#REF!,"AAAAAH/v5zw=")</f>
        <v>#REF!</v>
      </c>
      <c r="BJ23" t="e">
        <f>AND('Aggregates Handling'!#REF!,"AAAAAH/v5z0=")</f>
        <v>#REF!</v>
      </c>
      <c r="BK23" t="e">
        <f>AND('Aggregates Handling'!#REF!,"AAAAAH/v5z4=")</f>
        <v>#REF!</v>
      </c>
      <c r="BL23" t="e">
        <f>AND('Aggregates Handling'!#REF!,"AAAAAH/v5z8=")</f>
        <v>#REF!</v>
      </c>
      <c r="BM23" t="e">
        <f>AND('Aggregates Handling'!#REF!,"AAAAAH/v50A=")</f>
        <v>#REF!</v>
      </c>
      <c r="BN23" t="e">
        <f>AND('Aggregates Handling'!#REF!,"AAAAAH/v50E=")</f>
        <v>#REF!</v>
      </c>
      <c r="BO23" t="e">
        <f>AND('Aggregates Handling'!#REF!,"AAAAAH/v50I=")</f>
        <v>#REF!</v>
      </c>
      <c r="BP23" t="e">
        <f>IF('Aggregates Handling'!#REF!,"AAAAAH/v50M=",0)</f>
        <v>#REF!</v>
      </c>
      <c r="BQ23" t="e">
        <f>AND('Aggregates Handling'!#REF!,"AAAAAH/v50Q=")</f>
        <v>#REF!</v>
      </c>
      <c r="BR23" t="e">
        <f>AND('Aggregates Handling'!#REF!,"AAAAAH/v50U=")</f>
        <v>#REF!</v>
      </c>
      <c r="BS23" t="e">
        <f>AND('Aggregates Handling'!#REF!,"AAAAAH/v50Y=")</f>
        <v>#REF!</v>
      </c>
      <c r="BT23" t="e">
        <f>AND('Aggregates Handling'!#REF!,"AAAAAH/v50c=")</f>
        <v>#REF!</v>
      </c>
      <c r="BU23" t="e">
        <f>AND('Aggregates Handling'!#REF!,"AAAAAH/v50g=")</f>
        <v>#REF!</v>
      </c>
      <c r="BV23" t="e">
        <f>AND('Aggregates Handling'!#REF!,"AAAAAH/v50k=")</f>
        <v>#REF!</v>
      </c>
      <c r="BW23" t="e">
        <f>AND('Aggregates Handling'!#REF!,"AAAAAH/v50o=")</f>
        <v>#REF!</v>
      </c>
      <c r="BX23" t="e">
        <f>AND('Aggregates Handling'!#REF!,"AAAAAH/v50s=")</f>
        <v>#REF!</v>
      </c>
      <c r="BY23" t="e">
        <f>AND('Aggregates Handling'!#REF!,"AAAAAH/v50w=")</f>
        <v>#REF!</v>
      </c>
      <c r="BZ23" t="e">
        <f>AND('Aggregates Handling'!#REF!,"AAAAAH/v500=")</f>
        <v>#REF!</v>
      </c>
      <c r="CA23" t="e">
        <f>AND('Aggregates Handling'!#REF!,"AAAAAH/v504=")</f>
        <v>#REF!</v>
      </c>
      <c r="CB23" t="e">
        <f>AND('Aggregates Handling'!#REF!,"AAAAAH/v508=")</f>
        <v>#REF!</v>
      </c>
      <c r="CC23" t="e">
        <f>AND('Aggregates Handling'!#REF!,"AAAAAH/v51A=")</f>
        <v>#REF!</v>
      </c>
      <c r="CD23" t="e">
        <f>AND('Aggregates Handling'!#REF!,"AAAAAH/v51E=")</f>
        <v>#REF!</v>
      </c>
      <c r="CE23" t="e">
        <f>AND('Aggregates Handling'!#REF!,"AAAAAH/v51I=")</f>
        <v>#REF!</v>
      </c>
      <c r="CF23" t="e">
        <f>AND('Aggregates Handling'!#REF!,"AAAAAH/v51M=")</f>
        <v>#REF!</v>
      </c>
      <c r="CG23" t="e">
        <f>AND('Aggregates Handling'!#REF!,"AAAAAH/v51Q=")</f>
        <v>#REF!</v>
      </c>
      <c r="CH23" t="e">
        <f>AND('Aggregates Handling'!#REF!,"AAAAAH/v51U=")</f>
        <v>#REF!</v>
      </c>
      <c r="CI23" t="e">
        <f>AND('Aggregates Handling'!#REF!,"AAAAAH/v51Y=")</f>
        <v>#REF!</v>
      </c>
      <c r="CJ23" t="e">
        <f>AND('Aggregates Handling'!#REF!,"AAAAAH/v51c=")</f>
        <v>#REF!</v>
      </c>
      <c r="CK23" t="e">
        <f>IF('Aggregates Handling'!#REF!,"AAAAAH/v51g=",0)</f>
        <v>#REF!</v>
      </c>
      <c r="CL23" t="e">
        <f>AND('Aggregates Handling'!#REF!,"AAAAAH/v51k=")</f>
        <v>#REF!</v>
      </c>
      <c r="CM23" t="e">
        <f>AND('Aggregates Handling'!#REF!,"AAAAAH/v51o=")</f>
        <v>#REF!</v>
      </c>
      <c r="CN23" t="e">
        <f>AND('Aggregates Handling'!#REF!,"AAAAAH/v51s=")</f>
        <v>#REF!</v>
      </c>
      <c r="CO23" t="e">
        <f>AND('Aggregates Handling'!#REF!,"AAAAAH/v51w=")</f>
        <v>#REF!</v>
      </c>
      <c r="CP23" t="e">
        <f>AND('Aggregates Handling'!#REF!,"AAAAAH/v510=")</f>
        <v>#REF!</v>
      </c>
      <c r="CQ23" t="e">
        <f>AND('Aggregates Handling'!#REF!,"AAAAAH/v514=")</f>
        <v>#REF!</v>
      </c>
      <c r="CR23" t="e">
        <f>AND('Aggregates Handling'!#REF!,"AAAAAH/v518=")</f>
        <v>#REF!</v>
      </c>
      <c r="CS23" t="e">
        <f>AND('Aggregates Handling'!#REF!,"AAAAAH/v52A=")</f>
        <v>#REF!</v>
      </c>
      <c r="CT23" t="e">
        <f>AND('Aggregates Handling'!#REF!,"AAAAAH/v52E=")</f>
        <v>#REF!</v>
      </c>
      <c r="CU23" t="e">
        <f>AND('Aggregates Handling'!#REF!,"AAAAAH/v52I=")</f>
        <v>#REF!</v>
      </c>
      <c r="CV23" t="e">
        <f>AND('Aggregates Handling'!#REF!,"AAAAAH/v52M=")</f>
        <v>#REF!</v>
      </c>
      <c r="CW23" t="e">
        <f>AND('Aggregates Handling'!#REF!,"AAAAAH/v52Q=")</f>
        <v>#REF!</v>
      </c>
      <c r="CX23" t="e">
        <f>AND('Aggregates Handling'!#REF!,"AAAAAH/v52U=")</f>
        <v>#REF!</v>
      </c>
      <c r="CY23" t="e">
        <f>AND('Aggregates Handling'!#REF!,"AAAAAH/v52Y=")</f>
        <v>#REF!</v>
      </c>
      <c r="CZ23" t="e">
        <f>AND('Aggregates Handling'!#REF!,"AAAAAH/v52c=")</f>
        <v>#REF!</v>
      </c>
      <c r="DA23" t="e">
        <f>AND('Aggregates Handling'!#REF!,"AAAAAH/v52g=")</f>
        <v>#REF!</v>
      </c>
      <c r="DB23" t="e">
        <f>AND('Aggregates Handling'!#REF!,"AAAAAH/v52k=")</f>
        <v>#REF!</v>
      </c>
      <c r="DC23" t="e">
        <f>AND('Aggregates Handling'!#REF!,"AAAAAH/v52o=")</f>
        <v>#REF!</v>
      </c>
      <c r="DD23" t="e">
        <f>AND('Aggregates Handling'!#REF!,"AAAAAH/v52s=")</f>
        <v>#REF!</v>
      </c>
      <c r="DE23" t="e">
        <f>AND('Aggregates Handling'!#REF!,"AAAAAH/v52w=")</f>
        <v>#REF!</v>
      </c>
      <c r="DF23" t="e">
        <f>IF('Aggregates Handling'!#REF!,"AAAAAH/v520=",0)</f>
        <v>#REF!</v>
      </c>
      <c r="DG23" t="e">
        <f>AND('Aggregates Handling'!#REF!,"AAAAAH/v524=")</f>
        <v>#REF!</v>
      </c>
      <c r="DH23" t="e">
        <f>AND('Aggregates Handling'!#REF!,"AAAAAH/v528=")</f>
        <v>#REF!</v>
      </c>
      <c r="DI23" t="e">
        <f>AND('Aggregates Handling'!#REF!,"AAAAAH/v53A=")</f>
        <v>#REF!</v>
      </c>
      <c r="DJ23" t="e">
        <f>AND('Aggregates Handling'!#REF!,"AAAAAH/v53E=")</f>
        <v>#REF!</v>
      </c>
      <c r="DK23" t="e">
        <f>AND('Aggregates Handling'!#REF!,"AAAAAH/v53I=")</f>
        <v>#REF!</v>
      </c>
      <c r="DL23" t="e">
        <f>AND('Aggregates Handling'!#REF!,"AAAAAH/v53M=")</f>
        <v>#REF!</v>
      </c>
      <c r="DM23" t="e">
        <f>AND('Aggregates Handling'!#REF!,"AAAAAH/v53Q=")</f>
        <v>#REF!</v>
      </c>
      <c r="DN23" t="e">
        <f>AND('Aggregates Handling'!#REF!,"AAAAAH/v53U=")</f>
        <v>#REF!</v>
      </c>
      <c r="DO23" t="e">
        <f>AND('Aggregates Handling'!#REF!,"AAAAAH/v53Y=")</f>
        <v>#REF!</v>
      </c>
      <c r="DP23" t="e">
        <f>AND('Aggregates Handling'!#REF!,"AAAAAH/v53c=")</f>
        <v>#REF!</v>
      </c>
      <c r="DQ23" t="e">
        <f>AND('Aggregates Handling'!#REF!,"AAAAAH/v53g=")</f>
        <v>#REF!</v>
      </c>
      <c r="DR23" t="e">
        <f>AND('Aggregates Handling'!#REF!,"AAAAAH/v53k=")</f>
        <v>#REF!</v>
      </c>
      <c r="DS23" t="e">
        <f>AND('Aggregates Handling'!#REF!,"AAAAAH/v53o=")</f>
        <v>#REF!</v>
      </c>
      <c r="DT23" t="e">
        <f>AND('Aggregates Handling'!#REF!,"AAAAAH/v53s=")</f>
        <v>#REF!</v>
      </c>
      <c r="DU23" t="e">
        <f>AND('Aggregates Handling'!#REF!,"AAAAAH/v53w=")</f>
        <v>#REF!</v>
      </c>
      <c r="DV23" t="e">
        <f>AND('Aggregates Handling'!#REF!,"AAAAAH/v530=")</f>
        <v>#REF!</v>
      </c>
      <c r="DW23" t="e">
        <f>AND('Aggregates Handling'!#REF!,"AAAAAH/v534=")</f>
        <v>#REF!</v>
      </c>
      <c r="DX23" t="e">
        <f>AND('Aggregates Handling'!#REF!,"AAAAAH/v538=")</f>
        <v>#REF!</v>
      </c>
      <c r="DY23" t="e">
        <f>AND('Aggregates Handling'!#REF!,"AAAAAH/v54A=")</f>
        <v>#REF!</v>
      </c>
      <c r="DZ23" t="e">
        <f>AND('Aggregates Handling'!#REF!,"AAAAAH/v54E=")</f>
        <v>#REF!</v>
      </c>
      <c r="EA23">
        <f>IF('Aggregates Handling'!45:45,"AAAAAH/v54I=",0)</f>
        <v>0</v>
      </c>
      <c r="EB23" t="e">
        <f>AND('Aggregates Handling'!A45,"AAAAAH/v54M=")</f>
        <v>#VALUE!</v>
      </c>
      <c r="EC23" t="e">
        <f>AND('Aggregates Handling'!B45,"AAAAAH/v54Q=")</f>
        <v>#VALUE!</v>
      </c>
      <c r="ED23" t="e">
        <f>AND('Aggregates Handling'!#REF!,"AAAAAH/v54U=")</f>
        <v>#REF!</v>
      </c>
      <c r="EE23" t="e">
        <f>AND('Aggregates Handling'!#REF!,"AAAAAH/v54Y=")</f>
        <v>#REF!</v>
      </c>
      <c r="EF23" t="e">
        <f>AND('Aggregates Handling'!#REF!,"AAAAAH/v54c=")</f>
        <v>#REF!</v>
      </c>
      <c r="EG23" t="e">
        <f>AND('Aggregates Handling'!#REF!,"AAAAAH/v54g=")</f>
        <v>#REF!</v>
      </c>
      <c r="EH23" t="e">
        <f>AND('Aggregates Handling'!#REF!,"AAAAAH/v54k=")</f>
        <v>#REF!</v>
      </c>
      <c r="EI23" t="e">
        <f>AND('Aggregates Handling'!#REF!,"AAAAAH/v54o=")</f>
        <v>#REF!</v>
      </c>
      <c r="EJ23" t="e">
        <f>AND('Aggregates Handling'!#REF!,"AAAAAH/v54s=")</f>
        <v>#REF!</v>
      </c>
      <c r="EK23" t="e">
        <f>AND('Aggregates Handling'!#REF!,"AAAAAH/v54w=")</f>
        <v>#REF!</v>
      </c>
      <c r="EL23" t="e">
        <f>AND('Aggregates Handling'!#REF!,"AAAAAH/v540=")</f>
        <v>#REF!</v>
      </c>
      <c r="EM23" t="e">
        <f>AND('Aggregates Handling'!C45,"AAAAAH/v544=")</f>
        <v>#VALUE!</v>
      </c>
      <c r="EN23" t="e">
        <f>AND('Aggregates Handling'!D45,"AAAAAH/v548=")</f>
        <v>#VALUE!</v>
      </c>
      <c r="EO23" t="e">
        <f>AND('Aggregates Handling'!E45,"AAAAAH/v55A=")</f>
        <v>#VALUE!</v>
      </c>
      <c r="EP23" t="e">
        <f>AND('Aggregates Handling'!F45,"AAAAAH/v55E=")</f>
        <v>#VALUE!</v>
      </c>
      <c r="EQ23" t="e">
        <f>AND('Aggregates Handling'!G45,"AAAAAH/v55I=")</f>
        <v>#VALUE!</v>
      </c>
      <c r="ER23" t="e">
        <f>AND('Aggregates Handling'!H45,"AAAAAH/v55M=")</f>
        <v>#VALUE!</v>
      </c>
      <c r="ES23" t="e">
        <f>AND('Aggregates Handling'!I45,"AAAAAH/v55Q=")</f>
        <v>#VALUE!</v>
      </c>
      <c r="ET23" t="e">
        <f>AND('Aggregates Handling'!J45,"AAAAAH/v55U=")</f>
        <v>#VALUE!</v>
      </c>
      <c r="EU23" t="e">
        <f>AND('Aggregates Handling'!K45,"AAAAAH/v55Y=")</f>
        <v>#VALUE!</v>
      </c>
      <c r="EV23" t="e">
        <f>IF('Aggregates Handling'!#REF!,"AAAAAH/v55c=",0)</f>
        <v>#REF!</v>
      </c>
      <c r="EW23" t="e">
        <f>AND('Aggregates Handling'!#REF!,"AAAAAH/v55g=")</f>
        <v>#REF!</v>
      </c>
      <c r="EX23" t="e">
        <f>AND('Aggregates Handling'!#REF!,"AAAAAH/v55k=")</f>
        <v>#REF!</v>
      </c>
      <c r="EY23" t="e">
        <f>AND('Aggregates Handling'!#REF!,"AAAAAH/v55o=")</f>
        <v>#REF!</v>
      </c>
      <c r="EZ23" t="e">
        <f>AND('Aggregates Handling'!#REF!,"AAAAAH/v55s=")</f>
        <v>#REF!</v>
      </c>
      <c r="FA23" t="e">
        <f>AND('Aggregates Handling'!#REF!,"AAAAAH/v55w=")</f>
        <v>#REF!</v>
      </c>
      <c r="FB23" t="e">
        <f>AND('Aggregates Handling'!#REF!,"AAAAAH/v550=")</f>
        <v>#REF!</v>
      </c>
      <c r="FC23" t="e">
        <f>AND('Aggregates Handling'!#REF!,"AAAAAH/v554=")</f>
        <v>#REF!</v>
      </c>
      <c r="FD23" t="e">
        <f>AND('Aggregates Handling'!#REF!,"AAAAAH/v558=")</f>
        <v>#REF!</v>
      </c>
      <c r="FE23" t="e">
        <f>AND('Aggregates Handling'!#REF!,"AAAAAH/v56A=")</f>
        <v>#REF!</v>
      </c>
      <c r="FF23" t="e">
        <f>AND('Aggregates Handling'!#REF!,"AAAAAH/v56E=")</f>
        <v>#REF!</v>
      </c>
      <c r="FG23" t="e">
        <f>AND('Aggregates Handling'!#REF!,"AAAAAH/v56I=")</f>
        <v>#REF!</v>
      </c>
      <c r="FH23" t="e">
        <f>AND('Aggregates Handling'!#REF!,"AAAAAH/v56M=")</f>
        <v>#REF!</v>
      </c>
      <c r="FI23" t="e">
        <f>AND('Aggregates Handling'!#REF!,"AAAAAH/v56Q=")</f>
        <v>#REF!</v>
      </c>
      <c r="FJ23" t="e">
        <f>AND('Aggregates Handling'!#REF!,"AAAAAH/v56U=")</f>
        <v>#REF!</v>
      </c>
      <c r="FK23" t="e">
        <f>AND('Aggregates Handling'!#REF!,"AAAAAH/v56Y=")</f>
        <v>#REF!</v>
      </c>
      <c r="FL23" t="e">
        <f>AND('Aggregates Handling'!#REF!,"AAAAAH/v56c=")</f>
        <v>#REF!</v>
      </c>
      <c r="FM23" t="e">
        <f>AND('Aggregates Handling'!#REF!,"AAAAAH/v56g=")</f>
        <v>#REF!</v>
      </c>
      <c r="FN23" t="e">
        <f>AND('Aggregates Handling'!#REF!,"AAAAAH/v56k=")</f>
        <v>#REF!</v>
      </c>
      <c r="FO23" t="e">
        <f>AND('Aggregates Handling'!#REF!,"AAAAAH/v56o=")</f>
        <v>#REF!</v>
      </c>
      <c r="FP23" t="e">
        <f>AND('Aggregates Handling'!#REF!,"AAAAAH/v56s=")</f>
        <v>#REF!</v>
      </c>
      <c r="FQ23" t="e">
        <f>IF('Aggregates Handling'!#REF!,"AAAAAH/v56w=",0)</f>
        <v>#REF!</v>
      </c>
      <c r="FR23" t="e">
        <f>AND('Aggregates Handling'!#REF!,"AAAAAH/v560=")</f>
        <v>#REF!</v>
      </c>
      <c r="FS23" t="e">
        <f>AND('Aggregates Handling'!#REF!,"AAAAAH/v564=")</f>
        <v>#REF!</v>
      </c>
      <c r="FT23" t="e">
        <f>AND('Aggregates Handling'!#REF!,"AAAAAH/v568=")</f>
        <v>#REF!</v>
      </c>
      <c r="FU23" t="e">
        <f>AND('Aggregates Handling'!#REF!,"AAAAAH/v57A=")</f>
        <v>#REF!</v>
      </c>
      <c r="FV23" t="e">
        <f>AND('Aggregates Handling'!#REF!,"AAAAAH/v57E=")</f>
        <v>#REF!</v>
      </c>
      <c r="FW23" t="e">
        <f>AND('Aggregates Handling'!#REF!,"AAAAAH/v57I=")</f>
        <v>#REF!</v>
      </c>
      <c r="FX23" t="e">
        <f>AND('Aggregates Handling'!#REF!,"AAAAAH/v57M=")</f>
        <v>#REF!</v>
      </c>
      <c r="FY23" t="e">
        <f>AND('Aggregates Handling'!#REF!,"AAAAAH/v57Q=")</f>
        <v>#REF!</v>
      </c>
      <c r="FZ23" t="e">
        <f>AND('Aggregates Handling'!#REF!,"AAAAAH/v57U=")</f>
        <v>#REF!</v>
      </c>
      <c r="GA23" t="e">
        <f>AND('Aggregates Handling'!#REF!,"AAAAAH/v57Y=")</f>
        <v>#REF!</v>
      </c>
      <c r="GB23" t="e">
        <f>AND('Aggregates Handling'!#REF!,"AAAAAH/v57c=")</f>
        <v>#REF!</v>
      </c>
      <c r="GC23" t="e">
        <f>AND('Aggregates Handling'!#REF!,"AAAAAH/v57g=")</f>
        <v>#REF!</v>
      </c>
      <c r="GD23" t="e">
        <f>AND('Aggregates Handling'!#REF!,"AAAAAH/v57k=")</f>
        <v>#REF!</v>
      </c>
      <c r="GE23" t="e">
        <f>AND('Aggregates Handling'!#REF!,"AAAAAH/v57o=")</f>
        <v>#REF!</v>
      </c>
      <c r="GF23" t="e">
        <f>AND('Aggregates Handling'!#REF!,"AAAAAH/v57s=")</f>
        <v>#REF!</v>
      </c>
      <c r="GG23" t="e">
        <f>AND('Aggregates Handling'!#REF!,"AAAAAH/v57w=")</f>
        <v>#REF!</v>
      </c>
      <c r="GH23" t="e">
        <f>AND('Aggregates Handling'!#REF!,"AAAAAH/v570=")</f>
        <v>#REF!</v>
      </c>
      <c r="GI23" t="e">
        <f>AND('Aggregates Handling'!#REF!,"AAAAAH/v574=")</f>
        <v>#REF!</v>
      </c>
      <c r="GJ23" t="e">
        <f>AND('Aggregates Handling'!#REF!,"AAAAAH/v578=")</f>
        <v>#REF!</v>
      </c>
      <c r="GK23" t="e">
        <f>AND('Aggregates Handling'!#REF!,"AAAAAH/v58A=")</f>
        <v>#REF!</v>
      </c>
      <c r="GL23" t="e">
        <f>IF('Aggregates Handling'!#REF!,"AAAAAH/v58E=",0)</f>
        <v>#REF!</v>
      </c>
      <c r="GM23" t="e">
        <f>AND('Aggregates Handling'!#REF!,"AAAAAH/v58I=")</f>
        <v>#REF!</v>
      </c>
      <c r="GN23" t="e">
        <f>AND('Aggregates Handling'!#REF!,"AAAAAH/v58M=")</f>
        <v>#REF!</v>
      </c>
      <c r="GO23" t="e">
        <f>AND('Aggregates Handling'!#REF!,"AAAAAH/v58Q=")</f>
        <v>#REF!</v>
      </c>
      <c r="GP23" t="e">
        <f>AND('Aggregates Handling'!#REF!,"AAAAAH/v58U=")</f>
        <v>#REF!</v>
      </c>
      <c r="GQ23" t="e">
        <f>AND('Aggregates Handling'!#REF!,"AAAAAH/v58Y=")</f>
        <v>#REF!</v>
      </c>
      <c r="GR23" t="e">
        <f>AND('Aggregates Handling'!#REF!,"AAAAAH/v58c=")</f>
        <v>#REF!</v>
      </c>
      <c r="GS23" t="e">
        <f>AND('Aggregates Handling'!#REF!,"AAAAAH/v58g=")</f>
        <v>#REF!</v>
      </c>
      <c r="GT23" t="e">
        <f>AND('Aggregates Handling'!#REF!,"AAAAAH/v58k=")</f>
        <v>#REF!</v>
      </c>
      <c r="GU23" t="e">
        <f>AND('Aggregates Handling'!#REF!,"AAAAAH/v58o=")</f>
        <v>#REF!</v>
      </c>
      <c r="GV23" t="e">
        <f>AND('Aggregates Handling'!#REF!,"AAAAAH/v58s=")</f>
        <v>#REF!</v>
      </c>
      <c r="GW23" t="e">
        <f>AND('Aggregates Handling'!#REF!,"AAAAAH/v58w=")</f>
        <v>#REF!</v>
      </c>
      <c r="GX23" t="e">
        <f>AND('Aggregates Handling'!#REF!,"AAAAAH/v580=")</f>
        <v>#REF!</v>
      </c>
      <c r="GY23" t="e">
        <f>AND('Aggregates Handling'!#REF!,"AAAAAH/v584=")</f>
        <v>#REF!</v>
      </c>
      <c r="GZ23" t="e">
        <f>AND('Aggregates Handling'!#REF!,"AAAAAH/v588=")</f>
        <v>#REF!</v>
      </c>
      <c r="HA23" t="e">
        <f>AND('Aggregates Handling'!#REF!,"AAAAAH/v59A=")</f>
        <v>#REF!</v>
      </c>
      <c r="HB23" t="e">
        <f>AND('Aggregates Handling'!#REF!,"AAAAAH/v59E=")</f>
        <v>#REF!</v>
      </c>
      <c r="HC23" t="e">
        <f>AND('Aggregates Handling'!#REF!,"AAAAAH/v59I=")</f>
        <v>#REF!</v>
      </c>
      <c r="HD23" t="e">
        <f>AND('Aggregates Handling'!#REF!,"AAAAAH/v59M=")</f>
        <v>#REF!</v>
      </c>
      <c r="HE23" t="e">
        <f>AND('Aggregates Handling'!#REF!,"AAAAAH/v59Q=")</f>
        <v>#REF!</v>
      </c>
      <c r="HF23" t="e">
        <f>AND('Aggregates Handling'!#REF!,"AAAAAH/v59U=")</f>
        <v>#REF!</v>
      </c>
      <c r="HG23" t="e">
        <f>IF('Aggregates Handling'!#REF!,"AAAAAH/v59Y=",0)</f>
        <v>#REF!</v>
      </c>
      <c r="HH23" t="e">
        <f>AND('Aggregates Handling'!#REF!,"AAAAAH/v59c=")</f>
        <v>#REF!</v>
      </c>
      <c r="HI23" t="e">
        <f>AND('Aggregates Handling'!#REF!,"AAAAAH/v59g=")</f>
        <v>#REF!</v>
      </c>
      <c r="HJ23" t="e">
        <f>AND('Aggregates Handling'!#REF!,"AAAAAH/v59k=")</f>
        <v>#REF!</v>
      </c>
      <c r="HK23" t="e">
        <f>AND('Aggregates Handling'!#REF!,"AAAAAH/v59o=")</f>
        <v>#REF!</v>
      </c>
      <c r="HL23" t="e">
        <f>AND('Aggregates Handling'!#REF!,"AAAAAH/v59s=")</f>
        <v>#REF!</v>
      </c>
      <c r="HM23" t="e">
        <f>AND('Aggregates Handling'!#REF!,"AAAAAH/v59w=")</f>
        <v>#REF!</v>
      </c>
      <c r="HN23" t="e">
        <f>AND('Aggregates Handling'!#REF!,"AAAAAH/v590=")</f>
        <v>#REF!</v>
      </c>
      <c r="HO23" t="e">
        <f>AND('Aggregates Handling'!#REF!,"AAAAAH/v594=")</f>
        <v>#REF!</v>
      </c>
      <c r="HP23" t="e">
        <f>AND('Aggregates Handling'!#REF!,"AAAAAH/v598=")</f>
        <v>#REF!</v>
      </c>
      <c r="HQ23" t="e">
        <f>AND('Aggregates Handling'!#REF!,"AAAAAH/v5+A=")</f>
        <v>#REF!</v>
      </c>
      <c r="HR23" t="e">
        <f>AND('Aggregates Handling'!#REF!,"AAAAAH/v5+E=")</f>
        <v>#REF!</v>
      </c>
      <c r="HS23" t="e">
        <f>AND('Aggregates Handling'!#REF!,"AAAAAH/v5+I=")</f>
        <v>#REF!</v>
      </c>
      <c r="HT23" t="e">
        <f>AND('Aggregates Handling'!#REF!,"AAAAAH/v5+M=")</f>
        <v>#REF!</v>
      </c>
      <c r="HU23" t="e">
        <f>AND('Aggregates Handling'!#REF!,"AAAAAH/v5+Q=")</f>
        <v>#REF!</v>
      </c>
      <c r="HV23" t="e">
        <f>AND('Aggregates Handling'!#REF!,"AAAAAH/v5+U=")</f>
        <v>#REF!</v>
      </c>
      <c r="HW23" t="e">
        <f>AND('Aggregates Handling'!#REF!,"AAAAAH/v5+Y=")</f>
        <v>#REF!</v>
      </c>
      <c r="HX23" t="e">
        <f>AND('Aggregates Handling'!#REF!,"AAAAAH/v5+c=")</f>
        <v>#REF!</v>
      </c>
      <c r="HY23" t="e">
        <f>AND('Aggregates Handling'!#REF!,"AAAAAH/v5+g=")</f>
        <v>#REF!</v>
      </c>
      <c r="HZ23" t="e">
        <f>AND('Aggregates Handling'!#REF!,"AAAAAH/v5+k=")</f>
        <v>#REF!</v>
      </c>
      <c r="IA23" t="e">
        <f>AND('Aggregates Handling'!#REF!,"AAAAAH/v5+o=")</f>
        <v>#REF!</v>
      </c>
      <c r="IB23" t="e">
        <f>IF('Aggregates Handling'!#REF!,"AAAAAH/v5+s=",0)</f>
        <v>#REF!</v>
      </c>
      <c r="IC23" t="e">
        <f>AND('Aggregates Handling'!#REF!,"AAAAAH/v5+w=")</f>
        <v>#REF!</v>
      </c>
      <c r="ID23" t="e">
        <f>AND('Aggregates Handling'!#REF!,"AAAAAH/v5+0=")</f>
        <v>#REF!</v>
      </c>
      <c r="IE23" t="e">
        <f>AND('Aggregates Handling'!#REF!,"AAAAAH/v5+4=")</f>
        <v>#REF!</v>
      </c>
      <c r="IF23" t="e">
        <f>AND('Aggregates Handling'!#REF!,"AAAAAH/v5+8=")</f>
        <v>#REF!</v>
      </c>
      <c r="IG23" t="e">
        <f>AND('Aggregates Handling'!#REF!,"AAAAAH/v5/A=")</f>
        <v>#REF!</v>
      </c>
      <c r="IH23" t="e">
        <f>AND('Aggregates Handling'!#REF!,"AAAAAH/v5/E=")</f>
        <v>#REF!</v>
      </c>
      <c r="II23" t="e">
        <f>AND('Aggregates Handling'!#REF!,"AAAAAH/v5/I=")</f>
        <v>#REF!</v>
      </c>
      <c r="IJ23" t="e">
        <f>AND('Aggregates Handling'!#REF!,"AAAAAH/v5/M=")</f>
        <v>#REF!</v>
      </c>
      <c r="IK23" t="e">
        <f>AND('Aggregates Handling'!#REF!,"AAAAAH/v5/Q=")</f>
        <v>#REF!</v>
      </c>
      <c r="IL23" t="e">
        <f>AND('Aggregates Handling'!#REF!,"AAAAAH/v5/U=")</f>
        <v>#REF!</v>
      </c>
      <c r="IM23" t="e">
        <f>AND('Aggregates Handling'!#REF!,"AAAAAH/v5/Y=")</f>
        <v>#REF!</v>
      </c>
      <c r="IN23" t="e">
        <f>AND('Aggregates Handling'!#REF!,"AAAAAH/v5/c=")</f>
        <v>#REF!</v>
      </c>
      <c r="IO23" t="e">
        <f>AND('Aggregates Handling'!#REF!,"AAAAAH/v5/g=")</f>
        <v>#REF!</v>
      </c>
      <c r="IP23" t="e">
        <f>AND('Aggregates Handling'!#REF!,"AAAAAH/v5/k=")</f>
        <v>#REF!</v>
      </c>
      <c r="IQ23" t="e">
        <f>AND('Aggregates Handling'!#REF!,"AAAAAH/v5/o=")</f>
        <v>#REF!</v>
      </c>
      <c r="IR23" t="e">
        <f>AND('Aggregates Handling'!#REF!,"AAAAAH/v5/s=")</f>
        <v>#REF!</v>
      </c>
      <c r="IS23" t="e">
        <f>AND('Aggregates Handling'!#REF!,"AAAAAH/v5/w=")</f>
        <v>#REF!</v>
      </c>
      <c r="IT23" t="e">
        <f>AND('Aggregates Handling'!#REF!,"AAAAAH/v5/0=")</f>
        <v>#REF!</v>
      </c>
      <c r="IU23" t="e">
        <f>AND('Aggregates Handling'!#REF!,"AAAAAH/v5/4=")</f>
        <v>#REF!</v>
      </c>
      <c r="IV23" t="e">
        <f>AND('Aggregates Handling'!#REF!,"AAAAAH/v5/8=")</f>
        <v>#REF!</v>
      </c>
    </row>
    <row r="24" spans="1:256">
      <c r="A24" t="e">
        <f>IF('Aggregates Handling'!#REF!,"AAAAAD79+gA=",0)</f>
        <v>#REF!</v>
      </c>
      <c r="B24" t="e">
        <f>AND('Aggregates Handling'!#REF!,"AAAAAD79+gE=")</f>
        <v>#REF!</v>
      </c>
      <c r="C24" t="e">
        <f>AND('Aggregates Handling'!#REF!,"AAAAAD79+gI=")</f>
        <v>#REF!</v>
      </c>
      <c r="D24" t="e">
        <f>AND('Aggregates Handling'!#REF!,"AAAAAD79+gM=")</f>
        <v>#REF!</v>
      </c>
      <c r="E24" t="e">
        <f>AND('Aggregates Handling'!#REF!,"AAAAAD79+gQ=")</f>
        <v>#REF!</v>
      </c>
      <c r="F24" t="e">
        <f>AND('Aggregates Handling'!#REF!,"AAAAAD79+gU=")</f>
        <v>#REF!</v>
      </c>
      <c r="G24" t="e">
        <f>AND('Aggregates Handling'!#REF!,"AAAAAD79+gY=")</f>
        <v>#REF!</v>
      </c>
      <c r="H24" t="e">
        <f>AND('Aggregates Handling'!#REF!,"AAAAAD79+gc=")</f>
        <v>#REF!</v>
      </c>
      <c r="I24" t="e">
        <f>AND('Aggregates Handling'!#REF!,"AAAAAD79+gg=")</f>
        <v>#REF!</v>
      </c>
      <c r="J24" t="e">
        <f>AND('Aggregates Handling'!#REF!,"AAAAAD79+gk=")</f>
        <v>#REF!</v>
      </c>
      <c r="K24" t="e">
        <f>AND('Aggregates Handling'!#REF!,"AAAAAD79+go=")</f>
        <v>#REF!</v>
      </c>
      <c r="L24" t="e">
        <f>AND('Aggregates Handling'!#REF!,"AAAAAD79+gs=")</f>
        <v>#REF!</v>
      </c>
      <c r="M24" t="e">
        <f>AND('Aggregates Handling'!#REF!,"AAAAAD79+gw=")</f>
        <v>#REF!</v>
      </c>
      <c r="N24" t="e">
        <f>AND('Aggregates Handling'!#REF!,"AAAAAD79+g0=")</f>
        <v>#REF!</v>
      </c>
      <c r="O24" t="e">
        <f>AND('Aggregates Handling'!#REF!,"AAAAAD79+g4=")</f>
        <v>#REF!</v>
      </c>
      <c r="P24" t="e">
        <f>AND('Aggregates Handling'!#REF!,"AAAAAD79+g8=")</f>
        <v>#REF!</v>
      </c>
      <c r="Q24" t="e">
        <f>AND('Aggregates Handling'!#REF!,"AAAAAD79+hA=")</f>
        <v>#REF!</v>
      </c>
      <c r="R24" t="e">
        <f>AND('Aggregates Handling'!#REF!,"AAAAAD79+hE=")</f>
        <v>#REF!</v>
      </c>
      <c r="S24" t="e">
        <f>AND('Aggregates Handling'!#REF!,"AAAAAD79+hI=")</f>
        <v>#REF!</v>
      </c>
      <c r="T24" t="e">
        <f>AND('Aggregates Handling'!#REF!,"AAAAAD79+hM=")</f>
        <v>#REF!</v>
      </c>
      <c r="U24" t="e">
        <f>AND('Aggregates Handling'!#REF!,"AAAAAD79+hQ=")</f>
        <v>#REF!</v>
      </c>
      <c r="V24" t="e">
        <f>IF('Aggregates Handling'!#REF!,"AAAAAD79+hU=",0)</f>
        <v>#REF!</v>
      </c>
      <c r="W24" t="e">
        <f>AND('Aggregates Handling'!#REF!,"AAAAAD79+hY=")</f>
        <v>#REF!</v>
      </c>
      <c r="X24" t="e">
        <f>AND('Aggregates Handling'!#REF!,"AAAAAD79+hc=")</f>
        <v>#REF!</v>
      </c>
      <c r="Y24" t="e">
        <f>AND('Aggregates Handling'!#REF!,"AAAAAD79+hg=")</f>
        <v>#REF!</v>
      </c>
      <c r="Z24" t="e">
        <f>AND('Aggregates Handling'!#REF!,"AAAAAD79+hk=")</f>
        <v>#REF!</v>
      </c>
      <c r="AA24" t="e">
        <f>AND('Aggregates Handling'!#REF!,"AAAAAD79+ho=")</f>
        <v>#REF!</v>
      </c>
      <c r="AB24" t="e">
        <f>AND('Aggregates Handling'!#REF!,"AAAAAD79+hs=")</f>
        <v>#REF!</v>
      </c>
      <c r="AC24" t="e">
        <f>AND('Aggregates Handling'!#REF!,"AAAAAD79+hw=")</f>
        <v>#REF!</v>
      </c>
      <c r="AD24" t="e">
        <f>AND('Aggregates Handling'!#REF!,"AAAAAD79+h0=")</f>
        <v>#REF!</v>
      </c>
      <c r="AE24" t="e">
        <f>AND('Aggregates Handling'!#REF!,"AAAAAD79+h4=")</f>
        <v>#REF!</v>
      </c>
      <c r="AF24" t="e">
        <f>AND('Aggregates Handling'!#REF!,"AAAAAD79+h8=")</f>
        <v>#REF!</v>
      </c>
      <c r="AG24" t="e">
        <f>AND('Aggregates Handling'!#REF!,"AAAAAD79+iA=")</f>
        <v>#REF!</v>
      </c>
      <c r="AH24" t="e">
        <f>AND('Aggregates Handling'!#REF!,"AAAAAD79+iE=")</f>
        <v>#REF!</v>
      </c>
      <c r="AI24" t="e">
        <f>AND('Aggregates Handling'!#REF!,"AAAAAD79+iI=")</f>
        <v>#REF!</v>
      </c>
      <c r="AJ24" t="e">
        <f>AND('Aggregates Handling'!#REF!,"AAAAAD79+iM=")</f>
        <v>#REF!</v>
      </c>
      <c r="AK24" t="e">
        <f>AND('Aggregates Handling'!#REF!,"AAAAAD79+iQ=")</f>
        <v>#REF!</v>
      </c>
      <c r="AL24" t="e">
        <f>AND('Aggregates Handling'!#REF!,"AAAAAD79+iU=")</f>
        <v>#REF!</v>
      </c>
      <c r="AM24" t="e">
        <f>AND('Aggregates Handling'!#REF!,"AAAAAD79+iY=")</f>
        <v>#REF!</v>
      </c>
      <c r="AN24" t="e">
        <f>AND('Aggregates Handling'!#REF!,"AAAAAD79+ic=")</f>
        <v>#REF!</v>
      </c>
      <c r="AO24" t="e">
        <f>AND('Aggregates Handling'!#REF!,"AAAAAD79+ig=")</f>
        <v>#REF!</v>
      </c>
      <c r="AP24" t="e">
        <f>AND('Aggregates Handling'!#REF!,"AAAAAD79+ik=")</f>
        <v>#REF!</v>
      </c>
      <c r="AQ24" t="e">
        <f>IF('Aggregates Handling'!#REF!,"AAAAAD79+io=",0)</f>
        <v>#REF!</v>
      </c>
      <c r="AR24" t="e">
        <f>AND('Aggregates Handling'!#REF!,"AAAAAD79+is=")</f>
        <v>#REF!</v>
      </c>
      <c r="AS24" t="e">
        <f>AND('Aggregates Handling'!#REF!,"AAAAAD79+iw=")</f>
        <v>#REF!</v>
      </c>
      <c r="AT24" t="e">
        <f>AND('Aggregates Handling'!#REF!,"AAAAAD79+i0=")</f>
        <v>#REF!</v>
      </c>
      <c r="AU24" t="e">
        <f>AND('Aggregates Handling'!#REF!,"AAAAAD79+i4=")</f>
        <v>#REF!</v>
      </c>
      <c r="AV24" t="e">
        <f>AND('Aggregates Handling'!#REF!,"AAAAAD79+i8=")</f>
        <v>#REF!</v>
      </c>
      <c r="AW24" t="e">
        <f>AND('Aggregates Handling'!#REF!,"AAAAAD79+jA=")</f>
        <v>#REF!</v>
      </c>
      <c r="AX24" t="e">
        <f>AND('Aggregates Handling'!#REF!,"AAAAAD79+jE=")</f>
        <v>#REF!</v>
      </c>
      <c r="AY24" t="e">
        <f>AND('Aggregates Handling'!#REF!,"AAAAAD79+jI=")</f>
        <v>#REF!</v>
      </c>
      <c r="AZ24" t="e">
        <f>AND('Aggregates Handling'!#REF!,"AAAAAD79+jM=")</f>
        <v>#REF!</v>
      </c>
      <c r="BA24" t="e">
        <f>AND('Aggregates Handling'!#REF!,"AAAAAD79+jQ=")</f>
        <v>#REF!</v>
      </c>
      <c r="BB24" t="e">
        <f>AND('Aggregates Handling'!#REF!,"AAAAAD79+jU=")</f>
        <v>#REF!</v>
      </c>
      <c r="BC24" t="e">
        <f>AND('Aggregates Handling'!#REF!,"AAAAAD79+jY=")</f>
        <v>#REF!</v>
      </c>
      <c r="BD24" t="e">
        <f>AND('Aggregates Handling'!#REF!,"AAAAAD79+jc=")</f>
        <v>#REF!</v>
      </c>
      <c r="BE24" t="e">
        <f>AND('Aggregates Handling'!#REF!,"AAAAAD79+jg=")</f>
        <v>#REF!</v>
      </c>
      <c r="BF24" t="e">
        <f>AND('Aggregates Handling'!#REF!,"AAAAAD79+jk=")</f>
        <v>#REF!</v>
      </c>
      <c r="BG24" t="e">
        <f>AND('Aggregates Handling'!#REF!,"AAAAAD79+jo=")</f>
        <v>#REF!</v>
      </c>
      <c r="BH24" t="e">
        <f>AND('Aggregates Handling'!#REF!,"AAAAAD79+js=")</f>
        <v>#REF!</v>
      </c>
      <c r="BI24" t="e">
        <f>AND('Aggregates Handling'!#REF!,"AAAAAD79+jw=")</f>
        <v>#REF!</v>
      </c>
      <c r="BJ24" t="e">
        <f>AND('Aggregates Handling'!#REF!,"AAAAAD79+j0=")</f>
        <v>#REF!</v>
      </c>
      <c r="BK24" t="e">
        <f>AND('Aggregates Handling'!#REF!,"AAAAAD79+j4=")</f>
        <v>#REF!</v>
      </c>
      <c r="BL24" t="e">
        <f>IF('Aggregates Handling'!#REF!,"AAAAAD79+j8=",0)</f>
        <v>#REF!</v>
      </c>
      <c r="BM24" t="e">
        <f>AND('Aggregates Handling'!#REF!,"AAAAAD79+kA=")</f>
        <v>#REF!</v>
      </c>
      <c r="BN24" t="e">
        <f>AND('Aggregates Handling'!#REF!,"AAAAAD79+kE=")</f>
        <v>#REF!</v>
      </c>
      <c r="BO24" t="e">
        <f>AND('Aggregates Handling'!#REF!,"AAAAAD79+kI=")</f>
        <v>#REF!</v>
      </c>
      <c r="BP24" t="e">
        <f>AND('Aggregates Handling'!#REF!,"AAAAAD79+kM=")</f>
        <v>#REF!</v>
      </c>
      <c r="BQ24" t="e">
        <f>AND('Aggregates Handling'!#REF!,"AAAAAD79+kQ=")</f>
        <v>#REF!</v>
      </c>
      <c r="BR24" t="e">
        <f>AND('Aggregates Handling'!#REF!,"AAAAAD79+kU=")</f>
        <v>#REF!</v>
      </c>
      <c r="BS24" t="e">
        <f>AND('Aggregates Handling'!#REF!,"AAAAAD79+kY=")</f>
        <v>#REF!</v>
      </c>
      <c r="BT24" t="e">
        <f>AND('Aggregates Handling'!#REF!,"AAAAAD79+kc=")</f>
        <v>#REF!</v>
      </c>
      <c r="BU24" t="e">
        <f>AND('Aggregates Handling'!#REF!,"AAAAAD79+kg=")</f>
        <v>#REF!</v>
      </c>
      <c r="BV24" t="e">
        <f>AND('Aggregates Handling'!#REF!,"AAAAAD79+kk=")</f>
        <v>#REF!</v>
      </c>
      <c r="BW24" t="e">
        <f>AND('Aggregates Handling'!#REF!,"AAAAAD79+ko=")</f>
        <v>#REF!</v>
      </c>
      <c r="BX24" t="e">
        <f>AND('Aggregates Handling'!#REF!,"AAAAAD79+ks=")</f>
        <v>#REF!</v>
      </c>
      <c r="BY24" t="e">
        <f>AND('Aggregates Handling'!#REF!,"AAAAAD79+kw=")</f>
        <v>#REF!</v>
      </c>
      <c r="BZ24" t="e">
        <f>AND('Aggregates Handling'!#REF!,"AAAAAD79+k0=")</f>
        <v>#REF!</v>
      </c>
      <c r="CA24" t="e">
        <f>AND('Aggregates Handling'!#REF!,"AAAAAD79+k4=")</f>
        <v>#REF!</v>
      </c>
      <c r="CB24" t="e">
        <f>AND('Aggregates Handling'!#REF!,"AAAAAD79+k8=")</f>
        <v>#REF!</v>
      </c>
      <c r="CC24" t="e">
        <f>AND('Aggregates Handling'!#REF!,"AAAAAD79+lA=")</f>
        <v>#REF!</v>
      </c>
      <c r="CD24" t="e">
        <f>AND('Aggregates Handling'!#REF!,"AAAAAD79+lE=")</f>
        <v>#REF!</v>
      </c>
      <c r="CE24" t="e">
        <f>AND('Aggregates Handling'!#REF!,"AAAAAD79+lI=")</f>
        <v>#REF!</v>
      </c>
      <c r="CF24" t="e">
        <f>AND('Aggregates Handling'!#REF!,"AAAAAD79+lM=")</f>
        <v>#REF!</v>
      </c>
      <c r="CG24" t="e">
        <f>IF('Aggregates Handling'!#REF!,"AAAAAD79+lQ=",0)</f>
        <v>#REF!</v>
      </c>
      <c r="CH24" t="e">
        <f>AND('Aggregates Handling'!#REF!,"AAAAAD79+lU=")</f>
        <v>#REF!</v>
      </c>
      <c r="CI24" t="e">
        <f>AND('Aggregates Handling'!#REF!,"AAAAAD79+lY=")</f>
        <v>#REF!</v>
      </c>
      <c r="CJ24" t="e">
        <f>AND('Aggregates Handling'!#REF!,"AAAAAD79+lc=")</f>
        <v>#REF!</v>
      </c>
      <c r="CK24" t="e">
        <f>AND('Aggregates Handling'!#REF!,"AAAAAD79+lg=")</f>
        <v>#REF!</v>
      </c>
      <c r="CL24" t="e">
        <f>AND('Aggregates Handling'!#REF!,"AAAAAD79+lk=")</f>
        <v>#REF!</v>
      </c>
      <c r="CM24" t="e">
        <f>AND('Aggregates Handling'!#REF!,"AAAAAD79+lo=")</f>
        <v>#REF!</v>
      </c>
      <c r="CN24" t="e">
        <f>AND('Aggregates Handling'!#REF!,"AAAAAD79+ls=")</f>
        <v>#REF!</v>
      </c>
      <c r="CO24" t="e">
        <f>AND('Aggregates Handling'!#REF!,"AAAAAD79+lw=")</f>
        <v>#REF!</v>
      </c>
      <c r="CP24" t="e">
        <f>AND('Aggregates Handling'!#REF!,"AAAAAD79+l0=")</f>
        <v>#REF!</v>
      </c>
      <c r="CQ24" t="e">
        <f>AND('Aggregates Handling'!#REF!,"AAAAAD79+l4=")</f>
        <v>#REF!</v>
      </c>
      <c r="CR24" t="e">
        <f>AND('Aggregates Handling'!#REF!,"AAAAAD79+l8=")</f>
        <v>#REF!</v>
      </c>
      <c r="CS24" t="e">
        <f>AND('Aggregates Handling'!#REF!,"AAAAAD79+mA=")</f>
        <v>#REF!</v>
      </c>
      <c r="CT24" t="e">
        <f>AND('Aggregates Handling'!#REF!,"AAAAAD79+mE=")</f>
        <v>#REF!</v>
      </c>
      <c r="CU24" t="e">
        <f>AND('Aggregates Handling'!#REF!,"AAAAAD79+mI=")</f>
        <v>#REF!</v>
      </c>
      <c r="CV24" t="e">
        <f>AND('Aggregates Handling'!#REF!,"AAAAAD79+mM=")</f>
        <v>#REF!</v>
      </c>
      <c r="CW24" t="e">
        <f>AND('Aggregates Handling'!#REF!,"AAAAAD79+mQ=")</f>
        <v>#REF!</v>
      </c>
      <c r="CX24" t="e">
        <f>AND('Aggregates Handling'!#REF!,"AAAAAD79+mU=")</f>
        <v>#REF!</v>
      </c>
      <c r="CY24" t="e">
        <f>AND('Aggregates Handling'!#REF!,"AAAAAD79+mY=")</f>
        <v>#REF!</v>
      </c>
      <c r="CZ24" t="e">
        <f>AND('Aggregates Handling'!#REF!,"AAAAAD79+mc=")</f>
        <v>#REF!</v>
      </c>
      <c r="DA24" t="e">
        <f>AND('Aggregates Handling'!#REF!,"AAAAAD79+mg=")</f>
        <v>#REF!</v>
      </c>
      <c r="DB24" t="e">
        <f>IF('Aggregates Handling'!#REF!,"AAAAAD79+mk=",0)</f>
        <v>#REF!</v>
      </c>
      <c r="DC24" t="e">
        <f>AND('Aggregates Handling'!#REF!,"AAAAAD79+mo=")</f>
        <v>#REF!</v>
      </c>
      <c r="DD24" t="e">
        <f>AND('Aggregates Handling'!#REF!,"AAAAAD79+ms=")</f>
        <v>#REF!</v>
      </c>
      <c r="DE24" t="e">
        <f>AND('Aggregates Handling'!#REF!,"AAAAAD79+mw=")</f>
        <v>#REF!</v>
      </c>
      <c r="DF24" t="e">
        <f>AND('Aggregates Handling'!#REF!,"AAAAAD79+m0=")</f>
        <v>#REF!</v>
      </c>
      <c r="DG24" t="e">
        <f>AND('Aggregates Handling'!#REF!,"AAAAAD79+m4=")</f>
        <v>#REF!</v>
      </c>
      <c r="DH24" t="e">
        <f>AND('Aggregates Handling'!#REF!,"AAAAAD79+m8=")</f>
        <v>#REF!</v>
      </c>
      <c r="DI24" t="e">
        <f>AND('Aggregates Handling'!#REF!,"AAAAAD79+nA=")</f>
        <v>#REF!</v>
      </c>
      <c r="DJ24" t="e">
        <f>AND('Aggregates Handling'!#REF!,"AAAAAD79+nE=")</f>
        <v>#REF!</v>
      </c>
      <c r="DK24" t="e">
        <f>AND('Aggregates Handling'!#REF!,"AAAAAD79+nI=")</f>
        <v>#REF!</v>
      </c>
      <c r="DL24" t="e">
        <f>AND('Aggregates Handling'!#REF!,"AAAAAD79+nM=")</f>
        <v>#REF!</v>
      </c>
      <c r="DM24" t="e">
        <f>AND('Aggregates Handling'!#REF!,"AAAAAD79+nQ=")</f>
        <v>#REF!</v>
      </c>
      <c r="DN24" t="e">
        <f>AND('Aggregates Handling'!#REF!,"AAAAAD79+nU=")</f>
        <v>#REF!</v>
      </c>
      <c r="DO24" t="e">
        <f>AND('Aggregates Handling'!#REF!,"AAAAAD79+nY=")</f>
        <v>#REF!</v>
      </c>
      <c r="DP24" t="e">
        <f>AND('Aggregates Handling'!#REF!,"AAAAAD79+nc=")</f>
        <v>#REF!</v>
      </c>
      <c r="DQ24" t="e">
        <f>AND('Aggregates Handling'!#REF!,"AAAAAD79+ng=")</f>
        <v>#REF!</v>
      </c>
      <c r="DR24" t="e">
        <f>AND('Aggregates Handling'!#REF!,"AAAAAD79+nk=")</f>
        <v>#REF!</v>
      </c>
      <c r="DS24" t="e">
        <f>AND('Aggregates Handling'!#REF!,"AAAAAD79+no=")</f>
        <v>#REF!</v>
      </c>
      <c r="DT24" t="e">
        <f>AND('Aggregates Handling'!#REF!,"AAAAAD79+ns=")</f>
        <v>#REF!</v>
      </c>
      <c r="DU24" t="e">
        <f>AND('Aggregates Handling'!#REF!,"AAAAAD79+nw=")</f>
        <v>#REF!</v>
      </c>
      <c r="DV24" t="e">
        <f>AND('Aggregates Handling'!#REF!,"AAAAAD79+n0=")</f>
        <v>#REF!</v>
      </c>
      <c r="DW24" t="e">
        <f>IF('Aggregates Handling'!#REF!,"AAAAAD79+n4=",0)</f>
        <v>#REF!</v>
      </c>
      <c r="DX24" t="e">
        <f>AND('Aggregates Handling'!#REF!,"AAAAAD79+n8=")</f>
        <v>#REF!</v>
      </c>
      <c r="DY24" t="e">
        <f>AND('Aggregates Handling'!#REF!,"AAAAAD79+oA=")</f>
        <v>#REF!</v>
      </c>
      <c r="DZ24" t="e">
        <f>AND('Aggregates Handling'!#REF!,"AAAAAD79+oE=")</f>
        <v>#REF!</v>
      </c>
      <c r="EA24" t="e">
        <f>AND('Aggregates Handling'!#REF!,"AAAAAD79+oI=")</f>
        <v>#REF!</v>
      </c>
      <c r="EB24" t="e">
        <f>AND('Aggregates Handling'!#REF!,"AAAAAD79+oM=")</f>
        <v>#REF!</v>
      </c>
      <c r="EC24" t="e">
        <f>AND('Aggregates Handling'!#REF!,"AAAAAD79+oQ=")</f>
        <v>#REF!</v>
      </c>
      <c r="ED24" t="e">
        <f>AND('Aggregates Handling'!#REF!,"AAAAAD79+oU=")</f>
        <v>#REF!</v>
      </c>
      <c r="EE24" t="e">
        <f>AND('Aggregates Handling'!#REF!,"AAAAAD79+oY=")</f>
        <v>#REF!</v>
      </c>
      <c r="EF24" t="e">
        <f>AND('Aggregates Handling'!#REF!,"AAAAAD79+oc=")</f>
        <v>#REF!</v>
      </c>
      <c r="EG24" t="e">
        <f>AND('Aggregates Handling'!#REF!,"AAAAAD79+og=")</f>
        <v>#REF!</v>
      </c>
      <c r="EH24" t="e">
        <f>AND('Aggregates Handling'!#REF!,"AAAAAD79+ok=")</f>
        <v>#REF!</v>
      </c>
      <c r="EI24" t="e">
        <f>AND('Aggregates Handling'!#REF!,"AAAAAD79+oo=")</f>
        <v>#REF!</v>
      </c>
      <c r="EJ24" t="e">
        <f>AND('Aggregates Handling'!#REF!,"AAAAAD79+os=")</f>
        <v>#REF!</v>
      </c>
      <c r="EK24" t="e">
        <f>AND('Aggregates Handling'!#REF!,"AAAAAD79+ow=")</f>
        <v>#REF!</v>
      </c>
      <c r="EL24" t="e">
        <f>AND('Aggregates Handling'!#REF!,"AAAAAD79+o0=")</f>
        <v>#REF!</v>
      </c>
      <c r="EM24" t="e">
        <f>AND('Aggregates Handling'!#REF!,"AAAAAD79+o4=")</f>
        <v>#REF!</v>
      </c>
      <c r="EN24" t="e">
        <f>AND('Aggregates Handling'!#REF!,"AAAAAD79+o8=")</f>
        <v>#REF!</v>
      </c>
      <c r="EO24" t="e">
        <f>AND('Aggregates Handling'!#REF!,"AAAAAD79+pA=")</f>
        <v>#REF!</v>
      </c>
      <c r="EP24" t="e">
        <f>AND('Aggregates Handling'!#REF!,"AAAAAD79+pE=")</f>
        <v>#REF!</v>
      </c>
      <c r="EQ24" t="e">
        <f>AND('Aggregates Handling'!#REF!,"AAAAAD79+pI=")</f>
        <v>#REF!</v>
      </c>
      <c r="ER24" t="e">
        <f>IF('Aggregates Handling'!#REF!,"AAAAAD79+pM=",0)</f>
        <v>#REF!</v>
      </c>
      <c r="ES24" t="e">
        <f>AND('Aggregates Handling'!#REF!,"AAAAAD79+pQ=")</f>
        <v>#REF!</v>
      </c>
      <c r="ET24" t="e">
        <f>AND('Aggregates Handling'!#REF!,"AAAAAD79+pU=")</f>
        <v>#REF!</v>
      </c>
      <c r="EU24" t="e">
        <f>AND('Aggregates Handling'!#REF!,"AAAAAD79+pY=")</f>
        <v>#REF!</v>
      </c>
      <c r="EV24" t="e">
        <f>AND('Aggregates Handling'!#REF!,"AAAAAD79+pc=")</f>
        <v>#REF!</v>
      </c>
      <c r="EW24" t="e">
        <f>AND('Aggregates Handling'!#REF!,"AAAAAD79+pg=")</f>
        <v>#REF!</v>
      </c>
      <c r="EX24" t="e">
        <f>AND('Aggregates Handling'!#REF!,"AAAAAD79+pk=")</f>
        <v>#REF!</v>
      </c>
      <c r="EY24" t="e">
        <f>AND('Aggregates Handling'!#REF!,"AAAAAD79+po=")</f>
        <v>#REF!</v>
      </c>
      <c r="EZ24" t="e">
        <f>AND('Aggregates Handling'!#REF!,"AAAAAD79+ps=")</f>
        <v>#REF!</v>
      </c>
      <c r="FA24" t="e">
        <f>AND('Aggregates Handling'!#REF!,"AAAAAD79+pw=")</f>
        <v>#REF!</v>
      </c>
      <c r="FB24" t="e">
        <f>AND('Aggregates Handling'!#REF!,"AAAAAD79+p0=")</f>
        <v>#REF!</v>
      </c>
      <c r="FC24" t="e">
        <f>AND('Aggregates Handling'!#REF!,"AAAAAD79+p4=")</f>
        <v>#REF!</v>
      </c>
      <c r="FD24" t="e">
        <f>AND('Aggregates Handling'!#REF!,"AAAAAD79+p8=")</f>
        <v>#REF!</v>
      </c>
      <c r="FE24" t="e">
        <f>AND('Aggregates Handling'!#REF!,"AAAAAD79+qA=")</f>
        <v>#REF!</v>
      </c>
      <c r="FF24" t="e">
        <f>AND('Aggregates Handling'!#REF!,"AAAAAD79+qE=")</f>
        <v>#REF!</v>
      </c>
      <c r="FG24" t="e">
        <f>AND('Aggregates Handling'!#REF!,"AAAAAD79+qI=")</f>
        <v>#REF!</v>
      </c>
      <c r="FH24" t="e">
        <f>AND('Aggregates Handling'!#REF!,"AAAAAD79+qM=")</f>
        <v>#REF!</v>
      </c>
      <c r="FI24" t="e">
        <f>AND('Aggregates Handling'!#REF!,"AAAAAD79+qQ=")</f>
        <v>#REF!</v>
      </c>
      <c r="FJ24" t="e">
        <f>AND('Aggregates Handling'!#REF!,"AAAAAD79+qU=")</f>
        <v>#REF!</v>
      </c>
      <c r="FK24" t="e">
        <f>AND('Aggregates Handling'!#REF!,"AAAAAD79+qY=")</f>
        <v>#REF!</v>
      </c>
      <c r="FL24" t="e">
        <f>AND('Aggregates Handling'!#REF!,"AAAAAD79+qc=")</f>
        <v>#REF!</v>
      </c>
      <c r="FM24" t="e">
        <f>IF('Aggregates Handling'!#REF!,"AAAAAD79+qg=",0)</f>
        <v>#REF!</v>
      </c>
      <c r="FN24" t="e">
        <f>AND('Aggregates Handling'!#REF!,"AAAAAD79+qk=")</f>
        <v>#REF!</v>
      </c>
      <c r="FO24" t="e">
        <f>AND('Aggregates Handling'!#REF!,"AAAAAD79+qo=")</f>
        <v>#REF!</v>
      </c>
      <c r="FP24" t="e">
        <f>AND('Aggregates Handling'!#REF!,"AAAAAD79+qs=")</f>
        <v>#REF!</v>
      </c>
      <c r="FQ24" t="e">
        <f>AND('Aggregates Handling'!#REF!,"AAAAAD79+qw=")</f>
        <v>#REF!</v>
      </c>
      <c r="FR24" t="e">
        <f>AND('Aggregates Handling'!#REF!,"AAAAAD79+q0=")</f>
        <v>#REF!</v>
      </c>
      <c r="FS24" t="e">
        <f>AND('Aggregates Handling'!#REF!,"AAAAAD79+q4=")</f>
        <v>#REF!</v>
      </c>
      <c r="FT24" t="e">
        <f>AND('Aggregates Handling'!#REF!,"AAAAAD79+q8=")</f>
        <v>#REF!</v>
      </c>
      <c r="FU24" t="e">
        <f>AND('Aggregates Handling'!#REF!,"AAAAAD79+rA=")</f>
        <v>#REF!</v>
      </c>
      <c r="FV24" t="e">
        <f>AND('Aggregates Handling'!#REF!,"AAAAAD79+rE=")</f>
        <v>#REF!</v>
      </c>
      <c r="FW24" t="e">
        <f>AND('Aggregates Handling'!#REF!,"AAAAAD79+rI=")</f>
        <v>#REF!</v>
      </c>
      <c r="FX24" t="e">
        <f>AND('Aggregates Handling'!#REF!,"AAAAAD79+rM=")</f>
        <v>#REF!</v>
      </c>
      <c r="FY24" t="e">
        <f>AND('Aggregates Handling'!#REF!,"AAAAAD79+rQ=")</f>
        <v>#REF!</v>
      </c>
      <c r="FZ24" t="e">
        <f>AND('Aggregates Handling'!#REF!,"AAAAAD79+rU=")</f>
        <v>#REF!</v>
      </c>
      <c r="GA24" t="e">
        <f>AND('Aggregates Handling'!#REF!,"AAAAAD79+rY=")</f>
        <v>#REF!</v>
      </c>
      <c r="GB24" t="e">
        <f>AND('Aggregates Handling'!#REF!,"AAAAAD79+rc=")</f>
        <v>#REF!</v>
      </c>
      <c r="GC24" t="e">
        <f>AND('Aggregates Handling'!#REF!,"AAAAAD79+rg=")</f>
        <v>#REF!</v>
      </c>
      <c r="GD24" t="e">
        <f>AND('Aggregates Handling'!#REF!,"AAAAAD79+rk=")</f>
        <v>#REF!</v>
      </c>
      <c r="GE24" t="e">
        <f>AND('Aggregates Handling'!#REF!,"AAAAAD79+ro=")</f>
        <v>#REF!</v>
      </c>
      <c r="GF24" t="e">
        <f>AND('Aggregates Handling'!#REF!,"AAAAAD79+rs=")</f>
        <v>#REF!</v>
      </c>
      <c r="GG24" t="e">
        <f>AND('Aggregates Handling'!#REF!,"AAAAAD79+rw=")</f>
        <v>#REF!</v>
      </c>
      <c r="GH24" t="e">
        <f>IF('Aggregates Handling'!#REF!,"AAAAAD79+r0=",0)</f>
        <v>#REF!</v>
      </c>
      <c r="GI24" t="e">
        <f>AND('Aggregates Handling'!#REF!,"AAAAAD79+r4=")</f>
        <v>#REF!</v>
      </c>
      <c r="GJ24" t="e">
        <f>AND('Aggregates Handling'!#REF!,"AAAAAD79+r8=")</f>
        <v>#REF!</v>
      </c>
      <c r="GK24" t="e">
        <f>AND('Aggregates Handling'!#REF!,"AAAAAD79+sA=")</f>
        <v>#REF!</v>
      </c>
      <c r="GL24" t="e">
        <f>AND('Aggregates Handling'!#REF!,"AAAAAD79+sE=")</f>
        <v>#REF!</v>
      </c>
      <c r="GM24" t="e">
        <f>AND('Aggregates Handling'!#REF!,"AAAAAD79+sI=")</f>
        <v>#REF!</v>
      </c>
      <c r="GN24" t="e">
        <f>AND('Aggregates Handling'!#REF!,"AAAAAD79+sM=")</f>
        <v>#REF!</v>
      </c>
      <c r="GO24" t="e">
        <f>AND('Aggregates Handling'!#REF!,"AAAAAD79+sQ=")</f>
        <v>#REF!</v>
      </c>
      <c r="GP24" t="e">
        <f>AND('Aggregates Handling'!#REF!,"AAAAAD79+sU=")</f>
        <v>#REF!</v>
      </c>
      <c r="GQ24" t="e">
        <f>AND('Aggregates Handling'!#REF!,"AAAAAD79+sY=")</f>
        <v>#REF!</v>
      </c>
      <c r="GR24" t="e">
        <f>AND('Aggregates Handling'!#REF!,"AAAAAD79+sc=")</f>
        <v>#REF!</v>
      </c>
      <c r="GS24" t="e">
        <f>AND('Aggregates Handling'!#REF!,"AAAAAD79+sg=")</f>
        <v>#REF!</v>
      </c>
      <c r="GT24" t="e">
        <f>AND('Aggregates Handling'!#REF!,"AAAAAD79+sk=")</f>
        <v>#REF!</v>
      </c>
      <c r="GU24" t="e">
        <f>AND('Aggregates Handling'!#REF!,"AAAAAD79+so=")</f>
        <v>#REF!</v>
      </c>
      <c r="GV24" t="e">
        <f>AND('Aggregates Handling'!#REF!,"AAAAAD79+ss=")</f>
        <v>#REF!</v>
      </c>
      <c r="GW24" t="e">
        <f>AND('Aggregates Handling'!#REF!,"AAAAAD79+sw=")</f>
        <v>#REF!</v>
      </c>
      <c r="GX24" t="e">
        <f>AND('Aggregates Handling'!#REF!,"AAAAAD79+s0=")</f>
        <v>#REF!</v>
      </c>
      <c r="GY24" t="e">
        <f>AND('Aggregates Handling'!#REF!,"AAAAAD79+s4=")</f>
        <v>#REF!</v>
      </c>
      <c r="GZ24" t="e">
        <f>AND('Aggregates Handling'!#REF!,"AAAAAD79+s8=")</f>
        <v>#REF!</v>
      </c>
      <c r="HA24" t="e">
        <f>AND('Aggregates Handling'!#REF!,"AAAAAD79+tA=")</f>
        <v>#REF!</v>
      </c>
      <c r="HB24" t="e">
        <f>AND('Aggregates Handling'!#REF!,"AAAAAD79+tE=")</f>
        <v>#REF!</v>
      </c>
      <c r="HC24" t="e">
        <f>IF('Aggregates Handling'!#REF!,"AAAAAD79+tI=",0)</f>
        <v>#REF!</v>
      </c>
      <c r="HD24" t="e">
        <f>AND('Aggregates Handling'!#REF!,"AAAAAD79+tM=")</f>
        <v>#REF!</v>
      </c>
      <c r="HE24" t="e">
        <f>AND('Aggregates Handling'!#REF!,"AAAAAD79+tQ=")</f>
        <v>#REF!</v>
      </c>
      <c r="HF24" t="e">
        <f>AND('Aggregates Handling'!#REF!,"AAAAAD79+tU=")</f>
        <v>#REF!</v>
      </c>
      <c r="HG24" t="e">
        <f>AND('Aggregates Handling'!#REF!,"AAAAAD79+tY=")</f>
        <v>#REF!</v>
      </c>
      <c r="HH24" t="e">
        <f>AND('Aggregates Handling'!#REF!,"AAAAAD79+tc=")</f>
        <v>#REF!</v>
      </c>
      <c r="HI24" t="e">
        <f>AND('Aggregates Handling'!#REF!,"AAAAAD79+tg=")</f>
        <v>#REF!</v>
      </c>
      <c r="HJ24" t="e">
        <f>AND('Aggregates Handling'!#REF!,"AAAAAD79+tk=")</f>
        <v>#REF!</v>
      </c>
      <c r="HK24" t="e">
        <f>AND('Aggregates Handling'!#REF!,"AAAAAD79+to=")</f>
        <v>#REF!</v>
      </c>
      <c r="HL24" t="e">
        <f>AND('Aggregates Handling'!#REF!,"AAAAAD79+ts=")</f>
        <v>#REF!</v>
      </c>
      <c r="HM24" t="e">
        <f>AND('Aggregates Handling'!#REF!,"AAAAAD79+tw=")</f>
        <v>#REF!</v>
      </c>
      <c r="HN24" t="e">
        <f>AND('Aggregates Handling'!#REF!,"AAAAAD79+t0=")</f>
        <v>#REF!</v>
      </c>
      <c r="HO24" t="e">
        <f>AND('Aggregates Handling'!#REF!,"AAAAAD79+t4=")</f>
        <v>#REF!</v>
      </c>
      <c r="HP24" t="e">
        <f>AND('Aggregates Handling'!#REF!,"AAAAAD79+t8=")</f>
        <v>#REF!</v>
      </c>
      <c r="HQ24" t="e">
        <f>AND('Aggregates Handling'!#REF!,"AAAAAD79+uA=")</f>
        <v>#REF!</v>
      </c>
      <c r="HR24" t="e">
        <f>AND('Aggregates Handling'!#REF!,"AAAAAD79+uE=")</f>
        <v>#REF!</v>
      </c>
      <c r="HS24" t="e">
        <f>AND('Aggregates Handling'!#REF!,"AAAAAD79+uI=")</f>
        <v>#REF!</v>
      </c>
      <c r="HT24" t="e">
        <f>AND('Aggregates Handling'!#REF!,"AAAAAD79+uM=")</f>
        <v>#REF!</v>
      </c>
      <c r="HU24" t="e">
        <f>AND('Aggregates Handling'!#REF!,"AAAAAD79+uQ=")</f>
        <v>#REF!</v>
      </c>
      <c r="HV24" t="e">
        <f>AND('Aggregates Handling'!#REF!,"AAAAAD79+uU=")</f>
        <v>#REF!</v>
      </c>
      <c r="HW24" t="e">
        <f>AND('Aggregates Handling'!#REF!,"AAAAAD79+uY=")</f>
        <v>#REF!</v>
      </c>
      <c r="HX24" t="e">
        <f>IF('Aggregates Handling'!#REF!,"AAAAAD79+uc=",0)</f>
        <v>#REF!</v>
      </c>
      <c r="HY24" t="e">
        <f>AND('Aggregates Handling'!#REF!,"AAAAAD79+ug=")</f>
        <v>#REF!</v>
      </c>
      <c r="HZ24" t="e">
        <f>AND('Aggregates Handling'!#REF!,"AAAAAD79+uk=")</f>
        <v>#REF!</v>
      </c>
      <c r="IA24" t="e">
        <f>AND('Aggregates Handling'!#REF!,"AAAAAD79+uo=")</f>
        <v>#REF!</v>
      </c>
      <c r="IB24" t="e">
        <f>AND('Aggregates Handling'!#REF!,"AAAAAD79+us=")</f>
        <v>#REF!</v>
      </c>
      <c r="IC24" t="e">
        <f>AND('Aggregates Handling'!#REF!,"AAAAAD79+uw=")</f>
        <v>#REF!</v>
      </c>
      <c r="ID24" t="e">
        <f>AND('Aggregates Handling'!#REF!,"AAAAAD79+u0=")</f>
        <v>#REF!</v>
      </c>
      <c r="IE24" t="e">
        <f>AND('Aggregates Handling'!#REF!,"AAAAAD79+u4=")</f>
        <v>#REF!</v>
      </c>
      <c r="IF24" t="e">
        <f>AND('Aggregates Handling'!#REF!,"AAAAAD79+u8=")</f>
        <v>#REF!</v>
      </c>
      <c r="IG24" t="e">
        <f>AND('Aggregates Handling'!#REF!,"AAAAAD79+vA=")</f>
        <v>#REF!</v>
      </c>
      <c r="IH24" t="e">
        <f>AND('Aggregates Handling'!#REF!,"AAAAAD79+vE=")</f>
        <v>#REF!</v>
      </c>
      <c r="II24" t="e">
        <f>AND('Aggregates Handling'!#REF!,"AAAAAD79+vI=")</f>
        <v>#REF!</v>
      </c>
      <c r="IJ24" t="e">
        <f>AND('Aggregates Handling'!#REF!,"AAAAAD79+vM=")</f>
        <v>#REF!</v>
      </c>
      <c r="IK24" t="e">
        <f>AND('Aggregates Handling'!#REF!,"AAAAAD79+vQ=")</f>
        <v>#REF!</v>
      </c>
      <c r="IL24" t="e">
        <f>AND('Aggregates Handling'!#REF!,"AAAAAD79+vU=")</f>
        <v>#REF!</v>
      </c>
      <c r="IM24" t="e">
        <f>AND('Aggregates Handling'!#REF!,"AAAAAD79+vY=")</f>
        <v>#REF!</v>
      </c>
      <c r="IN24" t="e">
        <f>AND('Aggregates Handling'!#REF!,"AAAAAD79+vc=")</f>
        <v>#REF!</v>
      </c>
      <c r="IO24" t="e">
        <f>AND('Aggregates Handling'!#REF!,"AAAAAD79+vg=")</f>
        <v>#REF!</v>
      </c>
      <c r="IP24" t="e">
        <f>AND('Aggregates Handling'!#REF!,"AAAAAD79+vk=")</f>
        <v>#REF!</v>
      </c>
      <c r="IQ24" t="e">
        <f>AND('Aggregates Handling'!#REF!,"AAAAAD79+vo=")</f>
        <v>#REF!</v>
      </c>
      <c r="IR24" t="e">
        <f>AND('Aggregates Handling'!#REF!,"AAAAAD79+vs=")</f>
        <v>#REF!</v>
      </c>
      <c r="IS24" t="e">
        <f>IF('Aggregates Handling'!#REF!,"AAAAAD79+vw=",0)</f>
        <v>#REF!</v>
      </c>
      <c r="IT24" t="e">
        <f>AND('Aggregates Handling'!#REF!,"AAAAAD79+v0=")</f>
        <v>#REF!</v>
      </c>
      <c r="IU24" t="e">
        <f>AND('Aggregates Handling'!#REF!,"AAAAAD79+v4=")</f>
        <v>#REF!</v>
      </c>
      <c r="IV24" t="e">
        <f>AND('Aggregates Handling'!#REF!,"AAAAAD79+v8=")</f>
        <v>#REF!</v>
      </c>
    </row>
    <row r="25" spans="1:256">
      <c r="A25" t="e">
        <f>AND('Aggregates Handling'!#REF!,"AAAAAGvv7gA=")</f>
        <v>#REF!</v>
      </c>
      <c r="B25" t="e">
        <f>AND('Aggregates Handling'!#REF!,"AAAAAGvv7gE=")</f>
        <v>#REF!</v>
      </c>
      <c r="C25" t="e">
        <f>AND('Aggregates Handling'!#REF!,"AAAAAGvv7gI=")</f>
        <v>#REF!</v>
      </c>
      <c r="D25" t="e">
        <f>AND('Aggregates Handling'!#REF!,"AAAAAGvv7gM=")</f>
        <v>#REF!</v>
      </c>
      <c r="E25" t="e">
        <f>AND('Aggregates Handling'!#REF!,"AAAAAGvv7gQ=")</f>
        <v>#REF!</v>
      </c>
      <c r="F25" t="e">
        <f>AND('Aggregates Handling'!#REF!,"AAAAAGvv7gU=")</f>
        <v>#REF!</v>
      </c>
      <c r="G25" t="e">
        <f>AND('Aggregates Handling'!#REF!,"AAAAAGvv7gY=")</f>
        <v>#REF!</v>
      </c>
      <c r="H25" t="e">
        <f>AND('Aggregates Handling'!#REF!,"AAAAAGvv7gc=")</f>
        <v>#REF!</v>
      </c>
      <c r="I25" t="e">
        <f>AND('Aggregates Handling'!#REF!,"AAAAAGvv7gg=")</f>
        <v>#REF!</v>
      </c>
      <c r="J25" t="e">
        <f>AND('Aggregates Handling'!#REF!,"AAAAAGvv7gk=")</f>
        <v>#REF!</v>
      </c>
      <c r="K25" t="e">
        <f>AND('Aggregates Handling'!#REF!,"AAAAAGvv7go=")</f>
        <v>#REF!</v>
      </c>
      <c r="L25" t="e">
        <f>AND('Aggregates Handling'!#REF!,"AAAAAGvv7gs=")</f>
        <v>#REF!</v>
      </c>
      <c r="M25" t="e">
        <f>AND('Aggregates Handling'!#REF!,"AAAAAGvv7gw=")</f>
        <v>#REF!</v>
      </c>
      <c r="N25" t="e">
        <f>AND('Aggregates Handling'!#REF!,"AAAAAGvv7g0=")</f>
        <v>#REF!</v>
      </c>
      <c r="O25" t="e">
        <f>AND('Aggregates Handling'!#REF!,"AAAAAGvv7g4=")</f>
        <v>#REF!</v>
      </c>
      <c r="P25" t="e">
        <f>AND('Aggregates Handling'!#REF!,"AAAAAGvv7g8=")</f>
        <v>#REF!</v>
      </c>
      <c r="Q25" t="e">
        <f>AND('Aggregates Handling'!#REF!,"AAAAAGvv7hA=")</f>
        <v>#REF!</v>
      </c>
      <c r="R25" t="e">
        <f>IF('Aggregates Handling'!#REF!,"AAAAAGvv7hE=",0)</f>
        <v>#REF!</v>
      </c>
      <c r="S25" t="e">
        <f>AND('Aggregates Handling'!#REF!,"AAAAAGvv7hI=")</f>
        <v>#REF!</v>
      </c>
      <c r="T25" t="e">
        <f>AND('Aggregates Handling'!#REF!,"AAAAAGvv7hM=")</f>
        <v>#REF!</v>
      </c>
      <c r="U25" t="e">
        <f>AND('Aggregates Handling'!#REF!,"AAAAAGvv7hQ=")</f>
        <v>#REF!</v>
      </c>
      <c r="V25" t="e">
        <f>AND('Aggregates Handling'!#REF!,"AAAAAGvv7hU=")</f>
        <v>#REF!</v>
      </c>
      <c r="W25" t="e">
        <f>AND('Aggregates Handling'!#REF!,"AAAAAGvv7hY=")</f>
        <v>#REF!</v>
      </c>
      <c r="X25" t="e">
        <f>AND('Aggregates Handling'!#REF!,"AAAAAGvv7hc=")</f>
        <v>#REF!</v>
      </c>
      <c r="Y25" t="e">
        <f>AND('Aggregates Handling'!#REF!,"AAAAAGvv7hg=")</f>
        <v>#REF!</v>
      </c>
      <c r="Z25" t="e">
        <f>AND('Aggregates Handling'!#REF!,"AAAAAGvv7hk=")</f>
        <v>#REF!</v>
      </c>
      <c r="AA25" t="e">
        <f>AND('Aggregates Handling'!#REF!,"AAAAAGvv7ho=")</f>
        <v>#REF!</v>
      </c>
      <c r="AB25" t="e">
        <f>AND('Aggregates Handling'!#REF!,"AAAAAGvv7hs=")</f>
        <v>#REF!</v>
      </c>
      <c r="AC25" t="e">
        <f>AND('Aggregates Handling'!#REF!,"AAAAAGvv7hw=")</f>
        <v>#REF!</v>
      </c>
      <c r="AD25" t="e">
        <f>AND('Aggregates Handling'!#REF!,"AAAAAGvv7h0=")</f>
        <v>#REF!</v>
      </c>
      <c r="AE25" t="e">
        <f>AND('Aggregates Handling'!#REF!,"AAAAAGvv7h4=")</f>
        <v>#REF!</v>
      </c>
      <c r="AF25" t="e">
        <f>AND('Aggregates Handling'!#REF!,"AAAAAGvv7h8=")</f>
        <v>#REF!</v>
      </c>
      <c r="AG25" t="e">
        <f>AND('Aggregates Handling'!#REF!,"AAAAAGvv7iA=")</f>
        <v>#REF!</v>
      </c>
      <c r="AH25" t="e">
        <f>AND('Aggregates Handling'!#REF!,"AAAAAGvv7iE=")</f>
        <v>#REF!</v>
      </c>
      <c r="AI25" t="e">
        <f>AND('Aggregates Handling'!#REF!,"AAAAAGvv7iI=")</f>
        <v>#REF!</v>
      </c>
      <c r="AJ25" t="e">
        <f>AND('Aggregates Handling'!#REF!,"AAAAAGvv7iM=")</f>
        <v>#REF!</v>
      </c>
      <c r="AK25" t="e">
        <f>AND('Aggregates Handling'!#REF!,"AAAAAGvv7iQ=")</f>
        <v>#REF!</v>
      </c>
      <c r="AL25" t="e">
        <f>AND('Aggregates Handling'!#REF!,"AAAAAGvv7iU=")</f>
        <v>#REF!</v>
      </c>
      <c r="AM25" t="e">
        <f>IF('Aggregates Handling'!#REF!,"AAAAAGvv7iY=",0)</f>
        <v>#REF!</v>
      </c>
      <c r="AN25" t="e">
        <f>IF('Aggregates Handling'!A:A,"AAAAAGvv7ic=",0)</f>
        <v>#VALUE!</v>
      </c>
      <c r="AO25">
        <f>IF('Aggregates Handling'!B:B,"AAAAAGvv7ig=",0)</f>
        <v>0</v>
      </c>
      <c r="AP25">
        <f>IF('Aggregates Handling'!C:C,"AAAAAGvv7ik=",0)</f>
        <v>0</v>
      </c>
      <c r="AQ25" t="e">
        <f>IF('Aggregates Handling'!D:D,"AAAAAGvv7io=",0)</f>
        <v>#VALUE!</v>
      </c>
      <c r="AR25" t="e">
        <f>IF('Aggregates Handling'!E:E,"AAAAAGvv7is=",0)</f>
        <v>#VALUE!</v>
      </c>
      <c r="AS25" t="e">
        <f>IF('Aggregates Handling'!F:F,"AAAAAGvv7iw=",0)</f>
        <v>#VALUE!</v>
      </c>
      <c r="AT25" t="e">
        <f>IF('Aggregates Handling'!G:G,"AAAAAGvv7i0=",0)</f>
        <v>#VALUE!</v>
      </c>
      <c r="AU25" t="e">
        <f>IF('Aggregates Handling'!H:H,"AAAAAGvv7i4=",0)</f>
        <v>#VALUE!</v>
      </c>
      <c r="AV25" t="e">
        <f>IF('Aggregates Handling'!I:I,"AAAAAGvv7i8=",0)</f>
        <v>#VALUE!</v>
      </c>
      <c r="AW25" t="e">
        <f>IF('Aggregates Handling'!J:J,"AAAAAGvv7jA=",0)</f>
        <v>#VALUE!</v>
      </c>
      <c r="AX25" t="e">
        <f>IF('Aggregates Handling'!K:K,"AAAAAGvv7jE=",0)</f>
        <v>#VALUE!</v>
      </c>
      <c r="AY25" t="e">
        <f>IF('Aggregates Handling'!L:L,"AAAAAGvv7jI=",0)</f>
        <v>#VALUE!</v>
      </c>
      <c r="AZ25" t="e">
        <f>IF('Aggregates Handling'!M:M,"AAAAAGvv7jM=",0)</f>
        <v>#VALUE!</v>
      </c>
      <c r="BA25">
        <f>IF('Aggregates Handling'!N:N,"AAAAAGvv7jQ=",0)</f>
        <v>0</v>
      </c>
      <c r="BB25">
        <f>IF('Aggregates Handling'!O:O,"AAAAAGvv7jU=",0)</f>
        <v>0</v>
      </c>
      <c r="BC25">
        <f>IF('Aggregates Handling'!P:P,"AAAAAGvv7jY=",0)</f>
        <v>0</v>
      </c>
      <c r="BD25">
        <f>IF('Aggregates Handling'!Q:Q,"AAAAAGvv7jc=",0)</f>
        <v>0</v>
      </c>
      <c r="BE25">
        <f>IF('Aggregates Handling'!R:R,"AAAAAGvv7jg=",0)</f>
        <v>0</v>
      </c>
      <c r="BF25">
        <f>IF('Aggregates Handling'!S:S,"AAAAAGvv7jk=",0)</f>
        <v>0</v>
      </c>
      <c r="BG25">
        <f>IF('Aggregates Handling'!T:T,"AAAAAGvv7jo=",0)</f>
        <v>0</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Heater'!A3,"AAAAAGvv7mw=")</f>
        <v>#VALUE!</v>
      </c>
      <c r="DF25" t="e">
        <f>AND('Auxiliary Heater'!B3,"AAAAAGvv7m0=")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Heater'!4:4,"AAAAAGvv7ns=",0)</f>
        <v>0</v>
      </c>
      <c r="DU25" t="e">
        <f>AND('Auxiliary Heater'!A4,"AAAAAGvv7nw=")</f>
        <v>#VALUE!</v>
      </c>
      <c r="DV25" t="e">
        <f>AND('Auxiliary Heater'!B4,"AAAAAGvv7n0=")</f>
        <v>#VALUE!</v>
      </c>
      <c r="DW25" t="e">
        <f>AND('Auxiliary Heater'!C4,"AAAAAGvv7n4=")</f>
        <v>#VALUE!</v>
      </c>
      <c r="DX25" t="e">
        <f>AND('Auxiliary Heater'!D4,"AAAAAGvv7n8=")</f>
        <v>#VALUE!</v>
      </c>
      <c r="DY25" t="e">
        <f>AND('Auxiliary Heater'!E4,"AAAAAGvv7oA=")</f>
        <v>#VALUE!</v>
      </c>
      <c r="DZ25" t="e">
        <f>AND('Auxiliary Heater'!F4,"AAAAAGvv7oE=")</f>
        <v>#VALUE!</v>
      </c>
      <c r="EA25" t="e">
        <f>AND('Auxiliary Heater'!G4,"AAAAAGvv7oI=")</f>
        <v>#VALUE!</v>
      </c>
      <c r="EB25" t="e">
        <f>AND('Auxiliary Heater'!H4,"AAAAAGvv7oM=")</f>
        <v>#VALUE!</v>
      </c>
      <c r="EC25" t="e">
        <f>AND('Auxiliary Heater'!I5,"AAAAAGvv7oQ=")</f>
        <v>#VALUE!</v>
      </c>
      <c r="ED25" t="e">
        <f>AND('Auxiliary Heater'!J4,"AAAAAGvv7oU=")</f>
        <v>#VALUE!</v>
      </c>
      <c r="EE25" t="e">
        <f>AND('Auxiliary Heater'!K4,"AAAAAGvv7oY=")</f>
        <v>#VALUE!</v>
      </c>
      <c r="EF25" t="e">
        <f>AND('Auxiliary Heater'!L4,"AAAAAGvv7oc=")</f>
        <v>#VALUE!</v>
      </c>
      <c r="EG25" t="e">
        <f>AND('Auxiliary Heater'!M4,"AAAAAGvv7og=")</f>
        <v>#VALUE!</v>
      </c>
      <c r="EH25" t="e">
        <f>AND('Auxiliary Heater'!N4,"AAAAAGvv7ok=")</f>
        <v>#VALUE!</v>
      </c>
      <c r="EI25" t="e">
        <f>AND('Auxiliary Heater'!O4,"AAAAAGvv7oo=")</f>
        <v>#VALUE!</v>
      </c>
      <c r="EJ25">
        <f>IF('Auxiliary Heater'!5:5,"AAAAAGvv7os=",0)</f>
        <v>0</v>
      </c>
      <c r="EK25" t="e">
        <f>AND('Auxiliary Heater'!A5,"AAAAAGvv7ow=")</f>
        <v>#VALUE!</v>
      </c>
      <c r="EL25" t="e">
        <f>AND('Auxiliary Heater'!B5,"AAAAAGvv7o0=")</f>
        <v>#VALUE!</v>
      </c>
      <c r="EM25" t="e">
        <f>AND('Auxiliary Heater'!C5,"AAAAAGvv7o4=")</f>
        <v>#VALUE!</v>
      </c>
      <c r="EN25" t="e">
        <f>AND('Auxiliary Heater'!D5,"AAAAAGvv7o8=")</f>
        <v>#VALUE!</v>
      </c>
      <c r="EO25" t="e">
        <f>AND('Auxiliary Heater'!E5,"AAAAAGvv7pA=")</f>
        <v>#VALUE!</v>
      </c>
      <c r="EP25" t="e">
        <f>AND('Auxiliary Heater'!F5,"AAAAAGvv7pE=")</f>
        <v>#VALUE!</v>
      </c>
      <c r="EQ25" t="e">
        <f>AND('Auxiliary Heater'!G5,"AAAAAGvv7pI=")</f>
        <v>#VALUE!</v>
      </c>
      <c r="ER25" t="e">
        <f>AND('Auxiliary Heater'!H5,"AAAAAGvv7pM=")</f>
        <v>#VALUE!</v>
      </c>
      <c r="ES25" t="e">
        <f>AND('Auxiliary Heater'!I6,"AAAAAGvv7pQ=")</f>
        <v>#VALUE!</v>
      </c>
      <c r="ET25" t="e">
        <f>AND('Auxiliary Heater'!J5,"AAAAAGvv7pU=")</f>
        <v>#VALUE!</v>
      </c>
      <c r="EU25" t="e">
        <f>AND('Auxiliary Heater'!K5,"AAAAAGvv7pY=")</f>
        <v>#VALUE!</v>
      </c>
      <c r="EV25" t="e">
        <f>AND('Auxiliary Heater'!L5,"AAAAAGvv7pc=")</f>
        <v>#VALUE!</v>
      </c>
      <c r="EW25" t="e">
        <f>AND('Auxiliary Heater'!M5,"AAAAAGvv7pg=")</f>
        <v>#VALUE!</v>
      </c>
      <c r="EX25" t="e">
        <f>AND('Auxiliary Heater'!N5,"AAAAAGvv7pk=")</f>
        <v>#VALUE!</v>
      </c>
      <c r="EY25" t="e">
        <f>AND('Auxiliary Heater'!O5,"AAAAAGvv7po=")</f>
        <v>#VALUE!</v>
      </c>
      <c r="EZ25">
        <f>IF('Auxiliary Heater'!6:6,"AAAAAGvv7ps=",0)</f>
        <v>0</v>
      </c>
      <c r="FA25" t="e">
        <f>AND('Auxiliary Heater'!A6,"AAAAAGvv7pw=")</f>
        <v>#VALUE!</v>
      </c>
      <c r="FB25" t="e">
        <f>AND('Auxiliary Heater'!B6,"AAAAAGvv7p0=")</f>
        <v>#VALUE!</v>
      </c>
      <c r="FC25" t="e">
        <f>AND('Auxiliary Heater'!C6,"AAAAAGvv7p4=")</f>
        <v>#VALUE!</v>
      </c>
      <c r="FD25" t="e">
        <f>AND('Auxiliary Heater'!D6,"AAAAAGvv7p8=")</f>
        <v>#VALUE!</v>
      </c>
      <c r="FE25" t="e">
        <f>AND('Auxiliary Heater'!E6,"AAAAAGvv7qA=")</f>
        <v>#VALUE!</v>
      </c>
      <c r="FF25" t="e">
        <f>AND('Auxiliary Heater'!F6,"AAAAAGvv7qE=")</f>
        <v>#VALUE!</v>
      </c>
      <c r="FG25" t="e">
        <f>AND('Auxiliary Heater'!G6,"AAAAAGvv7qI=")</f>
        <v>#VALUE!</v>
      </c>
      <c r="FH25" t="e">
        <f>AND('Auxiliary Heater'!H6,"AAAAAGvv7qM=")</f>
        <v>#VALUE!</v>
      </c>
      <c r="FI25" t="e">
        <f>AND('Auxiliary Heater'!#REF!,"AAAAAGvv7qQ=")</f>
        <v>#REF!</v>
      </c>
      <c r="FJ25" t="e">
        <f>AND('Auxiliary Heater'!J6,"AAAAAGvv7qU=")</f>
        <v>#VALUE!</v>
      </c>
      <c r="FK25" t="e">
        <f>AND('Auxiliary Heater'!K6,"AAAAAGvv7qY=")</f>
        <v>#VALUE!</v>
      </c>
      <c r="FL25" t="e">
        <f>AND('Auxiliary Heater'!L6,"AAAAAGvv7qc=")</f>
        <v>#VALUE!</v>
      </c>
      <c r="FM25" t="e">
        <f>AND('Auxiliary Heater'!M6,"AAAAAGvv7qg=")</f>
        <v>#VALUE!</v>
      </c>
      <c r="FN25" t="e">
        <f>AND('Auxiliary Heater'!N6,"AAAAAGvv7qk=")</f>
        <v>#VALUE!</v>
      </c>
      <c r="FO25" t="e">
        <f>AND('Auxiliary Heater'!O6,"AAAAAGvv7qo=")</f>
        <v>#VALUE!</v>
      </c>
      <c r="FP25">
        <f>IF('Auxiliary Heater'!10:10,"AAAAAGvv7qs=",0)</f>
        <v>0</v>
      </c>
      <c r="FQ25" t="e">
        <f>AND('Auxiliary Heater'!A10,"AAAAAGvv7qw=")</f>
        <v>#VALUE!</v>
      </c>
      <c r="FR25" t="e">
        <f>AND('Auxiliary Heater'!B10,"AAAAAGvv7q0=")</f>
        <v>#VALUE!</v>
      </c>
      <c r="FS25" t="e">
        <f>AND('Auxiliary Heater'!C10,"AAAAAGvv7q4=")</f>
        <v>#VALUE!</v>
      </c>
      <c r="FT25" t="e">
        <f>AND('Auxiliary Heater'!D10,"AAAAAGvv7q8=")</f>
        <v>#VALUE!</v>
      </c>
      <c r="FU25" t="e">
        <f>AND('Auxiliary Heater'!E10,"AAAAAGvv7rA=")</f>
        <v>#VALUE!</v>
      </c>
      <c r="FV25" t="e">
        <f>AND('Auxiliary Heater'!F10,"AAAAAGvv7rE=")</f>
        <v>#VALUE!</v>
      </c>
      <c r="FW25" t="e">
        <f>AND('Auxiliary Heater'!G10,"AAAAAGvv7rI=")</f>
        <v>#VALUE!</v>
      </c>
      <c r="FX25" t="e">
        <f>AND('Auxiliary Heater'!H10,"AAAAAGvv7rM=")</f>
        <v>#VALUE!</v>
      </c>
      <c r="FY25" t="e">
        <f>AND('Auxiliary Heater'!I10,"AAAAAGvv7rQ=")</f>
        <v>#VALUE!</v>
      </c>
      <c r="FZ25" t="e">
        <f>AND('Auxiliary Heater'!J10,"AAAAAGvv7rU=")</f>
        <v>#VALUE!</v>
      </c>
      <c r="GA25" t="e">
        <f>AND('Auxiliary Heater'!K10,"AAAAAGvv7rY=")</f>
        <v>#VALUE!</v>
      </c>
      <c r="GB25" t="e">
        <f>AND('Auxiliary Heater'!L10,"AAAAAGvv7rc=")</f>
        <v>#VALUE!</v>
      </c>
      <c r="GC25" t="e">
        <f>AND('Auxiliary Heater'!M10,"AAAAAGvv7rg=")</f>
        <v>#VALUE!</v>
      </c>
      <c r="GD25" t="e">
        <f>AND('Auxiliary Heater'!N10,"AAAAAGvv7rk=")</f>
        <v>#VALUE!</v>
      </c>
      <c r="GE25" t="e">
        <f>AND('Auxiliary Heater'!O10,"AAAAAGvv7ro=")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Heater'!11:11,"AAAAAA9y+0s=",0)</f>
        <v>0</v>
      </c>
      <c r="BY26" t="e">
        <f>AND('Auxiliary Heater'!A11,"AAAAAA9y+0w=")</f>
        <v>#VALUE!</v>
      </c>
      <c r="BZ26" t="e">
        <f>AND('Auxiliary Heater'!B11,"AAAAAA9y+00=")</f>
        <v>#VALUE!</v>
      </c>
      <c r="CA26" t="e">
        <f>AND('Auxiliary Heater'!C11,"AAAAAA9y+04=")</f>
        <v>#VALUE!</v>
      </c>
      <c r="CB26" t="e">
        <f>AND('Auxiliary Heater'!D11,"AAAAAA9y+08=")</f>
        <v>#VALUE!</v>
      </c>
      <c r="CC26" t="e">
        <f>AND('Auxiliary Heater'!E11,"AAAAAA9y+1A=")</f>
        <v>#VALUE!</v>
      </c>
      <c r="CD26" t="e">
        <f>AND('Auxiliary Heater'!F11,"AAAAAA9y+1E=")</f>
        <v>#VALUE!</v>
      </c>
      <c r="CE26" t="e">
        <f>AND('Auxiliary Heater'!G11,"AAAAAA9y+1I=")</f>
        <v>#VALUE!</v>
      </c>
      <c r="CF26" t="e">
        <f>AND('Auxiliary Heater'!H11,"AAAAAA9y+1M=")</f>
        <v>#VALUE!</v>
      </c>
      <c r="CG26" t="e">
        <f>AND('Auxiliary Heater'!I11,"AAAAAA9y+1Q=")</f>
        <v>#VALUE!</v>
      </c>
      <c r="CH26" t="e">
        <f>AND('Auxiliary Heater'!J11,"AAAAAA9y+1U=")</f>
        <v>#VALUE!</v>
      </c>
      <c r="CI26" t="e">
        <f>AND('Auxiliary Heater'!K11,"AAAAAA9y+1Y=")</f>
        <v>#VALUE!</v>
      </c>
      <c r="CJ26" t="e">
        <f>AND('Auxiliary Heater'!L11,"AAAAAA9y+1c=")</f>
        <v>#VALUE!</v>
      </c>
      <c r="CK26" t="e">
        <f>AND('Auxiliary Heater'!M11,"AAAAAA9y+1g=")</f>
        <v>#VALUE!</v>
      </c>
      <c r="CL26" t="e">
        <f>AND('Auxiliary Heater'!N11,"AAAAAA9y+1k=")</f>
        <v>#VALUE!</v>
      </c>
      <c r="CM26" t="e">
        <f>AND('Auxiliary Heater'!O11,"AAAAAA9y+1o=")</f>
        <v>#VALUE!</v>
      </c>
      <c r="CN26">
        <f>IF('Auxiliary Heater'!27:27,"AAAAAA9y+1s=",0)</f>
        <v>0</v>
      </c>
      <c r="CO26" t="e">
        <f>AND('Auxiliary Heater'!A27,"AAAAAA9y+1w=")</f>
        <v>#VALUE!</v>
      </c>
      <c r="CP26" t="e">
        <f>AND('Auxiliary Heater'!B27,"AAAAAA9y+10=")</f>
        <v>#VALUE!</v>
      </c>
      <c r="CQ26" t="e">
        <f>AND('Auxiliary Heater'!C27,"AAAAAA9y+14=")</f>
        <v>#VALUE!</v>
      </c>
      <c r="CR26" t="e">
        <f>AND('Auxiliary Heater'!D27,"AAAAAA9y+18=")</f>
        <v>#VALUE!</v>
      </c>
      <c r="CS26" t="e">
        <f>AND('Auxiliary Heater'!E27,"AAAAAA9y+2A=")</f>
        <v>#VALUE!</v>
      </c>
      <c r="CT26" t="e">
        <f>AND('Auxiliary Heater'!F27,"AAAAAA9y+2E=")</f>
        <v>#VALUE!</v>
      </c>
      <c r="CU26" t="e">
        <f>AND('Auxiliary Heater'!G27,"AAAAAA9y+2I=")</f>
        <v>#VALUE!</v>
      </c>
      <c r="CV26" t="e">
        <f>AND('Auxiliary Heater'!H27,"AAAAAA9y+2M=")</f>
        <v>#VALUE!</v>
      </c>
      <c r="CW26" t="e">
        <f>AND('Auxiliary Heater'!I27,"AAAAAA9y+2Q=")</f>
        <v>#VALUE!</v>
      </c>
      <c r="CX26" t="e">
        <f>AND('Auxiliary Heater'!J27,"AAAAAA9y+2U=")</f>
        <v>#VALUE!</v>
      </c>
      <c r="CY26" t="e">
        <f>AND('Auxiliary Heater'!K27,"AAAAAA9y+2Y=")</f>
        <v>#VALUE!</v>
      </c>
      <c r="CZ26" t="e">
        <f>AND('Auxiliary Heater'!L27,"AAAAAA9y+2c=")</f>
        <v>#VALUE!</v>
      </c>
      <c r="DA26" t="e">
        <f>AND('Auxiliary Heater'!M27,"AAAAAA9y+2g=")</f>
        <v>#VALUE!</v>
      </c>
      <c r="DB26" t="e">
        <f>AND('Auxiliary Heater'!N27,"AAAAAA9y+2k=")</f>
        <v>#VALUE!</v>
      </c>
      <c r="DC26" t="e">
        <f>AND('Auxiliary Heater'!O27,"AAAAAA9y+2o=")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Heater'!42:42,"AAAAAHuTb1s=",0)</f>
        <v>0</v>
      </c>
      <c r="CO29" t="e">
        <f>AND('Auxiliary Heater'!A42,"AAAAAHuTb1w=")</f>
        <v>#VALUE!</v>
      </c>
      <c r="CP29" t="e">
        <f>AND('Auxiliary Heater'!B42,"AAAAAHuTb10=")</f>
        <v>#VALUE!</v>
      </c>
      <c r="CQ29" t="e">
        <f>AND('Auxiliary Heater'!C42,"AAAAAHuTb14=")</f>
        <v>#VALUE!</v>
      </c>
      <c r="CR29" t="e">
        <f>AND('Auxiliary Heater'!D42,"AAAAAHuTb18=")</f>
        <v>#VALUE!</v>
      </c>
      <c r="CS29" t="e">
        <f>AND('Auxiliary Heater'!E42,"AAAAAHuTb2A=")</f>
        <v>#VALUE!</v>
      </c>
      <c r="CT29" t="e">
        <f>AND('Auxiliary Heater'!F42,"AAAAAHuTb2E=")</f>
        <v>#VALUE!</v>
      </c>
      <c r="CU29" t="e">
        <f>AND('Auxiliary Heater'!G42,"AAAAAHuTb2I=")</f>
        <v>#VALUE!</v>
      </c>
      <c r="CV29" t="e">
        <f>AND('Auxiliary Heater'!H42,"AAAAAHuTb2M=")</f>
        <v>#VALUE!</v>
      </c>
      <c r="CW29" t="e">
        <f>AND('Auxiliary Heater'!I42,"AAAAAHuTb2Q=")</f>
        <v>#VALUE!</v>
      </c>
      <c r="CX29" t="e">
        <f>AND('Auxiliary Heater'!J42,"AAAAAHuTb2U=")</f>
        <v>#VALUE!</v>
      </c>
      <c r="CY29" t="e">
        <f>AND('Auxiliary Heater'!K42,"AAAAAHuTb2Y=")</f>
        <v>#VALUE!</v>
      </c>
      <c r="CZ29" t="e">
        <f>AND('Auxiliary Heater'!L42,"AAAAAHuTb2c=")</f>
        <v>#VALUE!</v>
      </c>
      <c r="DA29" t="e">
        <f>AND('Auxiliary Heater'!M42,"AAAAAHuTb2g=")</f>
        <v>#VALUE!</v>
      </c>
      <c r="DB29" t="e">
        <f>AND('Auxiliary Heater'!N42,"AAAAAHuTb2k=")</f>
        <v>#VALUE!</v>
      </c>
      <c r="DC29" t="e">
        <f>AND('Auxiliary Heater'!O42,"AAAAAHuTb2o=")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Heater'!43:43,"AAAAAFLo7ws=",0)</f>
        <v>0</v>
      </c>
      <c r="M30" t="e">
        <f>AND('Auxiliary Heater'!A43,"AAAAAFLo7ww=")</f>
        <v>#VALUE!</v>
      </c>
      <c r="N30" t="e">
        <f>AND('Auxiliary Heater'!B43,"AAAAAFLo7w0=")</f>
        <v>#VALUE!</v>
      </c>
      <c r="O30" t="e">
        <f>AND('Auxiliary Heater'!C43,"AAAAAFLo7w4=")</f>
        <v>#VALUE!</v>
      </c>
      <c r="P30" t="e">
        <f>AND('Auxiliary Heater'!D43,"AAAAAFLo7w8=")</f>
        <v>#VALUE!</v>
      </c>
      <c r="Q30" t="e">
        <f>AND('Auxiliary Heater'!E43,"AAAAAFLo7xA=")</f>
        <v>#VALUE!</v>
      </c>
      <c r="R30" t="e">
        <f>AND('Auxiliary Heater'!F43,"AAAAAFLo7xE=")</f>
        <v>#VALUE!</v>
      </c>
      <c r="S30" t="e">
        <f>AND('Auxiliary Heater'!G43,"AAAAAFLo7xI=")</f>
        <v>#VALUE!</v>
      </c>
      <c r="T30" t="e">
        <f>AND('Auxiliary Heater'!H43,"AAAAAFLo7xM=")</f>
        <v>#VALUE!</v>
      </c>
      <c r="U30" t="e">
        <f>AND('Auxiliary Heater'!I43,"AAAAAFLo7xQ=")</f>
        <v>#VALUE!</v>
      </c>
      <c r="V30" t="e">
        <f>AND('Auxiliary Heater'!J43,"AAAAAFLo7xU=")</f>
        <v>#VALUE!</v>
      </c>
      <c r="W30" t="e">
        <f>AND('Auxiliary Heater'!K43,"AAAAAFLo7xY=")</f>
        <v>#VALUE!</v>
      </c>
      <c r="X30" t="e">
        <f>AND('Auxiliary Heater'!L43,"AAAAAFLo7xc=")</f>
        <v>#VALUE!</v>
      </c>
      <c r="Y30" t="e">
        <f>AND('Auxiliary Heater'!M43,"AAAAAFLo7xg=")</f>
        <v>#VALUE!</v>
      </c>
      <c r="Z30" t="e">
        <f>AND('Auxiliary Heater'!N43,"AAAAAFLo7xk=")</f>
        <v>#VALUE!</v>
      </c>
      <c r="AA30" t="e">
        <f>AND('Auxiliary Heater'!O43,"AAAAAFLo7xo=")</f>
        <v>#VALUE!</v>
      </c>
      <c r="AB30">
        <f>IF('Auxiliary Heater'!44:44,"AAAAAFLo7xs=",0)</f>
        <v>0</v>
      </c>
      <c r="AC30" t="e">
        <f>AND('Auxiliary Heater'!A44,"AAAAAFLo7xw=")</f>
        <v>#VALUE!</v>
      </c>
      <c r="AD30" t="e">
        <f>AND('Auxiliary Heater'!B44,"AAAAAFLo7x0=")</f>
        <v>#VALUE!</v>
      </c>
      <c r="AE30" t="e">
        <f>AND('Auxiliary Heater'!C44,"AAAAAFLo7x4=")</f>
        <v>#VALUE!</v>
      </c>
      <c r="AF30" t="e">
        <f>AND('Auxiliary Heater'!D44,"AAAAAFLo7x8=")</f>
        <v>#VALUE!</v>
      </c>
      <c r="AG30" t="e">
        <f>AND('Auxiliary Heater'!E44,"AAAAAFLo7yA=")</f>
        <v>#VALUE!</v>
      </c>
      <c r="AH30" t="e">
        <f>AND('Auxiliary Heater'!F44,"AAAAAFLo7yE=")</f>
        <v>#VALUE!</v>
      </c>
      <c r="AI30" t="e">
        <f>AND('Auxiliary Heater'!G44,"AAAAAFLo7yI=")</f>
        <v>#VALUE!</v>
      </c>
      <c r="AJ30" t="e">
        <f>AND('Auxiliary Heater'!H44,"AAAAAFLo7yM=")</f>
        <v>#VALUE!</v>
      </c>
      <c r="AK30" t="e">
        <f>AND('Auxiliary Heater'!I44,"AAAAAFLo7yQ=")</f>
        <v>#VALUE!</v>
      </c>
      <c r="AL30" t="e">
        <f>AND('Auxiliary Heater'!J44,"AAAAAFLo7yU=")</f>
        <v>#VALUE!</v>
      </c>
      <c r="AM30" t="e">
        <f>AND('Auxiliary Heater'!K44,"AAAAAFLo7yY=")</f>
        <v>#VALUE!</v>
      </c>
      <c r="AN30" t="e">
        <f>AND('Auxiliary Heater'!L44,"AAAAAFLo7yc=")</f>
        <v>#VALUE!</v>
      </c>
      <c r="AO30" t="e">
        <f>AND('Auxiliary Heater'!M44,"AAAAAFLo7yg=")</f>
        <v>#VALUE!</v>
      </c>
      <c r="AP30" t="e">
        <f>AND('Auxiliary Heater'!N44,"AAAAAFLo7yk=")</f>
        <v>#VALUE!</v>
      </c>
      <c r="AQ30" t="e">
        <f>AND('Auxiliary Heater'!O44,"AAAAAFLo7yo=")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f>IF('Auxiliary Heater'!B:B,"AAAAAHdcng8=",0)</f>
        <v>0</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f>IF(LOSF.Crit!1:1,"AAAAAHdcnh0=",0)</f>
        <v>0</v>
      </c>
      <c r="AE32" t="e">
        <f>AND(LOSF.Crit!A1,"AAAAAHdcnh4=")</f>
        <v>#VALUE!</v>
      </c>
      <c r="AF32" t="e">
        <f>AND(LOSF.Crit!B1,"AAAAAHdcnh8=")</f>
        <v>#VALUE!</v>
      </c>
      <c r="AG32" t="e">
        <f>AND(LOSF.Crit!C1,"AAAAAHdcniA=")</f>
        <v>#VALUE!</v>
      </c>
      <c r="AH32" t="e">
        <f>AND(LOSF.Crit!D1,"AAAAAHdcniE=")</f>
        <v>#VALUE!</v>
      </c>
      <c r="AI32" t="e">
        <f>AND(LOSF.Crit!E1,"AAAAAHdcniI=")</f>
        <v>#VALUE!</v>
      </c>
      <c r="AJ32" t="e">
        <f>AND(LOSF.Crit!F1,"AAAAAHdcniM=")</f>
        <v>#VALUE!</v>
      </c>
      <c r="AK32" t="e">
        <f>AND(LOSF.Crit!G1,"AAAAAHdcniQ=")</f>
        <v>#VALUE!</v>
      </c>
      <c r="AL32" t="e">
        <f>AND(LOSF.Crit!H1,"AAAAAHdcniU=")</f>
        <v>#VALUE!</v>
      </c>
      <c r="AM32" t="e">
        <f>AND(LOSF.Crit!I1,"AAAAAHdcniY=")</f>
        <v>#VALUE!</v>
      </c>
      <c r="AN32" t="e">
        <f>AND(LOSF.Crit!J1,"AAAAAHdcnic=")</f>
        <v>#VALUE!</v>
      </c>
      <c r="AO32" t="e">
        <f>AND(LOSF.Crit!#REF!,"AAAAAHdcnig=")</f>
        <v>#REF!</v>
      </c>
      <c r="AP32" t="e">
        <f>AND(LOSF.Crit!#REF!,"AAAAAHdcnik=")</f>
        <v>#REF!</v>
      </c>
      <c r="AQ32" t="e">
        <f>AND(LOSF.Crit!#REF!,"AAAAAHdcnio=")</f>
        <v>#REF!</v>
      </c>
      <c r="AR32" t="e">
        <f>AND(LOSF.Crit!K1,"AAAAAHdcnis=")</f>
        <v>#VALUE!</v>
      </c>
      <c r="AS32" t="e">
        <f>AND(LOSF.Crit!L1,"AAAAAHdcniw=")</f>
        <v>#VALUE!</v>
      </c>
      <c r="AT32">
        <f>IF(LOSF.Crit!2:2,"AAAAAHdcni0=",0)</f>
        <v>0</v>
      </c>
      <c r="AU32" t="e">
        <f>AND(LOSF.Crit!A2,"AAAAAHdcni4=")</f>
        <v>#VALUE!</v>
      </c>
      <c r="AV32" t="e">
        <f>AND(LOSF.Crit!B2,"AAAAAHdcni8=")</f>
        <v>#VALUE!</v>
      </c>
      <c r="AW32" t="e">
        <f>AND(LOSF.Crit!C2,"AAAAAHdcnjA=")</f>
        <v>#VALUE!</v>
      </c>
      <c r="AX32" t="e">
        <f>AND(LOSF.Crit!D2,"AAAAAHdcnjE=")</f>
        <v>#VALUE!</v>
      </c>
      <c r="AY32" t="e">
        <f>AND(LOSF.Crit!E2,"AAAAAHdcnjI=")</f>
        <v>#VALUE!</v>
      </c>
      <c r="AZ32" t="e">
        <f>AND(LOSF.Crit!F2,"AAAAAHdcnjM=")</f>
        <v>#VALUE!</v>
      </c>
      <c r="BA32" t="e">
        <f>AND(LOSF.Crit!G2,"AAAAAHdcnjQ=")</f>
        <v>#VALUE!</v>
      </c>
      <c r="BB32" t="e">
        <f>AND(LOSF.Crit!H2,"AAAAAHdcnjU=")</f>
        <v>#VALUE!</v>
      </c>
      <c r="BC32" t="e">
        <f>AND(LOSF.Crit!I2,"AAAAAHdcnjY=")</f>
        <v>#VALUE!</v>
      </c>
      <c r="BD32" t="e">
        <f>AND(LOSF.Crit!J2,"AAAAAHdcnjc=")</f>
        <v>#VALUE!</v>
      </c>
      <c r="BE32" t="e">
        <f>AND(LOSF.Crit!#REF!,"AAAAAHdcnjg=")</f>
        <v>#REF!</v>
      </c>
      <c r="BF32" t="e">
        <f>AND(LOSF.Crit!#REF!,"AAAAAHdcnjk=")</f>
        <v>#REF!</v>
      </c>
      <c r="BG32" t="e">
        <f>AND(LOSF.Crit!#REF!,"AAAAAHdcnjo=")</f>
        <v>#REF!</v>
      </c>
      <c r="BH32" t="e">
        <f>AND(LOSF.Crit!K2,"AAAAAHdcnjs=")</f>
        <v>#VALUE!</v>
      </c>
      <c r="BI32" t="e">
        <f>AND(LOSF.Crit!L2,"AAAAAHdcnjw=")</f>
        <v>#VALUE!</v>
      </c>
      <c r="BJ32" t="e">
        <f>IF(LOSF.Crit!#REF!,"AAAAAHdcnj0=",0)</f>
        <v>#REF!</v>
      </c>
      <c r="BK32" t="e">
        <f>AND(LOSF.Crit!#REF!,"AAAAAHdcnj4=")</f>
        <v>#REF!</v>
      </c>
      <c r="BL32" t="e">
        <f>AND(LOSF.Crit!#REF!,"AAAAAHdcnj8=")</f>
        <v>#REF!</v>
      </c>
      <c r="BM32" t="e">
        <f>AND(LOSF.Crit!#REF!,"AAAAAHdcnkA=")</f>
        <v>#REF!</v>
      </c>
      <c r="BN32" t="e">
        <f>AND(LOSF.Crit!#REF!,"AAAAAHdcnkE=")</f>
        <v>#REF!</v>
      </c>
      <c r="BO32" t="e">
        <f>AND(LOSF.Crit!#REF!,"AAAAAHdcnkI=")</f>
        <v>#REF!</v>
      </c>
      <c r="BP32" t="e">
        <f>AND(LOSF.Crit!#REF!,"AAAAAHdcnkM=")</f>
        <v>#REF!</v>
      </c>
      <c r="BQ32" t="e">
        <f>AND(LOSF.Crit!#REF!,"AAAAAHdcnkQ=")</f>
        <v>#REF!</v>
      </c>
      <c r="BR32" t="e">
        <f>AND(LOSF.Crit!#REF!,"AAAAAHdcnkU=")</f>
        <v>#REF!</v>
      </c>
      <c r="BS32" t="e">
        <f>AND(LOSF.Crit!#REF!,"AAAAAHdcnkY=")</f>
        <v>#REF!</v>
      </c>
      <c r="BT32" t="e">
        <f>AND(LOSF.Crit!#REF!,"AAAAAHdcnkc=")</f>
        <v>#REF!</v>
      </c>
      <c r="BU32" t="e">
        <f>AND(LOSF.Crit!#REF!,"AAAAAHdcnkg=")</f>
        <v>#REF!</v>
      </c>
      <c r="BV32" t="e">
        <f>AND(LOSF.Crit!#REF!,"AAAAAHdcnkk=")</f>
        <v>#REF!</v>
      </c>
      <c r="BW32" t="e">
        <f>AND(LOSF.Crit!#REF!,"AAAAAHdcnko=")</f>
        <v>#REF!</v>
      </c>
      <c r="BX32" t="e">
        <f>AND(LOSF.Crit!#REF!,"AAAAAHdcnks=")</f>
        <v>#REF!</v>
      </c>
      <c r="BY32" t="e">
        <f>AND(LOSF.Crit!#REF!,"AAAAAHdcnkw=")</f>
        <v>#REF!</v>
      </c>
      <c r="BZ32">
        <f>IF(LOSF.Crit!3:3,"AAAAAHdcnk0=",0)</f>
        <v>0</v>
      </c>
      <c r="CA32" t="e">
        <f>AND(LOSF.Crit!A3,"AAAAAHdcnk4=")</f>
        <v>#VALUE!</v>
      </c>
      <c r="CB32" t="e">
        <f>AND(LOSF.Crit!B3,"AAAAAHdcnk8=")</f>
        <v>#VALUE!</v>
      </c>
      <c r="CC32" t="e">
        <f>AND(LOSF.Crit!C3,"AAAAAHdcnlA=")</f>
        <v>#VALUE!</v>
      </c>
      <c r="CD32" t="e">
        <f>AND(LOSF.Crit!D3,"AAAAAHdcnlE=")</f>
        <v>#VALUE!</v>
      </c>
      <c r="CE32" t="e">
        <f>AND(LOSF.Crit!E3,"AAAAAHdcnlI=")</f>
        <v>#VALUE!</v>
      </c>
      <c r="CF32" t="e">
        <f>AND(LOSF.Crit!F3,"AAAAAHdcnlM=")</f>
        <v>#VALUE!</v>
      </c>
      <c r="CG32" t="e">
        <f>AND(LOSF.Crit!G3,"AAAAAHdcnlQ=")</f>
        <v>#VALUE!</v>
      </c>
      <c r="CH32" t="e">
        <f>AND(LOSF.Crit!H3,"AAAAAHdcnlU=")</f>
        <v>#VALUE!</v>
      </c>
      <c r="CI32" t="e">
        <f>AND(LOSF.Crit!I3,"AAAAAHdcnlY=")</f>
        <v>#VALUE!</v>
      </c>
      <c r="CJ32" t="e">
        <f>AND(LOSF.Crit!J3,"AAAAAHdcnlc=")</f>
        <v>#VALUE!</v>
      </c>
      <c r="CK32" t="e">
        <f>AND(LOSF.Crit!#REF!,"AAAAAHdcnlg=")</f>
        <v>#REF!</v>
      </c>
      <c r="CL32" t="e">
        <f>AND(LOSF.Crit!#REF!,"AAAAAHdcnlk=")</f>
        <v>#REF!</v>
      </c>
      <c r="CM32" t="e">
        <f>AND(LOSF.Crit!#REF!,"AAAAAHdcnlo=")</f>
        <v>#REF!</v>
      </c>
      <c r="CN32" t="e">
        <f>AND(LOSF.Crit!K3,"AAAAAHdcnls=")</f>
        <v>#VALUE!</v>
      </c>
      <c r="CO32" t="e">
        <f>AND(LOSF.Crit!L3,"AAAAAHdcnlw=")</f>
        <v>#VALUE!</v>
      </c>
      <c r="CP32">
        <f>IF(LOSF.Crit!4:4,"AAAAAHdcnl0=",0)</f>
        <v>0</v>
      </c>
      <c r="CQ32" t="e">
        <f>AND(LOSF.Crit!A4,"AAAAAHdcnl4=")</f>
        <v>#VALUE!</v>
      </c>
      <c r="CR32" t="e">
        <f>AND(LOSF.Crit!B4,"AAAAAHdcnl8=")</f>
        <v>#VALUE!</v>
      </c>
      <c r="CS32" t="e">
        <f>AND(LOSF.Crit!C4,"AAAAAHdcnmA=")</f>
        <v>#VALUE!</v>
      </c>
      <c r="CT32" t="e">
        <f>AND(LOSF.Crit!D4,"AAAAAHdcnmE=")</f>
        <v>#VALUE!</v>
      </c>
      <c r="CU32" t="e">
        <f>AND(LOSF.Crit!E4,"AAAAAHdcnmI=")</f>
        <v>#VALUE!</v>
      </c>
      <c r="CV32" t="e">
        <f>AND(LOSF.Crit!F4,"AAAAAHdcnmM=")</f>
        <v>#VALUE!</v>
      </c>
      <c r="CW32" t="e">
        <f>AND(LOSF.Crit!G4,"AAAAAHdcnmQ=")</f>
        <v>#VALUE!</v>
      </c>
      <c r="CX32" t="e">
        <f>AND(LOSF.Crit!H4,"AAAAAHdcnmU=")</f>
        <v>#VALUE!</v>
      </c>
      <c r="CY32" t="e">
        <f>AND(LOSF.Crit!I4,"AAAAAHdcnmY=")</f>
        <v>#VALUE!</v>
      </c>
      <c r="CZ32" t="e">
        <f>AND(LOSF.Crit!J4,"AAAAAHdcnmc=")</f>
        <v>#VALUE!</v>
      </c>
      <c r="DA32" t="e">
        <f>AND(LOSF.Crit!#REF!,"AAAAAHdcnmg=")</f>
        <v>#REF!</v>
      </c>
      <c r="DB32" t="e">
        <f>AND(LOSF.Crit!#REF!,"AAAAAHdcnmk=")</f>
        <v>#REF!</v>
      </c>
      <c r="DC32" t="e">
        <f>AND(LOSF.Crit!#REF!,"AAAAAHdcnmo=")</f>
        <v>#REF!</v>
      </c>
      <c r="DD32" t="e">
        <f>AND(LOSF.Crit!K4,"AAAAAHdcnms=")</f>
        <v>#VALUE!</v>
      </c>
      <c r="DE32" t="e">
        <f>AND(LOSF.Crit!L4,"AAAAAHdcnmw=")</f>
        <v>#VALUE!</v>
      </c>
      <c r="DF32">
        <f>IF(LOSF.Crit!5:5,"AAAAAHdcnm0=",0)</f>
        <v>0</v>
      </c>
      <c r="DG32" t="e">
        <f>AND(LOSF.Crit!A5,"AAAAAHdcnm4=")</f>
        <v>#VALUE!</v>
      </c>
      <c r="DH32" t="e">
        <f>AND(LOSF.Crit!B5,"AAAAAHdcnm8=")</f>
        <v>#VALUE!</v>
      </c>
      <c r="DI32" t="e">
        <f>AND(LOSF.Crit!C5,"AAAAAHdcnnA=")</f>
        <v>#VALUE!</v>
      </c>
      <c r="DJ32" t="e">
        <f>AND(LOSF.Crit!D5,"AAAAAHdcnnE=")</f>
        <v>#VALUE!</v>
      </c>
      <c r="DK32" t="e">
        <f>AND(LOSF.Crit!E5,"AAAAAHdcnnI=")</f>
        <v>#VALUE!</v>
      </c>
      <c r="DL32" t="e">
        <f>AND(LOSF.Crit!F5,"AAAAAHdcnnM=")</f>
        <v>#VALUE!</v>
      </c>
      <c r="DM32" t="e">
        <f>AND(LOSF.Crit!G5,"AAAAAHdcnnQ=")</f>
        <v>#VALUE!</v>
      </c>
      <c r="DN32" t="e">
        <f>AND(LOSF.Crit!G9,"AAAAAHdcnnU=")</f>
        <v>#VALUE!</v>
      </c>
      <c r="DO32" t="e">
        <f>AND(LOSF.Crit!I5,"AAAAAHdcnnY=")</f>
        <v>#VALUE!</v>
      </c>
      <c r="DP32" t="e">
        <f>AND(LOSF.Crit!J5,"AAAAAHdcnnc=")</f>
        <v>#VALUE!</v>
      </c>
      <c r="DQ32" t="e">
        <f>AND(LOSF.Crit!#REF!,"AAAAAHdcnng=")</f>
        <v>#REF!</v>
      </c>
      <c r="DR32" t="e">
        <f>AND(LOSF.Crit!#REF!,"AAAAAHdcnnk=")</f>
        <v>#REF!</v>
      </c>
      <c r="DS32" t="e">
        <f>AND(LOSF.Crit!#REF!,"AAAAAHdcnno=")</f>
        <v>#REF!</v>
      </c>
      <c r="DT32" t="e">
        <f>AND(LOSF.Crit!K5,"AAAAAHdcnns=")</f>
        <v>#VALUE!</v>
      </c>
      <c r="DU32" t="e">
        <f>AND(LOSF.Crit!L5,"AAAAAHdcnnw=")</f>
        <v>#VALUE!</v>
      </c>
      <c r="DV32" t="e">
        <f>IF(LOSF.Crit!#REF!,"AAAAAHdcnn0=",0)</f>
        <v>#REF!</v>
      </c>
      <c r="DW32" t="e">
        <f>AND(LOSF.Crit!#REF!,"AAAAAHdcnn4=")</f>
        <v>#REF!</v>
      </c>
      <c r="DX32" t="e">
        <f>AND(LOSF.Crit!#REF!,"AAAAAHdcnn8=")</f>
        <v>#REF!</v>
      </c>
      <c r="DY32" t="e">
        <f>AND(LOSF.Crit!#REF!,"AAAAAHdcnoA=")</f>
        <v>#REF!</v>
      </c>
      <c r="DZ32" t="e">
        <f>AND(LOSF.Crit!#REF!,"AAAAAHdcnoE=")</f>
        <v>#REF!</v>
      </c>
      <c r="EA32" t="e">
        <f>AND(LOSF.Crit!#REF!,"AAAAAHdcnoI=")</f>
        <v>#REF!</v>
      </c>
      <c r="EB32" t="e">
        <f>AND(LOSF.Crit!#REF!,"AAAAAHdcnoM=")</f>
        <v>#REF!</v>
      </c>
      <c r="EC32" t="e">
        <f>AND(LOSF.Crit!#REF!,"AAAAAHdcnoQ=")</f>
        <v>#REF!</v>
      </c>
      <c r="ED32" t="e">
        <f>AND(LOSF.Crit!G10,"AAAAAHdcnoU=")</f>
        <v>#VALUE!</v>
      </c>
      <c r="EE32" t="e">
        <f>AND(LOSF.Crit!#REF!,"AAAAAHdcnoY=")</f>
        <v>#REF!</v>
      </c>
      <c r="EF32" t="e">
        <f>AND(LOSF.Crit!#REF!,"AAAAAHdcnoc=")</f>
        <v>#REF!</v>
      </c>
      <c r="EG32" t="e">
        <f>AND(LOSF.Crit!#REF!,"AAAAAHdcnog=")</f>
        <v>#REF!</v>
      </c>
      <c r="EH32" t="e">
        <f>AND(LOSF.Crit!#REF!,"AAAAAHdcnok=")</f>
        <v>#REF!</v>
      </c>
      <c r="EI32" t="e">
        <f>AND(LOSF.Crit!#REF!,"AAAAAHdcnoo=")</f>
        <v>#REF!</v>
      </c>
      <c r="EJ32" t="e">
        <f>AND(LOSF.Crit!#REF!,"AAAAAHdcnos=")</f>
        <v>#REF!</v>
      </c>
      <c r="EK32" t="e">
        <f>AND(LOSF.Crit!#REF!,"AAAAAHdcnow=")</f>
        <v>#REF!</v>
      </c>
      <c r="EL32">
        <f>IF(LOSF.Crit!6:6,"AAAAAHdcno0=",0)</f>
        <v>0</v>
      </c>
      <c r="EM32" t="e">
        <f>AND(LOSF.Crit!A6,"AAAAAHdcno4=")</f>
        <v>#VALUE!</v>
      </c>
      <c r="EN32" t="e">
        <f>AND(LOSF.Crit!B6,"AAAAAHdcno8=")</f>
        <v>#VALUE!</v>
      </c>
      <c r="EO32" t="e">
        <f>AND(LOSF.Crit!C6,"AAAAAHdcnpA=")</f>
        <v>#VALUE!</v>
      </c>
      <c r="EP32" t="e">
        <f>AND(LOSF.Crit!D6,"AAAAAHdcnpE=")</f>
        <v>#VALUE!</v>
      </c>
      <c r="EQ32" t="e">
        <f>AND(LOSF.Crit!E6,"AAAAAHdcnpI=")</f>
        <v>#VALUE!</v>
      </c>
      <c r="ER32" t="e">
        <f>AND(LOSF.Crit!F6,"AAAAAHdcnpM=")</f>
        <v>#VALUE!</v>
      </c>
      <c r="ES32" t="e">
        <f>AND(LOSF.Crit!G6,"AAAAAHdcnpQ=")</f>
        <v>#VALUE!</v>
      </c>
      <c r="ET32" t="e">
        <f>AND(LOSF.Crit!H6,"AAAAAHdcnpU=")</f>
        <v>#VALUE!</v>
      </c>
      <c r="EU32" t="e">
        <f>AND(LOSF.Crit!I6,"AAAAAHdcnpY=")</f>
        <v>#VALUE!</v>
      </c>
      <c r="EV32" t="e">
        <f>AND(LOSF.Crit!J6,"AAAAAHdcnpc=")</f>
        <v>#VALUE!</v>
      </c>
      <c r="EW32" t="e">
        <f>AND(LOSF.Crit!#REF!,"AAAAAHdcnpg=")</f>
        <v>#REF!</v>
      </c>
      <c r="EX32" t="e">
        <f>AND(LOSF.Crit!#REF!,"AAAAAHdcnpk=")</f>
        <v>#REF!</v>
      </c>
      <c r="EY32" t="e">
        <f>AND(LOSF.Crit!#REF!,"AAAAAHdcnpo=")</f>
        <v>#REF!</v>
      </c>
      <c r="EZ32" t="e">
        <f>AND(LOSF.Crit!K6,"AAAAAHdcnps=")</f>
        <v>#VALUE!</v>
      </c>
      <c r="FA32" t="e">
        <f>AND(LOSF.Crit!L6,"AAAAAHdcnpw=")</f>
        <v>#VALUE!</v>
      </c>
      <c r="FB32">
        <f>IF(LOSF.Crit!7:7,"AAAAAHdcnp0=",0)</f>
        <v>0</v>
      </c>
      <c r="FC32" t="e">
        <f>AND(LOSF.Crit!A7,"AAAAAHdcnp4=")</f>
        <v>#VALUE!</v>
      </c>
      <c r="FD32" t="e">
        <f>AND(LOSF.Crit!B7,"AAAAAHdcnp8=")</f>
        <v>#VALUE!</v>
      </c>
      <c r="FE32" t="e">
        <f>AND(LOSF.Crit!C7,"AAAAAHdcnqA=")</f>
        <v>#VALUE!</v>
      </c>
      <c r="FF32" t="e">
        <f>AND(LOSF.Crit!D7,"AAAAAHdcnqE=")</f>
        <v>#VALUE!</v>
      </c>
      <c r="FG32" t="e">
        <f>AND(LOSF.Crit!E7,"AAAAAHdcnqI=")</f>
        <v>#VALUE!</v>
      </c>
      <c r="FH32" t="e">
        <f>AND(LOSF.Crit!F7,"AAAAAHdcnqM=")</f>
        <v>#VALUE!</v>
      </c>
      <c r="FI32" t="e">
        <f>AND(LOSF.Crit!#REF!,"AAAAAHdcnqQ=")</f>
        <v>#REF!</v>
      </c>
      <c r="FJ32" t="e">
        <f>AND(LOSF.Crit!H7,"AAAAAHdcnqU=")</f>
        <v>#VALUE!</v>
      </c>
      <c r="FK32" t="e">
        <f>AND(LOSF.Crit!I7,"AAAAAHdcnqY=")</f>
        <v>#VALUE!</v>
      </c>
      <c r="FL32" t="e">
        <f>AND(LOSF.Crit!J7,"AAAAAHdcnqc=")</f>
        <v>#VALUE!</v>
      </c>
      <c r="FM32" t="e">
        <f>AND(LOSF.Crit!#REF!,"AAAAAHdcnqg=")</f>
        <v>#REF!</v>
      </c>
      <c r="FN32" t="e">
        <f>AND(LOSF.Crit!#REF!,"AAAAAHdcnqk=")</f>
        <v>#REF!</v>
      </c>
      <c r="FO32" t="e">
        <f>AND(LOSF.Crit!#REF!,"AAAAAHdcnqo=")</f>
        <v>#REF!</v>
      </c>
      <c r="FP32" t="e">
        <f>AND(LOSF.Crit!K7,"AAAAAHdcnqs=")</f>
        <v>#VALUE!</v>
      </c>
      <c r="FQ32" t="e">
        <f>AND(LOSF.Crit!L7,"AAAAAHdcnqw=")</f>
        <v>#VALUE!</v>
      </c>
      <c r="FR32">
        <f>IF(LOSF.Crit!8:8,"AAAAAHdcnq0=",0)</f>
        <v>0</v>
      </c>
      <c r="FS32" t="e">
        <f>AND(LOSF.Crit!A8,"AAAAAHdcnq4=")</f>
        <v>#VALUE!</v>
      </c>
      <c r="FT32" t="e">
        <f>AND(LOSF.Crit!B8,"AAAAAHdcnq8=")</f>
        <v>#VALUE!</v>
      </c>
      <c r="FU32" t="e">
        <f>AND(LOSF.Crit!C8,"AAAAAHdcnrA=")</f>
        <v>#VALUE!</v>
      </c>
      <c r="FV32" t="e">
        <f>AND(LOSF.Crit!D8,"AAAAAHdcnrE=")</f>
        <v>#VALUE!</v>
      </c>
      <c r="FW32" t="e">
        <f>AND(LOSF.Crit!E8,"AAAAAHdcnrI=")</f>
        <v>#VALUE!</v>
      </c>
      <c r="FX32" t="e">
        <f>AND(LOSF.Crit!F8,"AAAAAHdcnrM=")</f>
        <v>#VALUE!</v>
      </c>
      <c r="FY32" t="e">
        <f>AND(LOSF.Crit!#REF!,"AAAAAHdcnrQ=")</f>
        <v>#REF!</v>
      </c>
      <c r="FZ32" t="e">
        <f>AND(LOSF.Crit!H8,"AAAAAHdcnrU=")</f>
        <v>#VALUE!</v>
      </c>
      <c r="GA32" t="e">
        <f>AND(LOSF.Crit!I8,"AAAAAHdcnrY=")</f>
        <v>#VALUE!</v>
      </c>
      <c r="GB32" t="e">
        <f>AND(LOSF.Crit!J8,"AAAAAHdcnrc=")</f>
        <v>#VALUE!</v>
      </c>
      <c r="GC32" t="e">
        <f>AND(LOSF.Crit!#REF!,"AAAAAHdcnrg=")</f>
        <v>#REF!</v>
      </c>
      <c r="GD32" t="e">
        <f>AND(LOSF.Crit!#REF!,"AAAAAHdcnrk=")</f>
        <v>#REF!</v>
      </c>
      <c r="GE32" t="e">
        <f>AND(LOSF.Crit!#REF!,"AAAAAHdcnro=")</f>
        <v>#REF!</v>
      </c>
      <c r="GF32" t="e">
        <f>AND(LOSF.Crit!K8,"AAAAAHdcnrs=")</f>
        <v>#VALUE!</v>
      </c>
      <c r="GG32" t="e">
        <f>AND(LOSF.Crit!L8,"AAAAAHdcnrw=")</f>
        <v>#VALUE!</v>
      </c>
      <c r="GH32">
        <f>IF(LOSF.Crit!9:9,"AAAAAHdcnr0=",0)</f>
        <v>0</v>
      </c>
      <c r="GI32" t="e">
        <f>AND(LOSF.Crit!A9,"AAAAAHdcnr4=")</f>
        <v>#VALUE!</v>
      </c>
      <c r="GJ32" t="e">
        <f>AND(LOSF.Crit!B9,"AAAAAHdcnr8=")</f>
        <v>#VALUE!</v>
      </c>
      <c r="GK32" t="e">
        <f>AND(LOSF.Crit!C9,"AAAAAHdcnsA=")</f>
        <v>#VALUE!</v>
      </c>
      <c r="GL32" t="e">
        <f>AND(LOSF.Crit!D9,"AAAAAHdcnsE=")</f>
        <v>#VALUE!</v>
      </c>
      <c r="GM32" t="e">
        <f>AND(LOSF.Crit!E9,"AAAAAHdcnsI=")</f>
        <v>#VALUE!</v>
      </c>
      <c r="GN32" t="e">
        <f>AND(LOSF.Crit!F9,"AAAAAHdcnsM=")</f>
        <v>#VALUE!</v>
      </c>
      <c r="GO32" t="e">
        <f>AND(LOSF.Crit!#REF!,"AAAAAHdcnsQ=")</f>
        <v>#REF!</v>
      </c>
      <c r="GP32" t="e">
        <f>AND(LOSF.Crit!H9,"AAAAAHdcnsU=")</f>
        <v>#VALUE!</v>
      </c>
      <c r="GQ32" t="e">
        <f>AND(LOSF.Crit!I9,"AAAAAHdcnsY=")</f>
        <v>#VALUE!</v>
      </c>
      <c r="GR32" t="e">
        <f>AND(LOSF.Crit!J9,"AAAAAHdcnsc=")</f>
        <v>#VALUE!</v>
      </c>
      <c r="GS32" t="e">
        <f>AND(LOSF.Crit!#REF!,"AAAAAHdcnsg=")</f>
        <v>#REF!</v>
      </c>
      <c r="GT32" t="e">
        <f>AND(LOSF.Crit!#REF!,"AAAAAHdcnsk=")</f>
        <v>#REF!</v>
      </c>
      <c r="GU32" t="e">
        <f>AND(LOSF.Crit!#REF!,"AAAAAHdcnso=")</f>
        <v>#REF!</v>
      </c>
      <c r="GV32" t="e">
        <f>AND(LOSF.Crit!K9,"AAAAAHdcnss=")</f>
        <v>#VALUE!</v>
      </c>
      <c r="GW32" t="e">
        <f>AND(LOSF.Crit!L9,"AAAAAHdcnsw=")</f>
        <v>#VALUE!</v>
      </c>
      <c r="GX32">
        <f>IF(LOSF.Crit!10:10,"AAAAAHdcns0=",0)</f>
        <v>0</v>
      </c>
      <c r="GY32" t="e">
        <f>AND(LOSF.Crit!A10,"AAAAAHdcns4=")</f>
        <v>#VALUE!</v>
      </c>
      <c r="GZ32" t="e">
        <f>AND(LOSF.Crit!B10,"AAAAAHdcns8=")</f>
        <v>#VALUE!</v>
      </c>
      <c r="HA32" t="e">
        <f>AND(LOSF.Crit!C10,"AAAAAHdcntA=")</f>
        <v>#VALUE!</v>
      </c>
      <c r="HB32" t="e">
        <f>AND(LOSF.Crit!#REF!,"AAAAAHdcntE=")</f>
        <v>#REF!</v>
      </c>
      <c r="HC32" t="e">
        <f>AND(LOSF.Crit!#REF!,"AAAAAHdcntI=")</f>
        <v>#REF!</v>
      </c>
      <c r="HD32" t="e">
        <f>AND(LOSF.Crit!D10,"AAAAAHdcntM=")</f>
        <v>#VALUE!</v>
      </c>
      <c r="HE32" t="e">
        <f>AND(LOSF.Crit!E10,"AAAAAHdcntQ=")</f>
        <v>#VALUE!</v>
      </c>
      <c r="HF32" t="e">
        <f>AND(LOSF.Crit!F10,"AAAAAHdcntU=")</f>
        <v>#VALUE!</v>
      </c>
      <c r="HG32" t="e">
        <f>AND(LOSF.Crit!#REF!,"AAAAAHdcntY=")</f>
        <v>#REF!</v>
      </c>
      <c r="HH32" t="e">
        <f>AND(LOSF.Crit!H10,"AAAAAHdcntc=")</f>
        <v>#VALUE!</v>
      </c>
      <c r="HI32" t="e">
        <f>AND(LOSF.Crit!I10,"AAAAAHdcntg=")</f>
        <v>#VALUE!</v>
      </c>
      <c r="HJ32" t="e">
        <f>AND(LOSF.Crit!J10,"AAAAAHdcntk=")</f>
        <v>#VALUE!</v>
      </c>
      <c r="HK32" t="e">
        <f>AND(LOSF.Crit!#REF!,"AAAAAHdcnto=")</f>
        <v>#REF!</v>
      </c>
      <c r="HL32" t="e">
        <f>AND(LOSF.Crit!#REF!,"AAAAAHdcnts=")</f>
        <v>#REF!</v>
      </c>
      <c r="HM32" t="e">
        <f>AND(LOSF.Crit!#REF!,"AAAAAHdcntw=")</f>
        <v>#REF!</v>
      </c>
      <c r="HN32">
        <f>IF(LOSF.Crit!11:11,"AAAAAHdcnt0=",0)</f>
        <v>0</v>
      </c>
      <c r="HO32" t="e">
        <f>AND(LOSF.Crit!A11,"AAAAAHdcnt4=")</f>
        <v>#VALUE!</v>
      </c>
      <c r="HP32" t="e">
        <f>AND(LOSF.Crit!B11,"AAAAAHdcnt8=")</f>
        <v>#VALUE!</v>
      </c>
      <c r="HQ32" t="e">
        <f>AND(LOSF.Crit!C11,"AAAAAHdcnuA=")</f>
        <v>#VALUE!</v>
      </c>
      <c r="HR32" t="e">
        <f>AND(LOSF.Crit!#REF!,"AAAAAHdcnuE=")</f>
        <v>#REF!</v>
      </c>
      <c r="HS32" t="e">
        <f>AND(LOSF.Crit!#REF!,"AAAAAHdcnuI=")</f>
        <v>#REF!</v>
      </c>
      <c r="HT32" t="e">
        <f>AND(LOSF.Crit!D11,"AAAAAHdcnuM=")</f>
        <v>#VALUE!</v>
      </c>
      <c r="HU32" t="e">
        <f>AND(LOSF.Crit!E11,"AAAAAHdcnuQ=")</f>
        <v>#VALUE!</v>
      </c>
      <c r="HV32" t="e">
        <f>AND(LOSF.Crit!F11,"AAAAAHdcnuU=")</f>
        <v>#VALUE!</v>
      </c>
      <c r="HW32" t="e">
        <f>AND(LOSF.Crit!G11,"AAAAAHdcnuY=")</f>
        <v>#VALUE!</v>
      </c>
      <c r="HX32" t="e">
        <f>AND(LOSF.Crit!H11,"AAAAAHdcnuc=")</f>
        <v>#VALUE!</v>
      </c>
      <c r="HY32" t="e">
        <f>AND(LOSF.Crit!I11,"AAAAAHdcnug=")</f>
        <v>#VALUE!</v>
      </c>
      <c r="HZ32" t="e">
        <f>AND(LOSF.Crit!J11,"AAAAAHdcnuk=")</f>
        <v>#VALUE!</v>
      </c>
      <c r="IA32" t="e">
        <f>AND(LOSF.Crit!#REF!,"AAAAAHdcnuo=")</f>
        <v>#REF!</v>
      </c>
      <c r="IB32" t="e">
        <f>AND(LOSF.Crit!#REF!,"AAAAAHdcnus=")</f>
        <v>#REF!</v>
      </c>
      <c r="IC32" t="e">
        <f>AND(LOSF.Crit!#REF!,"AAAAAHdcnuw=")</f>
        <v>#REF!</v>
      </c>
      <c r="ID32">
        <f>IF(LOSF.Crit!12:12,"AAAAAHdcnu0=",0)</f>
        <v>0</v>
      </c>
      <c r="IE32" t="e">
        <f>AND(LOSF.Crit!A12,"AAAAAHdcnu4=")</f>
        <v>#VALUE!</v>
      </c>
      <c r="IF32" t="e">
        <f>AND(LOSF.Crit!B12,"AAAAAHdcnu8=")</f>
        <v>#VALUE!</v>
      </c>
      <c r="IG32" t="e">
        <f>AND(LOSF.Crit!C12,"AAAAAHdcnvA=")</f>
        <v>#VALUE!</v>
      </c>
      <c r="IH32" t="e">
        <f>AND(LOSF.Crit!#REF!,"AAAAAHdcnvE=")</f>
        <v>#REF!</v>
      </c>
      <c r="II32" t="e">
        <f>AND(LOSF.Crit!#REF!,"AAAAAHdcnvI=")</f>
        <v>#REF!</v>
      </c>
      <c r="IJ32" t="e">
        <f>AND(LOSF.Crit!D12,"AAAAAHdcnvM=")</f>
        <v>#VALUE!</v>
      </c>
      <c r="IK32" t="e">
        <f>AND(LOSF.Crit!E12,"AAAAAHdcnvQ=")</f>
        <v>#VALUE!</v>
      </c>
      <c r="IL32" t="e">
        <f>AND(LOSF.Crit!F12,"AAAAAHdcnvU=")</f>
        <v>#VALUE!</v>
      </c>
      <c r="IM32" t="e">
        <f>AND(LOSF.Crit!G12,"AAAAAHdcnvY=")</f>
        <v>#VALUE!</v>
      </c>
      <c r="IN32" t="e">
        <f>AND(LOSF.Crit!H12,"AAAAAHdcnvc=")</f>
        <v>#VALUE!</v>
      </c>
      <c r="IO32" t="e">
        <f>AND(LOSF.Crit!I12,"AAAAAHdcnvg=")</f>
        <v>#VALUE!</v>
      </c>
      <c r="IP32" t="e">
        <f>AND(LOSF.Crit!J12,"AAAAAHdcnvk=")</f>
        <v>#VALUE!</v>
      </c>
      <c r="IQ32" t="e">
        <f>AND(LOSF.Crit!#REF!,"AAAAAHdcnvo=")</f>
        <v>#REF!</v>
      </c>
      <c r="IR32" t="e">
        <f>AND(LOSF.Crit!#REF!,"AAAAAHdcnvs=")</f>
        <v>#REF!</v>
      </c>
      <c r="IS32" t="e">
        <f>AND(LOSF.Crit!#REF!,"AAAAAHdcnvw=")</f>
        <v>#REF!</v>
      </c>
      <c r="IT32">
        <f>IF(LOSF.Crit!15:15,"AAAAAHdcnv0=",0)</f>
        <v>0</v>
      </c>
      <c r="IU32" t="e">
        <f>AND(LOSF.Crit!A15,"AAAAAHdcnv4=")</f>
        <v>#VALUE!</v>
      </c>
      <c r="IV32" t="e">
        <f>AND(LOSF.Crit!B15,"AAAAAHdcnv8=")</f>
        <v>#VALUE!</v>
      </c>
    </row>
    <row r="33" spans="1:256">
      <c r="A33" t="e">
        <f>AND(LOSF.Crit!C15,"AAAAABV8mwA=")</f>
        <v>#VALUE!</v>
      </c>
      <c r="B33" t="e">
        <f>AND(LOSF.Crit!#REF!,"AAAAABV8mwE=")</f>
        <v>#REF!</v>
      </c>
      <c r="C33" t="e">
        <f>AND(LOSF.Crit!#REF!,"AAAAABV8mwI=")</f>
        <v>#REF!</v>
      </c>
      <c r="D33" t="e">
        <f>AND(LOSF.Crit!D15,"AAAAABV8mwM=")</f>
        <v>#VALUE!</v>
      </c>
      <c r="E33" t="e">
        <f>AND(LOSF.Crit!E15,"AAAAABV8mwQ=")</f>
        <v>#VALUE!</v>
      </c>
      <c r="F33" t="e">
        <f>AND(LOSF.Crit!F15,"AAAAABV8mwU=")</f>
        <v>#VALUE!</v>
      </c>
      <c r="G33" t="e">
        <f>AND(LOSF.Crit!G15,"AAAAABV8mwY=")</f>
        <v>#VALUE!</v>
      </c>
      <c r="H33" t="e">
        <f>AND(LOSF.Crit!H15,"AAAAABV8mwc=")</f>
        <v>#VALUE!</v>
      </c>
      <c r="I33" t="e">
        <f>AND(LOSF.Crit!I15,"AAAAABV8mwg=")</f>
        <v>#VALUE!</v>
      </c>
      <c r="J33" t="e">
        <f>AND(LOSF.Crit!J15,"AAAAABV8mwk=")</f>
        <v>#VALUE!</v>
      </c>
      <c r="K33" t="e">
        <f>AND(LOSF.Crit!#REF!,"AAAAABV8mwo=")</f>
        <v>#REF!</v>
      </c>
      <c r="L33" t="e">
        <f>AND(LOSF.Crit!#REF!,"AAAAABV8mws=")</f>
        <v>#REF!</v>
      </c>
      <c r="M33" t="e">
        <f>AND(LOSF.Crit!#REF!,"AAAAABV8mww=")</f>
        <v>#REF!</v>
      </c>
      <c r="N33">
        <f>IF(LOSF.Crit!16:16,"AAAAABV8mw0=",0)</f>
        <v>0</v>
      </c>
      <c r="O33" t="e">
        <f>AND(LOSF.Crit!A16,"AAAAABV8mw4=")</f>
        <v>#VALUE!</v>
      </c>
      <c r="P33" t="e">
        <f>AND(LOSF.Crit!B16,"AAAAABV8mw8=")</f>
        <v>#VALUE!</v>
      </c>
      <c r="Q33" t="e">
        <f>AND(LOSF.Crit!C16,"AAAAABV8mxA=")</f>
        <v>#VALUE!</v>
      </c>
      <c r="R33" t="e">
        <f>AND(LOSF.Crit!#REF!,"AAAAABV8mxE=")</f>
        <v>#REF!</v>
      </c>
      <c r="S33" t="e">
        <f>AND(LOSF.Crit!#REF!,"AAAAABV8mxI=")</f>
        <v>#REF!</v>
      </c>
      <c r="T33" t="e">
        <f>AND(LOSF.Crit!D16,"AAAAABV8mxM=")</f>
        <v>#VALUE!</v>
      </c>
      <c r="U33" t="e">
        <f>AND(LOSF.Crit!E16,"AAAAABV8mxQ=")</f>
        <v>#VALUE!</v>
      </c>
      <c r="V33" t="e">
        <f>AND(LOSF.Crit!F16,"AAAAABV8mxU=")</f>
        <v>#VALUE!</v>
      </c>
      <c r="W33" t="e">
        <f>AND(LOSF.Crit!G16,"AAAAABV8mxY=")</f>
        <v>#VALUE!</v>
      </c>
      <c r="X33" t="e">
        <f>AND(LOSF.Crit!H16,"AAAAABV8mxc=")</f>
        <v>#VALUE!</v>
      </c>
      <c r="Y33" t="e">
        <f>AND(LOSF.Crit!I16,"AAAAABV8mxg=")</f>
        <v>#VALUE!</v>
      </c>
      <c r="Z33" t="e">
        <f>AND(LOSF.Crit!J16,"AAAAABV8mxk=")</f>
        <v>#VALUE!</v>
      </c>
      <c r="AA33" t="e">
        <f>AND(LOSF.Crit!#REF!,"AAAAABV8mxo=")</f>
        <v>#REF!</v>
      </c>
      <c r="AB33" t="e">
        <f>AND(LOSF.Crit!#REF!,"AAAAABV8mxs=")</f>
        <v>#REF!</v>
      </c>
      <c r="AC33" t="e">
        <f>AND(LOSF.Crit!#REF!,"AAAAABV8mxw=")</f>
        <v>#REF!</v>
      </c>
      <c r="AD33">
        <f>IF(LOSF.Crit!17:17,"AAAAABV8mx0=",0)</f>
        <v>0</v>
      </c>
      <c r="AE33" t="e">
        <f>AND(LOSF.Crit!A17,"AAAAABV8mx4=")</f>
        <v>#VALUE!</v>
      </c>
      <c r="AF33" t="e">
        <f>AND(LOSF.Crit!B17,"AAAAABV8mx8=")</f>
        <v>#VALUE!</v>
      </c>
      <c r="AG33" t="e">
        <f>AND(LOSF.Crit!C17,"AAAAABV8myA=")</f>
        <v>#VALUE!</v>
      </c>
      <c r="AH33" t="e">
        <f>AND(LOSF.Crit!D17,"AAAAABV8myE=")</f>
        <v>#VALUE!</v>
      </c>
      <c r="AI33" t="e">
        <f>AND(LOSF.Crit!E17,"AAAAABV8myI=")</f>
        <v>#VALUE!</v>
      </c>
      <c r="AJ33" t="e">
        <f>AND(LOSF.Crit!F17,"AAAAABV8myM=")</f>
        <v>#VALUE!</v>
      </c>
      <c r="AK33" t="e">
        <f>AND(LOSF.Crit!G17,"AAAAABV8myQ=")</f>
        <v>#VALUE!</v>
      </c>
      <c r="AL33" t="e">
        <f>AND(LOSF.Crit!H17,"AAAAABV8myU=")</f>
        <v>#VALUE!</v>
      </c>
      <c r="AM33" t="e">
        <f>AND(LOSF.Crit!I17,"AAAAABV8myY=")</f>
        <v>#VALUE!</v>
      </c>
      <c r="AN33" t="e">
        <f>AND(LOSF.Crit!J17,"AAAAABV8myc=")</f>
        <v>#VALUE!</v>
      </c>
      <c r="AO33" t="e">
        <f>AND(LOSF.Crit!#REF!,"AAAAABV8myg=")</f>
        <v>#REF!</v>
      </c>
      <c r="AP33" t="e">
        <f>AND(LOSF.Crit!#REF!,"AAAAABV8myk=")</f>
        <v>#REF!</v>
      </c>
      <c r="AQ33" t="e">
        <f>AND(LOSF.Crit!#REF!,"AAAAABV8myo=")</f>
        <v>#REF!</v>
      </c>
      <c r="AR33" t="e">
        <f>AND(LOSF.Crit!K17,"AAAAABV8mys=")</f>
        <v>#VALUE!</v>
      </c>
      <c r="AS33" t="e">
        <f>AND(LOSF.Crit!L17,"AAAAABV8myw=")</f>
        <v>#VALUE!</v>
      </c>
      <c r="AT33">
        <f>IF(LOSF.Crit!18:18,"AAAAABV8my0=",0)</f>
        <v>0</v>
      </c>
      <c r="AU33" t="e">
        <f>AND(LOSF.Crit!A18,"AAAAABV8my4=")</f>
        <v>#VALUE!</v>
      </c>
      <c r="AV33" t="e">
        <f>AND(LOSF.Crit!B18,"AAAAABV8my8=")</f>
        <v>#VALUE!</v>
      </c>
      <c r="AW33" t="e">
        <f>AND(LOSF.Crit!C18,"AAAAABV8mzA=")</f>
        <v>#VALUE!</v>
      </c>
      <c r="AX33" t="e">
        <f>AND(LOSF.Crit!D18,"AAAAABV8mzE=")</f>
        <v>#VALUE!</v>
      </c>
      <c r="AY33" t="e">
        <f>AND(LOSF.Crit!E18,"AAAAABV8mzI=")</f>
        <v>#VALUE!</v>
      </c>
      <c r="AZ33" t="e">
        <f>AND(LOSF.Crit!F18,"AAAAABV8mzM=")</f>
        <v>#VALUE!</v>
      </c>
      <c r="BA33" t="e">
        <f>AND(LOSF.Crit!G18,"AAAAABV8mzQ=")</f>
        <v>#VALUE!</v>
      </c>
      <c r="BB33" t="e">
        <f>AND(LOSF.Crit!H18,"AAAAABV8mzU=")</f>
        <v>#VALUE!</v>
      </c>
      <c r="BC33" t="e">
        <f>AND(LOSF.Crit!I18,"AAAAABV8mzY=")</f>
        <v>#VALUE!</v>
      </c>
      <c r="BD33" t="e">
        <f>AND(LOSF.Crit!J18,"AAAAABV8mzc=")</f>
        <v>#VALUE!</v>
      </c>
      <c r="BE33" t="e">
        <f>AND(LOSF.Crit!#REF!,"AAAAABV8mzg=")</f>
        <v>#REF!</v>
      </c>
      <c r="BF33" t="e">
        <f>AND(LOSF.Crit!#REF!,"AAAAABV8mzk=")</f>
        <v>#REF!</v>
      </c>
      <c r="BG33" t="e">
        <f>AND(LOSF.Crit!#REF!,"AAAAABV8mzo=")</f>
        <v>#REF!</v>
      </c>
      <c r="BH33" t="e">
        <f>AND(LOSF.Crit!K18,"AAAAABV8mzs=")</f>
        <v>#VALUE!</v>
      </c>
      <c r="BI33" t="e">
        <f>AND(LOSF.Crit!L18,"AAAAABV8mzw=")</f>
        <v>#VALUE!</v>
      </c>
      <c r="BJ33" t="e">
        <f>IF(LOSF.Crit!#REF!,"AAAAABV8mz0=",0)</f>
        <v>#REF!</v>
      </c>
      <c r="BK33" t="e">
        <f>AND(LOSF.Crit!#REF!,"AAAAABV8mz4=")</f>
        <v>#REF!</v>
      </c>
      <c r="BL33" t="e">
        <f>AND(LOSF.Crit!#REF!,"AAAAABV8mz8=")</f>
        <v>#REF!</v>
      </c>
      <c r="BM33" t="e">
        <f>AND(LOSF.Crit!#REF!,"AAAAABV8m0A=")</f>
        <v>#REF!</v>
      </c>
      <c r="BN33" t="e">
        <f>AND(LOSF.Crit!#REF!,"AAAAABV8m0E=")</f>
        <v>#REF!</v>
      </c>
      <c r="BO33" t="e">
        <f>AND(LOSF.Crit!#REF!,"AAAAABV8m0I=")</f>
        <v>#REF!</v>
      </c>
      <c r="BP33" t="e">
        <f>AND(LOSF.Crit!#REF!,"AAAAABV8m0M=")</f>
        <v>#REF!</v>
      </c>
      <c r="BQ33" t="e">
        <f>AND(LOSF.Crit!#REF!,"AAAAABV8m0Q=")</f>
        <v>#REF!</v>
      </c>
      <c r="BR33" t="e">
        <f>AND(LOSF.Crit!#REF!,"AAAAABV8m0U=")</f>
        <v>#REF!</v>
      </c>
      <c r="BS33" t="e">
        <f>AND(LOSF.Crit!#REF!,"AAAAABV8m0Y=")</f>
        <v>#REF!</v>
      </c>
      <c r="BT33" t="e">
        <f>AND(LOSF.Crit!#REF!,"AAAAABV8m0c=")</f>
        <v>#REF!</v>
      </c>
      <c r="BU33" t="e">
        <f>AND(LOSF.Crit!#REF!,"AAAAABV8m0g=")</f>
        <v>#REF!</v>
      </c>
      <c r="BV33" t="e">
        <f>AND(LOSF.Crit!#REF!,"AAAAABV8m0k=")</f>
        <v>#REF!</v>
      </c>
      <c r="BW33" t="e">
        <f>AND(LOSF.Crit!#REF!,"AAAAABV8m0o=")</f>
        <v>#REF!</v>
      </c>
      <c r="BX33" t="e">
        <f>AND(LOSF.Crit!#REF!,"AAAAABV8m0s=")</f>
        <v>#REF!</v>
      </c>
      <c r="BY33" t="e">
        <f>AND(LOSF.Crit!#REF!,"AAAAABV8m0w=")</f>
        <v>#REF!</v>
      </c>
      <c r="BZ33">
        <f>IF(LOSF.Crit!19:19,"AAAAABV8m00=",0)</f>
        <v>0</v>
      </c>
      <c r="CA33" t="e">
        <f>AND(LOSF.Crit!A19,"AAAAABV8m04=")</f>
        <v>#VALUE!</v>
      </c>
      <c r="CB33" t="e">
        <f>AND(LOSF.Crit!#REF!,"AAAAABV8m08=")</f>
        <v>#REF!</v>
      </c>
      <c r="CC33" t="e">
        <f>AND(LOSF.Crit!#REF!,"AAAAABV8m1A=")</f>
        <v>#REF!</v>
      </c>
      <c r="CD33" t="e">
        <f>AND(LOSF.Crit!#REF!,"AAAAABV8m1E=")</f>
        <v>#REF!</v>
      </c>
      <c r="CE33" t="e">
        <f>AND(LOSF.Crit!#REF!,"AAAAABV8m1I=")</f>
        <v>#REF!</v>
      </c>
      <c r="CF33" t="e">
        <f>AND(LOSF.Crit!B19,"AAAAABV8m1M=")</f>
        <v>#VALUE!</v>
      </c>
      <c r="CG33" t="e">
        <f>AND(LOSF.Crit!C19,"AAAAABV8m1Q=")</f>
        <v>#VALUE!</v>
      </c>
      <c r="CH33" t="e">
        <f>AND(LOSF.Crit!D19,"AAAAABV8m1U=")</f>
        <v>#VALUE!</v>
      </c>
      <c r="CI33" t="e">
        <f>AND(LOSF.Crit!E19,"AAAAABV8m1Y=")</f>
        <v>#VALUE!</v>
      </c>
      <c r="CJ33" t="e">
        <f>AND(LOSF.Crit!F19,"AAAAABV8m1c=")</f>
        <v>#VALUE!</v>
      </c>
      <c r="CK33" t="e">
        <f>AND(LOSF.Crit!G19,"AAAAABV8m1g=")</f>
        <v>#VALUE!</v>
      </c>
      <c r="CL33" t="e">
        <f>AND(LOSF.Crit!H19,"AAAAABV8m1k=")</f>
        <v>#VALUE!</v>
      </c>
      <c r="CM33" t="e">
        <f>AND(LOSF.Crit!I19,"AAAAABV8m1o=")</f>
        <v>#VALUE!</v>
      </c>
      <c r="CN33" t="e">
        <f>AND(LOSF.Crit!J19,"AAAAABV8m1s=")</f>
        <v>#VALUE!</v>
      </c>
      <c r="CO33" t="e">
        <f>AND(LOSF.Crit!#REF!,"AAAAABV8m1w=")</f>
        <v>#REF!</v>
      </c>
      <c r="CP33">
        <f>IF(LOSF.Crit!20:20,"AAAAABV8m10=",0)</f>
        <v>0</v>
      </c>
      <c r="CQ33" t="e">
        <f>AND(LOSF.Crit!A20,"AAAAABV8m14=")</f>
        <v>#VALUE!</v>
      </c>
      <c r="CR33" t="e">
        <f>AND(LOSF.Crit!#REF!,"AAAAABV8m18=")</f>
        <v>#REF!</v>
      </c>
      <c r="CS33" t="e">
        <f>AND(LOSF.Crit!#REF!,"AAAAABV8m2A=")</f>
        <v>#REF!</v>
      </c>
      <c r="CT33" t="e">
        <f>AND(LOSF.Crit!#REF!,"AAAAABV8m2E=")</f>
        <v>#REF!</v>
      </c>
      <c r="CU33" t="e">
        <f>AND(LOSF.Crit!#REF!,"AAAAABV8m2I=")</f>
        <v>#REF!</v>
      </c>
      <c r="CV33" t="e">
        <f>AND(LOSF.Crit!B20,"AAAAABV8m2M=")</f>
        <v>#VALUE!</v>
      </c>
      <c r="CW33" t="e">
        <f>AND(LOSF.Crit!C20,"AAAAABV8m2Q=")</f>
        <v>#VALUE!</v>
      </c>
      <c r="CX33" t="e">
        <f>AND(LOSF.Crit!D20,"AAAAABV8m2U=")</f>
        <v>#VALUE!</v>
      </c>
      <c r="CY33" t="e">
        <f>AND(LOSF.Crit!E20,"AAAAABV8m2Y=")</f>
        <v>#VALUE!</v>
      </c>
      <c r="CZ33" t="e">
        <f>AND(LOSF.Crit!F20,"AAAAABV8m2c=")</f>
        <v>#VALUE!</v>
      </c>
      <c r="DA33" t="e">
        <f>AND(LOSF.Crit!G20,"AAAAABV8m2g=")</f>
        <v>#VALUE!</v>
      </c>
      <c r="DB33" t="e">
        <f>AND(LOSF.Crit!H20,"AAAAABV8m2k=")</f>
        <v>#VALUE!</v>
      </c>
      <c r="DC33" t="e">
        <f>AND(LOSF.Crit!I20,"AAAAABV8m2o=")</f>
        <v>#VALUE!</v>
      </c>
      <c r="DD33" t="e">
        <f>AND(LOSF.Crit!J20,"AAAAABV8m2s=")</f>
        <v>#VALUE!</v>
      </c>
      <c r="DE33" t="e">
        <f>AND(LOSF.Crit!#REF!,"AAAAABV8m2w=")</f>
        <v>#REF!</v>
      </c>
      <c r="DF33">
        <f>IF(LOSF.Crit!21:21,"AAAAABV8m20=",0)</f>
        <v>0</v>
      </c>
      <c r="DG33" t="e">
        <f>AND(LOSF.Crit!A21,"AAAAABV8m24=")</f>
        <v>#VALUE!</v>
      </c>
      <c r="DH33" t="e">
        <f>AND(LOSF.Crit!#REF!,"AAAAABV8m28=")</f>
        <v>#REF!</v>
      </c>
      <c r="DI33" t="e">
        <f>AND(LOSF.Crit!#REF!,"AAAAABV8m3A=")</f>
        <v>#REF!</v>
      </c>
      <c r="DJ33" t="e">
        <f>AND(LOSF.Crit!#REF!,"AAAAABV8m3E=")</f>
        <v>#REF!</v>
      </c>
      <c r="DK33" t="e">
        <f>AND(LOSF.Crit!#REF!,"AAAAABV8m3I=")</f>
        <v>#REF!</v>
      </c>
      <c r="DL33" t="e">
        <f>AND(LOSF.Crit!B21,"AAAAABV8m3M=")</f>
        <v>#VALUE!</v>
      </c>
      <c r="DM33" t="e">
        <f>AND(LOSF.Crit!C21,"AAAAABV8m3Q=")</f>
        <v>#VALUE!</v>
      </c>
      <c r="DN33" t="e">
        <f>AND(LOSF.Crit!D21,"AAAAABV8m3U=")</f>
        <v>#VALUE!</v>
      </c>
      <c r="DO33" t="e">
        <f>AND(LOSF.Crit!E21,"AAAAABV8m3Y=")</f>
        <v>#VALUE!</v>
      </c>
      <c r="DP33" t="e">
        <f>AND(LOSF.Crit!F21,"AAAAABV8m3c=")</f>
        <v>#VALUE!</v>
      </c>
      <c r="DQ33" t="e">
        <f>AND(LOSF.Crit!G21,"AAAAABV8m3g=")</f>
        <v>#VALUE!</v>
      </c>
      <c r="DR33" t="e">
        <f>AND(LOSF.Crit!H21,"AAAAABV8m3k=")</f>
        <v>#VALUE!</v>
      </c>
      <c r="DS33" t="e">
        <f>AND(LOSF.Crit!I21,"AAAAABV8m3o=")</f>
        <v>#VALUE!</v>
      </c>
      <c r="DT33" t="e">
        <f>AND(LOSF.Crit!J21,"AAAAABV8m3s=")</f>
        <v>#VALUE!</v>
      </c>
      <c r="DU33" t="e">
        <f>AND(LOSF.Crit!#REF!,"AAAAABV8m3w=")</f>
        <v>#REF!</v>
      </c>
      <c r="DV33">
        <f>IF(LOSF.Crit!24:24,"AAAAABV8m30=",0)</f>
        <v>0</v>
      </c>
      <c r="DW33" t="e">
        <f>AND(LOSF.Crit!A24,"AAAAABV8m34=")</f>
        <v>#VALUE!</v>
      </c>
      <c r="DX33" t="e">
        <f>AND(LOSF.Crit!#REF!,"AAAAABV8m38=")</f>
        <v>#REF!</v>
      </c>
      <c r="DY33" t="e">
        <f>AND(LOSF.Crit!#REF!,"AAAAABV8m4A=")</f>
        <v>#REF!</v>
      </c>
      <c r="DZ33" t="e">
        <f>AND(LOSF.Crit!#REF!,"AAAAABV8m4E=")</f>
        <v>#REF!</v>
      </c>
      <c r="EA33" t="e">
        <f>AND(LOSF.Crit!#REF!,"AAAAABV8m4I=")</f>
        <v>#REF!</v>
      </c>
      <c r="EB33" t="e">
        <f>AND(LOSF.Crit!B24,"AAAAABV8m4M=")</f>
        <v>#VALUE!</v>
      </c>
      <c r="EC33" t="e">
        <f>AND(LOSF.Crit!C24,"AAAAABV8m4Q=")</f>
        <v>#VALUE!</v>
      </c>
      <c r="ED33" t="e">
        <f>AND(LOSF.Crit!D24,"AAAAABV8m4U=")</f>
        <v>#VALUE!</v>
      </c>
      <c r="EE33" t="e">
        <f>AND(LOSF.Crit!E24,"AAAAABV8m4Y=")</f>
        <v>#VALUE!</v>
      </c>
      <c r="EF33" t="e">
        <f>AND(LOSF.Crit!F24,"AAAAABV8m4c=")</f>
        <v>#VALUE!</v>
      </c>
      <c r="EG33" t="e">
        <f>AND(LOSF.Crit!G24,"AAAAABV8m4g=")</f>
        <v>#VALUE!</v>
      </c>
      <c r="EH33" t="e">
        <f>AND(LOSF.Crit!H24,"AAAAABV8m4k=")</f>
        <v>#VALUE!</v>
      </c>
      <c r="EI33" t="e">
        <f>AND(LOSF.Crit!I24,"AAAAABV8m4o=")</f>
        <v>#VALUE!</v>
      </c>
      <c r="EJ33" t="e">
        <f>AND(LOSF.Crit!J24,"AAAAABV8m4s=")</f>
        <v>#VALUE!</v>
      </c>
      <c r="EK33" t="e">
        <f>AND(LOSF.Crit!#REF!,"AAAAABV8m4w=")</f>
        <v>#REF!</v>
      </c>
      <c r="EL33">
        <f>IF(LOSF.Crit!25:25,"AAAAABV8m40=",0)</f>
        <v>0</v>
      </c>
      <c r="EM33" t="e">
        <f>AND(LOSF.Crit!A25,"AAAAABV8m44=")</f>
        <v>#VALUE!</v>
      </c>
      <c r="EN33" t="e">
        <f>AND(LOSF.Crit!#REF!,"AAAAABV8m48=")</f>
        <v>#REF!</v>
      </c>
      <c r="EO33" t="e">
        <f>AND(LOSF.Crit!#REF!,"AAAAABV8m5A=")</f>
        <v>#REF!</v>
      </c>
      <c r="EP33" t="e">
        <f>AND(LOSF.Crit!#REF!,"AAAAABV8m5E=")</f>
        <v>#REF!</v>
      </c>
      <c r="EQ33" t="e">
        <f>AND(LOSF.Crit!#REF!,"AAAAABV8m5I=")</f>
        <v>#REF!</v>
      </c>
      <c r="ER33" t="e">
        <f>AND(LOSF.Crit!B25,"AAAAABV8m5M=")</f>
        <v>#VALUE!</v>
      </c>
      <c r="ES33" t="e">
        <f>AND(LOSF.Crit!C25,"AAAAABV8m5Q=")</f>
        <v>#VALUE!</v>
      </c>
      <c r="ET33" t="e">
        <f>AND(LOSF.Crit!D25,"AAAAABV8m5U=")</f>
        <v>#VALUE!</v>
      </c>
      <c r="EU33" t="e">
        <f>AND(LOSF.Crit!E25,"AAAAABV8m5Y=")</f>
        <v>#VALUE!</v>
      </c>
      <c r="EV33" t="e">
        <f>AND(LOSF.Crit!F25,"AAAAABV8m5c=")</f>
        <v>#VALUE!</v>
      </c>
      <c r="EW33" t="e">
        <f>AND(LOSF.Crit!G25,"AAAAABV8m5g=")</f>
        <v>#VALUE!</v>
      </c>
      <c r="EX33" t="e">
        <f>AND(LOSF.Crit!H25,"AAAAABV8m5k=")</f>
        <v>#VALUE!</v>
      </c>
      <c r="EY33" t="e">
        <f>AND(LOSF.Crit!I25,"AAAAABV8m5o=")</f>
        <v>#VALUE!</v>
      </c>
      <c r="EZ33" t="e">
        <f>AND(LOSF.Crit!J25,"AAAAABV8m5s=")</f>
        <v>#VALUE!</v>
      </c>
      <c r="FA33" t="e">
        <f>AND(LOSF.Crit!#REF!,"AAAAABV8m5w=")</f>
        <v>#REF!</v>
      </c>
      <c r="FB33">
        <f>IF(LOSF.Crit!26:26,"AAAAABV8m50=",0)</f>
        <v>0</v>
      </c>
      <c r="FC33" t="e">
        <f>AND(LOSF.Crit!A26,"AAAAABV8m54=")</f>
        <v>#VALUE!</v>
      </c>
      <c r="FD33" t="e">
        <f>AND(LOSF.Crit!#REF!,"AAAAABV8m58=")</f>
        <v>#REF!</v>
      </c>
      <c r="FE33" t="e">
        <f>AND(LOSF.Crit!#REF!,"AAAAABV8m6A=")</f>
        <v>#REF!</v>
      </c>
      <c r="FF33" t="e">
        <f>AND(LOSF.Crit!#REF!,"AAAAABV8m6E=")</f>
        <v>#REF!</v>
      </c>
      <c r="FG33" t="e">
        <f>AND(LOSF.Crit!#REF!,"AAAAABV8m6I=")</f>
        <v>#REF!</v>
      </c>
      <c r="FH33" t="e">
        <f>AND(LOSF.Crit!B26,"AAAAABV8m6M=")</f>
        <v>#VALUE!</v>
      </c>
      <c r="FI33" t="e">
        <f>AND(LOSF.Crit!C26,"AAAAABV8m6Q=")</f>
        <v>#VALUE!</v>
      </c>
      <c r="FJ33" t="e">
        <f>AND(LOSF.Crit!D26,"AAAAABV8m6U=")</f>
        <v>#VALUE!</v>
      </c>
      <c r="FK33" t="e">
        <f>AND(LOSF.Crit!E26,"AAAAABV8m6Y=")</f>
        <v>#VALUE!</v>
      </c>
      <c r="FL33" t="e">
        <f>AND(LOSF.Crit!F26,"AAAAABV8m6c=")</f>
        <v>#VALUE!</v>
      </c>
      <c r="FM33" t="e">
        <f>AND(LOSF.Crit!G26,"AAAAABV8m6g=")</f>
        <v>#VALUE!</v>
      </c>
      <c r="FN33" t="e">
        <f>AND(LOSF.Crit!H26,"AAAAABV8m6k=")</f>
        <v>#VALUE!</v>
      </c>
      <c r="FO33" t="e">
        <f>AND(LOSF.Crit!I26,"AAAAABV8m6o=")</f>
        <v>#VALUE!</v>
      </c>
      <c r="FP33" t="e">
        <f>AND(LOSF.Crit!J26,"AAAAABV8m6s=")</f>
        <v>#VALUE!</v>
      </c>
      <c r="FQ33" t="e">
        <f>AND(LOSF.Crit!#REF!,"AAAAABV8m6w=")</f>
        <v>#REF!</v>
      </c>
      <c r="FR33">
        <f>IF(LOSF.Crit!27:27,"AAAAABV8m60=",0)</f>
        <v>0</v>
      </c>
      <c r="FS33" t="e">
        <f>AND(LOSF.Crit!A27,"AAAAABV8m64=")</f>
        <v>#VALUE!</v>
      </c>
      <c r="FT33" t="e">
        <f>AND(LOSF.Crit!#REF!,"AAAAABV8m68=")</f>
        <v>#REF!</v>
      </c>
      <c r="FU33" t="e">
        <f>AND(LOSF.Crit!#REF!,"AAAAABV8m7A=")</f>
        <v>#REF!</v>
      </c>
      <c r="FV33" t="e">
        <f>AND(LOSF.Crit!#REF!,"AAAAABV8m7E=")</f>
        <v>#REF!</v>
      </c>
      <c r="FW33" t="e">
        <f>AND(LOSF.Crit!#REF!,"AAAAABV8m7I=")</f>
        <v>#REF!</v>
      </c>
      <c r="FX33" t="e">
        <f>AND(LOSF.Crit!B27,"AAAAABV8m7M=")</f>
        <v>#VALUE!</v>
      </c>
      <c r="FY33" t="e">
        <f>AND(LOSF.Crit!C27,"AAAAABV8m7Q=")</f>
        <v>#VALUE!</v>
      </c>
      <c r="FZ33" t="e">
        <f>AND(LOSF.Crit!D27,"AAAAABV8m7U=")</f>
        <v>#VALUE!</v>
      </c>
      <c r="GA33" t="e">
        <f>AND(LOSF.Crit!E27,"AAAAABV8m7Y=")</f>
        <v>#VALUE!</v>
      </c>
      <c r="GB33" t="e">
        <f>AND(LOSF.Crit!F27,"AAAAABV8m7c=")</f>
        <v>#VALUE!</v>
      </c>
      <c r="GC33" t="e">
        <f>AND(LOSF.Crit!G27,"AAAAABV8m7g=")</f>
        <v>#VALUE!</v>
      </c>
      <c r="GD33" t="e">
        <f>AND(LOSF.Crit!H27,"AAAAABV8m7k=")</f>
        <v>#VALUE!</v>
      </c>
      <c r="GE33" t="e">
        <f>AND(LOSF.Crit!I27,"AAAAABV8m7o=")</f>
        <v>#VALUE!</v>
      </c>
      <c r="GF33" t="e">
        <f>AND(LOSF.Crit!J27,"AAAAABV8m7s=")</f>
        <v>#VALUE!</v>
      </c>
      <c r="GG33" t="e">
        <f>AND(LOSF.Crit!#REF!,"AAAAABV8m7w=")</f>
        <v>#REF!</v>
      </c>
      <c r="GH33" t="e">
        <f>IF(LOSF.Crit!#REF!,"AAAAABV8m70=",0)</f>
        <v>#REF!</v>
      </c>
      <c r="GI33" t="e">
        <f>AND(LOSF.Crit!#REF!,"AAAAABV8m74=")</f>
        <v>#REF!</v>
      </c>
      <c r="GJ33" t="e">
        <f>AND(LOSF.Crit!#REF!,"AAAAABV8m78=")</f>
        <v>#REF!</v>
      </c>
      <c r="GK33" t="e">
        <f>AND(LOSF.Crit!#REF!,"AAAAABV8m8A=")</f>
        <v>#REF!</v>
      </c>
      <c r="GL33" t="e">
        <f>AND(LOSF.Crit!#REF!,"AAAAABV8m8E=")</f>
        <v>#REF!</v>
      </c>
      <c r="GM33" t="e">
        <f>AND(LOSF.Crit!#REF!,"AAAAABV8m8I=")</f>
        <v>#REF!</v>
      </c>
      <c r="GN33" t="e">
        <f>AND(LOSF.Crit!#REF!,"AAAAABV8m8M=")</f>
        <v>#REF!</v>
      </c>
      <c r="GO33" t="e">
        <f>AND(LOSF.Crit!#REF!,"AAAAABV8m8Q=")</f>
        <v>#REF!</v>
      </c>
      <c r="GP33" t="e">
        <f>AND(LOSF.Crit!#REF!,"AAAAABV8m8U=")</f>
        <v>#REF!</v>
      </c>
      <c r="GQ33" t="e">
        <f>AND(LOSF.Crit!#REF!,"AAAAABV8m8Y=")</f>
        <v>#REF!</v>
      </c>
      <c r="GR33" t="e">
        <f>AND(LOSF.Crit!#REF!,"AAAAABV8m8c=")</f>
        <v>#REF!</v>
      </c>
      <c r="GS33" t="e">
        <f>AND(LOSF.Crit!#REF!,"AAAAABV8m8g=")</f>
        <v>#REF!</v>
      </c>
      <c r="GT33" t="e">
        <f>AND(LOSF.Crit!#REF!,"AAAAABV8m8k=")</f>
        <v>#REF!</v>
      </c>
      <c r="GU33" t="e">
        <f>AND(LOSF.Crit!#REF!,"AAAAABV8m8o=")</f>
        <v>#REF!</v>
      </c>
      <c r="GV33" t="e">
        <f>AND(LOSF.Crit!#REF!,"AAAAABV8m8s=")</f>
        <v>#REF!</v>
      </c>
      <c r="GW33" t="e">
        <f>AND(LOSF.Crit!#REF!,"AAAAABV8m8w=")</f>
        <v>#REF!</v>
      </c>
      <c r="GX33">
        <f>IF(LOSF.Crit!28:28,"AAAAABV8m80=",0)</f>
        <v>0</v>
      </c>
      <c r="GY33" t="e">
        <f>AND(LOSF.Crit!A28,"AAAAABV8m84=")</f>
        <v>#VALUE!</v>
      </c>
      <c r="GZ33" t="e">
        <f>AND(LOSF.Crit!#REF!,"AAAAABV8m88=")</f>
        <v>#REF!</v>
      </c>
      <c r="HA33" t="e">
        <f>AND(LOSF.Crit!#REF!,"AAAAABV8m9A=")</f>
        <v>#REF!</v>
      </c>
      <c r="HB33" t="e">
        <f>AND(LOSF.Crit!#REF!,"AAAAABV8m9E=")</f>
        <v>#REF!</v>
      </c>
      <c r="HC33" t="e">
        <f>AND(LOSF.Crit!#REF!,"AAAAABV8m9I=")</f>
        <v>#REF!</v>
      </c>
      <c r="HD33" t="e">
        <f>AND(LOSF.Crit!B28,"AAAAABV8m9M=")</f>
        <v>#VALUE!</v>
      </c>
      <c r="HE33" t="e">
        <f>AND(LOSF.Crit!C28,"AAAAABV8m9Q=")</f>
        <v>#VALUE!</v>
      </c>
      <c r="HF33" t="e">
        <f>AND(LOSF.Crit!D28,"AAAAABV8m9U=")</f>
        <v>#VALUE!</v>
      </c>
      <c r="HG33" t="e">
        <f>AND(LOSF.Crit!E28,"AAAAABV8m9Y=")</f>
        <v>#VALUE!</v>
      </c>
      <c r="HH33" t="e">
        <f>AND(LOSF.Crit!F28,"AAAAABV8m9c=")</f>
        <v>#VALUE!</v>
      </c>
      <c r="HI33" t="e">
        <f>AND(LOSF.Crit!G28,"AAAAABV8m9g=")</f>
        <v>#VALUE!</v>
      </c>
      <c r="HJ33" t="e">
        <f>AND(LOSF.Crit!H28,"AAAAABV8m9k=")</f>
        <v>#VALUE!</v>
      </c>
      <c r="HK33" t="e">
        <f>AND(LOSF.Crit!I28,"AAAAABV8m9o=")</f>
        <v>#VALUE!</v>
      </c>
      <c r="HL33" t="e">
        <f>AND(LOSF.Crit!J28,"AAAAABV8m9s=")</f>
        <v>#VALUE!</v>
      </c>
      <c r="HM33" t="e">
        <f>AND(LOSF.Crit!#REF!,"AAAAABV8m9w=")</f>
        <v>#REF!</v>
      </c>
      <c r="HN33">
        <f>IF(LOSF.Crit!29:29,"AAAAABV8m90=",0)</f>
        <v>0</v>
      </c>
      <c r="HO33" t="e">
        <f>AND(LOSF.Crit!A29,"AAAAABV8m94=")</f>
        <v>#VALUE!</v>
      </c>
      <c r="HP33" t="e">
        <f>AND(LOSF.Crit!#REF!,"AAAAABV8m98=")</f>
        <v>#REF!</v>
      </c>
      <c r="HQ33" t="e">
        <f>AND(LOSF.Crit!#REF!,"AAAAABV8m+A=")</f>
        <v>#REF!</v>
      </c>
      <c r="HR33" t="e">
        <f>AND(LOSF.Crit!#REF!,"AAAAABV8m+E=")</f>
        <v>#REF!</v>
      </c>
      <c r="HS33" t="e">
        <f>AND(LOSF.Crit!#REF!,"AAAAABV8m+I=")</f>
        <v>#REF!</v>
      </c>
      <c r="HT33" t="e">
        <f>AND(LOSF.Crit!B29,"AAAAABV8m+M=")</f>
        <v>#VALUE!</v>
      </c>
      <c r="HU33" t="e">
        <f>AND(LOSF.Crit!C29,"AAAAABV8m+Q=")</f>
        <v>#VALUE!</v>
      </c>
      <c r="HV33" t="e">
        <f>AND(LOSF.Crit!D29,"AAAAABV8m+U=")</f>
        <v>#VALUE!</v>
      </c>
      <c r="HW33" t="e">
        <f>AND(LOSF.Crit!E29,"AAAAABV8m+Y=")</f>
        <v>#VALUE!</v>
      </c>
      <c r="HX33" t="e">
        <f>AND(LOSF.Crit!F29,"AAAAABV8m+c=")</f>
        <v>#VALUE!</v>
      </c>
      <c r="HY33" t="e">
        <f>AND(LOSF.Crit!G29,"AAAAABV8m+g=")</f>
        <v>#VALUE!</v>
      </c>
      <c r="HZ33" t="e">
        <f>AND(LOSF.Crit!H29,"AAAAABV8m+k=")</f>
        <v>#VALUE!</v>
      </c>
      <c r="IA33" t="e">
        <f>AND(LOSF.Crit!I29,"AAAAABV8m+o=")</f>
        <v>#VALUE!</v>
      </c>
      <c r="IB33" t="e">
        <f>AND(LOSF.Crit!J29,"AAAAABV8m+s=")</f>
        <v>#VALUE!</v>
      </c>
      <c r="IC33" t="e">
        <f>AND(LOSF.Crit!#REF!,"AAAAABV8m+w=")</f>
        <v>#REF!</v>
      </c>
      <c r="ID33">
        <f>IF(LOSF.Crit!30:30,"AAAAABV8m+0=",0)</f>
        <v>0</v>
      </c>
      <c r="IE33" t="e">
        <f>AND(LOSF.Crit!A30,"AAAAABV8m+4=")</f>
        <v>#VALUE!</v>
      </c>
      <c r="IF33" t="e">
        <f>AND(LOSF.Crit!#REF!,"AAAAABV8m+8=")</f>
        <v>#REF!</v>
      </c>
      <c r="IG33" t="e">
        <f>AND(LOSF.Crit!#REF!,"AAAAABV8m/A=")</f>
        <v>#REF!</v>
      </c>
      <c r="IH33" t="e">
        <f>AND(LOSF.Crit!#REF!,"AAAAABV8m/E=")</f>
        <v>#REF!</v>
      </c>
      <c r="II33" t="e">
        <f>AND(LOSF.Crit!#REF!,"AAAAABV8m/I=")</f>
        <v>#REF!</v>
      </c>
      <c r="IJ33" t="e">
        <f>AND(LOSF.Crit!B30,"AAAAABV8m/M=")</f>
        <v>#VALUE!</v>
      </c>
      <c r="IK33" t="e">
        <f>AND(LOSF.Crit!C30,"AAAAABV8m/Q=")</f>
        <v>#VALUE!</v>
      </c>
      <c r="IL33" t="e">
        <f>AND(LOSF.Crit!D30,"AAAAABV8m/U=")</f>
        <v>#VALUE!</v>
      </c>
      <c r="IM33" t="e">
        <f>AND(LOSF.Crit!E30,"AAAAABV8m/Y=")</f>
        <v>#VALUE!</v>
      </c>
      <c r="IN33" t="e">
        <f>AND(LOSF.Crit!F30,"AAAAABV8m/c=")</f>
        <v>#VALUE!</v>
      </c>
      <c r="IO33" t="e">
        <f>AND(LOSF.Crit!G30,"AAAAABV8m/g=")</f>
        <v>#VALUE!</v>
      </c>
      <c r="IP33" t="e">
        <f>AND(LOSF.Crit!H30,"AAAAABV8m/k=")</f>
        <v>#VALUE!</v>
      </c>
      <c r="IQ33" t="e">
        <f>AND(LOSF.Crit!I30,"AAAAABV8m/o=")</f>
        <v>#VALUE!</v>
      </c>
      <c r="IR33" t="e">
        <f>AND(LOSF.Crit!J30,"AAAAABV8m/s=")</f>
        <v>#VALUE!</v>
      </c>
      <c r="IS33" t="e">
        <f>AND(LOSF.Crit!#REF!,"AAAAABV8m/w=")</f>
        <v>#REF!</v>
      </c>
      <c r="IT33">
        <f>IF(LOSF.Crit!33:33,"AAAAABV8m/0=",0)</f>
        <v>0</v>
      </c>
      <c r="IU33" t="e">
        <f>AND(LOSF.Crit!A33,"AAAAABV8m/4=")</f>
        <v>#VALUE!</v>
      </c>
      <c r="IV33" t="e">
        <f>AND(LOSF.Crit!#REF!,"AAAAABV8m/8=")</f>
        <v>#REF!</v>
      </c>
    </row>
    <row r="34" spans="1:256">
      <c r="A34" t="e">
        <f>AND(LOSF.Crit!#REF!,"AAAAADv9xwA=")</f>
        <v>#REF!</v>
      </c>
      <c r="B34" t="e">
        <f>AND(LOSF.Crit!#REF!,"AAAAADv9xwE=")</f>
        <v>#REF!</v>
      </c>
      <c r="C34" t="e">
        <f>AND(LOSF.Crit!#REF!,"AAAAADv9xwI=")</f>
        <v>#REF!</v>
      </c>
      <c r="D34" t="e">
        <f>AND(LOSF.Crit!B33,"AAAAADv9xwM=")</f>
        <v>#VALUE!</v>
      </c>
      <c r="E34" t="e">
        <f>AND(LOSF.Crit!C33,"AAAAADv9xwQ=")</f>
        <v>#VALUE!</v>
      </c>
      <c r="F34" t="e">
        <f>AND(LOSF.Crit!D33,"AAAAADv9xwU=")</f>
        <v>#VALUE!</v>
      </c>
      <c r="G34" t="e">
        <f>AND(LOSF.Crit!E33,"AAAAADv9xwY=")</f>
        <v>#VALUE!</v>
      </c>
      <c r="H34" t="e">
        <f>AND(LOSF.Crit!F33,"AAAAADv9xwc=")</f>
        <v>#VALUE!</v>
      </c>
      <c r="I34" t="e">
        <f>AND(LOSF.Crit!G33,"AAAAADv9xwg=")</f>
        <v>#VALUE!</v>
      </c>
      <c r="J34" t="e">
        <f>AND(LOSF.Crit!H33,"AAAAADv9xwk=")</f>
        <v>#VALUE!</v>
      </c>
      <c r="K34" t="e">
        <f>AND(LOSF.Crit!I33,"AAAAADv9xwo=")</f>
        <v>#VALUE!</v>
      </c>
      <c r="L34" t="e">
        <f>AND(LOSF.Crit!J33,"AAAAADv9xws=")</f>
        <v>#VALUE!</v>
      </c>
      <c r="M34" t="e">
        <f>AND(LOSF.Crit!#REF!,"AAAAADv9xww=")</f>
        <v>#REF!</v>
      </c>
      <c r="N34">
        <f>IF(LOSF.Crit!34:34,"AAAAADv9xw0=",0)</f>
        <v>0</v>
      </c>
      <c r="O34" t="e">
        <f>AND(LOSF.Crit!A34,"AAAAADv9xw4=")</f>
        <v>#VALUE!</v>
      </c>
      <c r="P34" t="e">
        <f>AND(LOSF.Crit!#REF!,"AAAAADv9xw8=")</f>
        <v>#REF!</v>
      </c>
      <c r="Q34" t="e">
        <f>AND(LOSF.Crit!#REF!,"AAAAADv9xxA=")</f>
        <v>#REF!</v>
      </c>
      <c r="R34" t="e">
        <f>AND(LOSF.Crit!#REF!,"AAAAADv9xxE=")</f>
        <v>#REF!</v>
      </c>
      <c r="S34" t="e">
        <f>AND(LOSF.Crit!#REF!,"AAAAADv9xxI=")</f>
        <v>#REF!</v>
      </c>
      <c r="T34" t="e">
        <f>AND(LOSF.Crit!B34,"AAAAADv9xxM=")</f>
        <v>#VALUE!</v>
      </c>
      <c r="U34" t="e">
        <f>AND(LOSF.Crit!C34,"AAAAADv9xxQ=")</f>
        <v>#VALUE!</v>
      </c>
      <c r="V34" t="e">
        <f>AND(LOSF.Crit!D34,"AAAAADv9xxU=")</f>
        <v>#VALUE!</v>
      </c>
      <c r="W34" t="e">
        <f>AND(LOSF.Crit!E34,"AAAAADv9xxY=")</f>
        <v>#VALUE!</v>
      </c>
      <c r="X34" t="e">
        <f>AND(LOSF.Crit!F34,"AAAAADv9xxc=")</f>
        <v>#VALUE!</v>
      </c>
      <c r="Y34" t="e">
        <f>AND(LOSF.Crit!G34,"AAAAADv9xxg=")</f>
        <v>#VALUE!</v>
      </c>
      <c r="Z34" t="e">
        <f>AND(LOSF.Crit!H34,"AAAAADv9xxk=")</f>
        <v>#VALUE!</v>
      </c>
      <c r="AA34" t="e">
        <f>AND(LOSF.Crit!I34,"AAAAADv9xxo=")</f>
        <v>#VALUE!</v>
      </c>
      <c r="AB34" t="e">
        <f>AND(LOSF.Crit!J34,"AAAAADv9xxs=")</f>
        <v>#VALUE!</v>
      </c>
      <c r="AC34" t="e">
        <f>AND(LOSF.Crit!#REF!,"AAAAADv9xxw=")</f>
        <v>#REF!</v>
      </c>
      <c r="AD34">
        <f>IF(LOSF.Crit!35:35,"AAAAADv9xx0=",0)</f>
        <v>0</v>
      </c>
      <c r="AE34">
        <f>IF(LOSF.Crit!A:A,"AAAAADv9xx4=",0)</f>
        <v>0</v>
      </c>
      <c r="AF34" t="e">
        <f>IF(LOSF.Crit!B:B,"AAAAADv9xx8=",0)</f>
        <v>#VALUE!</v>
      </c>
      <c r="AG34" t="str">
        <f>IF(LOSF.Crit!C:C,"AAAAADv9xyA=",0)</f>
        <v>AAAAADv9xyA=</v>
      </c>
      <c r="AH34" t="str">
        <f>IF(LOSF.Crit!D:D,"AAAAADv9xyE=",0)</f>
        <v>AAAAADv9xyE=</v>
      </c>
      <c r="AI34" t="str">
        <f>IF(LOSF.Crit!E:E,"AAAAADv9xyI=",0)</f>
        <v>AAAAADv9xyI=</v>
      </c>
      <c r="AJ34">
        <f>IF(LOSF.Crit!F:F,"AAAAADv9xyM=",0)</f>
        <v>0</v>
      </c>
      <c r="AK34">
        <f>IF(LOSF.Crit!G:G,"AAAAADv9xyQ=",0)</f>
        <v>0</v>
      </c>
      <c r="AL34">
        <f>IF(LOSF.Crit!H:H,"AAAAADv9xyU=",0)</f>
        <v>0</v>
      </c>
      <c r="AM34">
        <f>IF(LOSF.Crit!I:I,"AAAAADv9xyY=",0)</f>
        <v>0</v>
      </c>
      <c r="AN34">
        <f>IF(LOSF.Crit!J:J,"AAAAADv9xyc=",0)</f>
        <v>0</v>
      </c>
      <c r="AO34" t="e">
        <f>IF(LOSF.Crit!#REF!,"AAAAADv9xyg=",0)</f>
        <v>#REF!</v>
      </c>
      <c r="AP34" t="e">
        <f>IF(LOSF.Crit!#REF!,"AAAAADv9xyk=",0)</f>
        <v>#REF!</v>
      </c>
      <c r="AQ34" t="e">
        <f>IF(LOSF.Crit!#REF!,"AAAAADv9xyo=",0)</f>
        <v>#REF!</v>
      </c>
      <c r="AR34">
        <f>IF(LOSF.Crit!K:K,"AAAAADv9xys=",0)</f>
        <v>0</v>
      </c>
      <c r="AS34">
        <f>IF(LOSF.Crit!L:L,"AAAAADv9xyw=",0)</f>
        <v>0</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f>IF('Lime Silo'!1:1,"AAAAAH7/t/E=",0)</f>
        <v>0</v>
      </c>
      <c r="II42" t="e">
        <f>AND('Lime Silo'!D1,"AAAAAH7/t/I=")</f>
        <v>#VALUE!</v>
      </c>
      <c r="IJ42" t="e">
        <f>AND('Lime Silo'!B1,"AAAAAH7/t/M=")</f>
        <v>#VALUE!</v>
      </c>
      <c r="IK42" t="e">
        <f>AND('Lime Silo'!C1,"AAAAAH7/t/Q=")</f>
        <v>#VALUE!</v>
      </c>
      <c r="IL42" t="e">
        <f>AND('Lime Silo'!#REF!,"AAAAAH7/t/U=")</f>
        <v>#REF!</v>
      </c>
      <c r="IM42" t="e">
        <f>AND('Lime Silo'!E1,"AAAAAH7/t/Y=")</f>
        <v>#VALUE!</v>
      </c>
      <c r="IN42" t="e">
        <f>AND('Lime Silo'!F1,"AAAAAH7/t/c=")</f>
        <v>#VALUE!</v>
      </c>
      <c r="IO42" t="e">
        <f>AND('Lime Silo'!G1,"AAAAAH7/t/g=")</f>
        <v>#VALUE!</v>
      </c>
      <c r="IP42" t="e">
        <f>AND('Lime Silo'!H1,"AAAAAH7/t/k=")</f>
        <v>#VALUE!</v>
      </c>
      <c r="IQ42" t="e">
        <f>AND('Lime Silo'!I1,"AAAAAH7/t/o=")</f>
        <v>#VALUE!</v>
      </c>
      <c r="IR42" t="e">
        <f>AND('Lime Silo'!J1,"AAAAAH7/t/s=")</f>
        <v>#VALUE!</v>
      </c>
      <c r="IS42" t="e">
        <f>AND('Lime Silo'!K1,"AAAAAH7/t/w=")</f>
        <v>#VALUE!</v>
      </c>
      <c r="IT42" t="e">
        <f>AND('Lime Silo'!L1,"AAAAAH7/t/0=")</f>
        <v>#VALUE!</v>
      </c>
      <c r="IU42" t="e">
        <f>AND('Lime Silo'!M1,"AAAAAH7/t/4=")</f>
        <v>#VALUE!</v>
      </c>
      <c r="IV42" t="e">
        <f>AND('Lime Silo'!N1,"AAAAAH7/t/8=")</f>
        <v>#VALUE!</v>
      </c>
    </row>
    <row r="43" spans="1:256">
      <c r="A43" t="e">
        <f>AND('Lime Silo'!O1,"AAAAAH7+1wA=")</f>
        <v>#VALUE!</v>
      </c>
      <c r="B43">
        <f>IF('Lime Silo'!2:2,"AAAAAH7+1wE=",0)</f>
        <v>0</v>
      </c>
      <c r="C43" t="e">
        <f>AND('Lime Silo'!D2,"AAAAAH7+1wI=")</f>
        <v>#VALUE!</v>
      </c>
      <c r="D43" t="e">
        <f>AND('Lime Silo'!B2,"AAAAAH7+1wM=")</f>
        <v>#VALUE!</v>
      </c>
      <c r="E43" t="e">
        <f>AND('Lime Silo'!C2,"AAAAAH7+1wQ=")</f>
        <v>#VALUE!</v>
      </c>
      <c r="F43" t="e">
        <f>AND('Lime Silo'!#REF!,"AAAAAH7+1wU=")</f>
        <v>#REF!</v>
      </c>
      <c r="G43" t="e">
        <f>AND('Lime Silo'!E2,"AAAAAH7+1wY=")</f>
        <v>#VALUE!</v>
      </c>
      <c r="H43" t="e">
        <f>AND('Lime Silo'!F2,"AAAAAH7+1wc=")</f>
        <v>#VALUE!</v>
      </c>
      <c r="I43" t="e">
        <f>AND('Lime Silo'!G2,"AAAAAH7+1wg=")</f>
        <v>#VALUE!</v>
      </c>
      <c r="J43" t="e">
        <f>AND('Lime Silo'!H2,"AAAAAH7+1wk=")</f>
        <v>#VALUE!</v>
      </c>
      <c r="K43" t="e">
        <f>AND('Lime Silo'!I2,"AAAAAH7+1wo=")</f>
        <v>#VALUE!</v>
      </c>
      <c r="L43" t="e">
        <f>AND('Lime Silo'!J2,"AAAAAH7+1ws=")</f>
        <v>#VALUE!</v>
      </c>
      <c r="M43" t="e">
        <f>AND('Lime Silo'!K2,"AAAAAH7+1ww=")</f>
        <v>#VALUE!</v>
      </c>
      <c r="N43" t="e">
        <f>AND('Lime Silo'!L2,"AAAAAH7+1w0=")</f>
        <v>#VALUE!</v>
      </c>
      <c r="O43" t="e">
        <f>AND('Lime Silo'!M2,"AAAAAH7+1w4=")</f>
        <v>#VALUE!</v>
      </c>
      <c r="P43" t="e">
        <f>AND('Lime Silo'!N2,"AAAAAH7+1w8=")</f>
        <v>#VALUE!</v>
      </c>
      <c r="Q43" t="e">
        <f>AND('Lime Silo'!O2,"AAAAAH7+1xA=")</f>
        <v>#VALUE!</v>
      </c>
      <c r="R43" t="e">
        <f>IF('Lime Silo'!#REF!,"AAAAAH7+1xE=",0)</f>
        <v>#REF!</v>
      </c>
      <c r="S43" t="e">
        <f>AND('Lime Silo'!#REF!,"AAAAAH7+1xI=")</f>
        <v>#REF!</v>
      </c>
      <c r="T43" t="e">
        <f>AND('Lime Silo'!#REF!,"AAAAAH7+1xM=")</f>
        <v>#REF!</v>
      </c>
      <c r="U43" t="e">
        <f>AND('Lime Silo'!#REF!,"AAAAAH7+1xQ=")</f>
        <v>#REF!</v>
      </c>
      <c r="V43" t="e">
        <f>AND('Lime Silo'!#REF!,"AAAAAH7+1xU=")</f>
        <v>#REF!</v>
      </c>
      <c r="W43" t="e">
        <f>AND('Lime Silo'!#REF!,"AAAAAH7+1xY=")</f>
        <v>#REF!</v>
      </c>
      <c r="X43" t="e">
        <f>AND('Lime Silo'!#REF!,"AAAAAH7+1xc=")</f>
        <v>#REF!</v>
      </c>
      <c r="Y43" t="e">
        <f>AND('Lime Silo'!#REF!,"AAAAAH7+1xg=")</f>
        <v>#REF!</v>
      </c>
      <c r="Z43" t="e">
        <f>AND('Lime Silo'!#REF!,"AAAAAH7+1xk=")</f>
        <v>#REF!</v>
      </c>
      <c r="AA43" t="e">
        <f>AND('Lime Silo'!#REF!,"AAAAAH7+1xo=")</f>
        <v>#REF!</v>
      </c>
      <c r="AB43" t="e">
        <f>AND('Lime Silo'!#REF!,"AAAAAH7+1xs=")</f>
        <v>#REF!</v>
      </c>
      <c r="AC43" t="e">
        <f>AND('Lime Silo'!#REF!,"AAAAAH7+1xw=")</f>
        <v>#REF!</v>
      </c>
      <c r="AD43" t="e">
        <f>AND('Lime Silo'!#REF!,"AAAAAH7+1x0=")</f>
        <v>#REF!</v>
      </c>
      <c r="AE43" t="e">
        <f>AND('Lime Silo'!#REF!,"AAAAAH7+1x4=")</f>
        <v>#REF!</v>
      </c>
      <c r="AF43" t="e">
        <f>AND('Lime Silo'!#REF!,"AAAAAH7+1x8=")</f>
        <v>#REF!</v>
      </c>
      <c r="AG43" t="e">
        <f>AND('Lime Silo'!#REF!,"AAAAAH7+1yA=")</f>
        <v>#REF!</v>
      </c>
      <c r="AH43">
        <f>IF('Lime Silo'!3:3,"AAAAAH7+1yE=",0)</f>
        <v>0</v>
      </c>
      <c r="AI43" t="e">
        <f>AND('Lime Silo'!A3,"AAAAAH7+1yI=")</f>
        <v>#VALUE!</v>
      </c>
      <c r="AJ43" t="e">
        <f>AND('Lime Silo'!B3,"AAAAAH7+1yM=")</f>
        <v>#VALUE!</v>
      </c>
      <c r="AK43" t="e">
        <f>AND('Lime Silo'!C3,"AAAAAH7+1yQ=")</f>
        <v>#VALUE!</v>
      </c>
      <c r="AL43" t="e">
        <f>AND('Lime Silo'!D3,"AAAAAH7+1yU=")</f>
        <v>#VALUE!</v>
      </c>
      <c r="AM43" t="e">
        <f>AND('Lime Silo'!E3,"AAAAAH7+1yY=")</f>
        <v>#VALUE!</v>
      </c>
      <c r="AN43" t="e">
        <f>AND('Lime Silo'!F3,"AAAAAH7+1yc=")</f>
        <v>#VALUE!</v>
      </c>
      <c r="AO43" t="e">
        <f>AND('Lime Silo'!G3,"AAAAAH7+1yg=")</f>
        <v>#VALUE!</v>
      </c>
      <c r="AP43" t="e">
        <f>AND('Lime Silo'!H3,"AAAAAH7+1yk=")</f>
        <v>#VALUE!</v>
      </c>
      <c r="AQ43" t="e">
        <f>AND('Lime Silo'!I3,"AAAAAH7+1yo=")</f>
        <v>#VALUE!</v>
      </c>
      <c r="AR43" t="e">
        <f>AND('Lime Silo'!J3,"AAAAAH7+1ys=")</f>
        <v>#VALUE!</v>
      </c>
      <c r="AS43" t="e">
        <f>AND('Lime Silo'!K3,"AAAAAH7+1yw=")</f>
        <v>#VALUE!</v>
      </c>
      <c r="AT43" t="e">
        <f>AND('Lime Silo'!L3,"AAAAAH7+1y0=")</f>
        <v>#VALUE!</v>
      </c>
      <c r="AU43" t="e">
        <f>AND('Lime Silo'!M3,"AAAAAH7+1y4=")</f>
        <v>#VALUE!</v>
      </c>
      <c r="AV43" t="e">
        <f>AND('Lime Silo'!N3,"AAAAAH7+1y8=")</f>
        <v>#VALUE!</v>
      </c>
      <c r="AW43" t="e">
        <f>AND('Lime Silo'!O3,"AAAAAH7+1zA=")</f>
        <v>#VALUE!</v>
      </c>
      <c r="AX43">
        <f>IF('Lime Silo'!4:4,"AAAAAH7+1zE=",0)</f>
        <v>0</v>
      </c>
      <c r="AY43" t="e">
        <f>AND('Lime Silo'!A4,"AAAAAH7+1zI=")</f>
        <v>#VALUE!</v>
      </c>
      <c r="AZ43" t="e">
        <f>AND('Lime Silo'!B4,"AAAAAH7+1zM=")</f>
        <v>#VALUE!</v>
      </c>
      <c r="BA43" t="e">
        <f>AND('Lime Silo'!C4,"AAAAAH7+1zQ=")</f>
        <v>#VALUE!</v>
      </c>
      <c r="BB43" t="e">
        <f>AND('Lime Silo'!D4,"AAAAAH7+1zU=")</f>
        <v>#VALUE!</v>
      </c>
      <c r="BC43" t="e">
        <f>AND('Lime Silo'!E4,"AAAAAH7+1zY=")</f>
        <v>#VALUE!</v>
      </c>
      <c r="BD43" t="e">
        <f>AND('Lime Silo'!F4,"AAAAAH7+1zc=")</f>
        <v>#VALUE!</v>
      </c>
      <c r="BE43" t="e">
        <f>AND('Lime Silo'!G4,"AAAAAH7+1zg=")</f>
        <v>#VALUE!</v>
      </c>
      <c r="BF43" t="e">
        <f>AND('Lime Silo'!H4,"AAAAAH7+1zk=")</f>
        <v>#VALUE!</v>
      </c>
      <c r="BG43" t="e">
        <f>AND('Lime Silo'!I4,"AAAAAH7+1zo=")</f>
        <v>#VALUE!</v>
      </c>
      <c r="BH43" t="e">
        <f>AND('Lime Silo'!J4,"AAAAAH7+1zs=")</f>
        <v>#VALUE!</v>
      </c>
      <c r="BI43" t="e">
        <f>AND('Lime Silo'!K4,"AAAAAH7+1zw=")</f>
        <v>#VALUE!</v>
      </c>
      <c r="BJ43" t="e">
        <f>AND('Lime Silo'!L4,"AAAAAH7+1z0=")</f>
        <v>#VALUE!</v>
      </c>
      <c r="BK43" t="e">
        <f>AND('Lime Silo'!M4,"AAAAAH7+1z4=")</f>
        <v>#VALUE!</v>
      </c>
      <c r="BL43" t="e">
        <f>AND('Lime Silo'!N4,"AAAAAH7+1z8=")</f>
        <v>#VALUE!</v>
      </c>
      <c r="BM43" t="e">
        <f>AND('Lime Silo'!O4,"AAAAAH7+10A=")</f>
        <v>#VALUE!</v>
      </c>
      <c r="BN43" t="e">
        <f>IF('Lime Silo'!#REF!,"AAAAAH7+10E=",0)</f>
        <v>#REF!</v>
      </c>
      <c r="BO43" t="e">
        <f>AND('Lime Silo'!#REF!,"AAAAAH7+10I=")</f>
        <v>#REF!</v>
      </c>
      <c r="BP43" t="e">
        <f>AND('Lime Silo'!#REF!,"AAAAAH7+10M=")</f>
        <v>#REF!</v>
      </c>
      <c r="BQ43" t="e">
        <f>AND('Lime Silo'!#REF!,"AAAAAH7+10Q=")</f>
        <v>#REF!</v>
      </c>
      <c r="BR43" t="e">
        <f>AND('Lime Silo'!#REF!,"AAAAAH7+10U=")</f>
        <v>#REF!</v>
      </c>
      <c r="BS43" t="e">
        <f>AND('Lime Silo'!#REF!,"AAAAAH7+10Y=")</f>
        <v>#REF!</v>
      </c>
      <c r="BT43" t="e">
        <f>AND('Lime Silo'!#REF!,"AAAAAH7+10c=")</f>
        <v>#REF!</v>
      </c>
      <c r="BU43" t="e">
        <f>AND('Lime Silo'!G5,"AAAAAH7+10g=")</f>
        <v>#VALUE!</v>
      </c>
      <c r="BV43" t="e">
        <f>AND('Lime Silo'!#REF!,"AAAAAH7+10k=")</f>
        <v>#REF!</v>
      </c>
      <c r="BW43" t="e">
        <f>AND('Lime Silo'!#REF!,"AAAAAH7+10o=")</f>
        <v>#REF!</v>
      </c>
      <c r="BX43" t="e">
        <f>AND('Lime Silo'!#REF!,"AAAAAH7+10s=")</f>
        <v>#REF!</v>
      </c>
      <c r="BY43" t="e">
        <f>AND('Lime Silo'!#REF!,"AAAAAH7+10w=")</f>
        <v>#REF!</v>
      </c>
      <c r="BZ43" t="e">
        <f>AND('Lime Silo'!#REF!,"AAAAAH7+100=")</f>
        <v>#REF!</v>
      </c>
      <c r="CA43" t="e">
        <f>AND('Lime Silo'!#REF!,"AAAAAH7+104=")</f>
        <v>#REF!</v>
      </c>
      <c r="CB43" t="e">
        <f>AND('Lime Silo'!#REF!,"AAAAAH7+108=")</f>
        <v>#REF!</v>
      </c>
      <c r="CC43" t="e">
        <f>AND('Lime Silo'!#REF!,"AAAAAH7+11A=")</f>
        <v>#REF!</v>
      </c>
      <c r="CD43" t="e">
        <f>IF('Lime Silo'!#REF!,"AAAAAH7+11E=",0)</f>
        <v>#REF!</v>
      </c>
      <c r="CE43" t="e">
        <f>AND('Lime Silo'!#REF!,"AAAAAH7+11I=")</f>
        <v>#REF!</v>
      </c>
      <c r="CF43" t="e">
        <f>AND('Lime Silo'!#REF!,"AAAAAH7+11M=")</f>
        <v>#REF!</v>
      </c>
      <c r="CG43" t="e">
        <f>AND('Lime Silo'!#REF!,"AAAAAH7+11Q=")</f>
        <v>#REF!</v>
      </c>
      <c r="CH43" t="e">
        <f>AND('Lime Silo'!#REF!,"AAAAAH7+11U=")</f>
        <v>#REF!</v>
      </c>
      <c r="CI43" t="e">
        <f>AND('Lime Silo'!#REF!,"AAAAAH7+11Y=")</f>
        <v>#REF!</v>
      </c>
      <c r="CJ43" t="e">
        <f>AND('Lime Silo'!#REF!,"AAAAAH7+11c=")</f>
        <v>#REF!</v>
      </c>
      <c r="CK43" t="e">
        <f>AND('Lime Silo'!#REF!,"AAAAAH7+11g=")</f>
        <v>#REF!</v>
      </c>
      <c r="CL43" t="e">
        <f>AND('Lime Silo'!#REF!,"AAAAAH7+11k=")</f>
        <v>#REF!</v>
      </c>
      <c r="CM43" t="e">
        <f>AND('Lime Silo'!#REF!,"AAAAAH7+11o=")</f>
        <v>#REF!</v>
      </c>
      <c r="CN43" t="e">
        <f>AND('Lime Silo'!#REF!,"AAAAAH7+11s=")</f>
        <v>#REF!</v>
      </c>
      <c r="CO43" t="e">
        <f>AND('Lime Silo'!#REF!,"AAAAAH7+11w=")</f>
        <v>#REF!</v>
      </c>
      <c r="CP43" t="e">
        <f>AND('Lime Silo'!#REF!,"AAAAAH7+110=")</f>
        <v>#REF!</v>
      </c>
      <c r="CQ43" t="e">
        <f>AND('Lime Silo'!#REF!,"AAAAAH7+114=")</f>
        <v>#REF!</v>
      </c>
      <c r="CR43" t="e">
        <f>AND('Lime Silo'!#REF!,"AAAAAH7+118=")</f>
        <v>#REF!</v>
      </c>
      <c r="CS43" t="e">
        <f>AND('Lime Silo'!#REF!,"AAAAAH7+12A=")</f>
        <v>#REF!</v>
      </c>
      <c r="CT43">
        <f>IF('Lime Silo'!5:5,"AAAAAH7+12E=",0)</f>
        <v>0</v>
      </c>
      <c r="CU43" t="e">
        <f>AND('Lime Silo'!A5,"AAAAAH7+12I=")</f>
        <v>#VALUE!</v>
      </c>
      <c r="CV43" t="e">
        <f>AND('Lime Silo'!B5,"AAAAAH7+12M=")</f>
        <v>#VALUE!</v>
      </c>
      <c r="CW43" t="e">
        <f>AND('Lime Silo'!C5,"AAAAAH7+12Q=")</f>
        <v>#VALUE!</v>
      </c>
      <c r="CX43" t="e">
        <f>AND('Lime Silo'!D5,"AAAAAH7+12U=")</f>
        <v>#VALUE!</v>
      </c>
      <c r="CY43" t="e">
        <f>AND('Lime Silo'!E5,"AAAAAH7+12Y=")</f>
        <v>#VALUE!</v>
      </c>
      <c r="CZ43" t="e">
        <f>AND('Lime Silo'!F5,"AAAAAH7+12c=")</f>
        <v>#VALUE!</v>
      </c>
      <c r="DA43" t="e">
        <f>AND('Lime Silo'!#REF!,"AAAAAH7+12g=")</f>
        <v>#REF!</v>
      </c>
      <c r="DB43" t="e">
        <f>AND('Lime Silo'!H5,"AAAAAH7+12k=")</f>
        <v>#VALUE!</v>
      </c>
      <c r="DC43" t="e">
        <f>AND('Lime Silo'!I5,"AAAAAH7+12o=")</f>
        <v>#VALUE!</v>
      </c>
      <c r="DD43" t="e">
        <f>AND('Lime Silo'!J5,"AAAAAH7+12s=")</f>
        <v>#VALUE!</v>
      </c>
      <c r="DE43" t="e">
        <f>AND('Lime Silo'!K5,"AAAAAH7+12w=")</f>
        <v>#VALUE!</v>
      </c>
      <c r="DF43" t="e">
        <f>AND('Lime Silo'!L5,"AAAAAH7+120=")</f>
        <v>#VALUE!</v>
      </c>
      <c r="DG43" t="e">
        <f>AND('Lime Silo'!M5,"AAAAAH7+124=")</f>
        <v>#VALUE!</v>
      </c>
      <c r="DH43" t="e">
        <f>AND('Lime Silo'!N5,"AAAAAH7+128=")</f>
        <v>#VALUE!</v>
      </c>
      <c r="DI43" t="e">
        <f>AND('Lime Silo'!O5,"AAAAAH7+13A=")</f>
        <v>#VALUE!</v>
      </c>
      <c r="DJ43">
        <f>IF('Lime Silo'!6:6,"AAAAAH7+13E=",0)</f>
        <v>0</v>
      </c>
      <c r="DK43" t="e">
        <f>AND('Lime Silo'!A6,"AAAAAH7+13I=")</f>
        <v>#VALUE!</v>
      </c>
      <c r="DL43" t="e">
        <f>AND('Lime Silo'!B6,"AAAAAH7+13M=")</f>
        <v>#VALUE!</v>
      </c>
      <c r="DM43" t="e">
        <f>AND('Lime Silo'!C6,"AAAAAH7+13Q=")</f>
        <v>#VALUE!</v>
      </c>
      <c r="DN43" t="e">
        <f>AND('Lime Silo'!D6,"AAAAAH7+13U=")</f>
        <v>#VALUE!</v>
      </c>
      <c r="DO43" t="e">
        <f>AND('Lime Silo'!E6,"AAAAAH7+13Y=")</f>
        <v>#VALUE!</v>
      </c>
      <c r="DP43" t="e">
        <f>AND('Lime Silo'!F6,"AAAAAH7+13c=")</f>
        <v>#VALUE!</v>
      </c>
      <c r="DQ43" t="e">
        <f>AND('Lime Silo'!G6,"AAAAAH7+13g=")</f>
        <v>#VALUE!</v>
      </c>
      <c r="DR43" t="e">
        <f>AND('Lime Silo'!H6,"AAAAAH7+13k=")</f>
        <v>#VALUE!</v>
      </c>
      <c r="DS43" t="e">
        <f>AND('Lime Silo'!I6,"AAAAAH7+13o=")</f>
        <v>#VALUE!</v>
      </c>
      <c r="DT43" t="e">
        <f>AND('Lime Silo'!J6,"AAAAAH7+13s=")</f>
        <v>#VALUE!</v>
      </c>
      <c r="DU43" t="e">
        <f>AND('Lime Silo'!K6,"AAAAAH7+13w=")</f>
        <v>#VALUE!</v>
      </c>
      <c r="DV43" t="e">
        <f>AND('Lime Silo'!L6,"AAAAAH7+130=")</f>
        <v>#VALUE!</v>
      </c>
      <c r="DW43" t="e">
        <f>AND('Lime Silo'!M6,"AAAAAH7+134=")</f>
        <v>#VALUE!</v>
      </c>
      <c r="DX43" t="e">
        <f>AND('Lime Silo'!N6,"AAAAAH7+138=")</f>
        <v>#VALUE!</v>
      </c>
      <c r="DY43" t="e">
        <f>AND('Lime Silo'!O6,"AAAAAH7+14A=")</f>
        <v>#VALUE!</v>
      </c>
      <c r="DZ43">
        <f>IF('Lime Silo'!7:7,"AAAAAH7+14E=",0)</f>
        <v>0</v>
      </c>
      <c r="EA43" t="e">
        <f>AND('Lime Silo'!A7,"AAAAAH7+14I=")</f>
        <v>#VALUE!</v>
      </c>
      <c r="EB43" t="e">
        <f>AND('Lime Silo'!B7,"AAAAAH7+14M=")</f>
        <v>#VALUE!</v>
      </c>
      <c r="EC43" t="e">
        <f>AND('Lime Silo'!C7,"AAAAAH7+14Q=")</f>
        <v>#VALUE!</v>
      </c>
      <c r="ED43" t="e">
        <f>AND('Lime Silo'!D7,"AAAAAH7+14U=")</f>
        <v>#VALUE!</v>
      </c>
      <c r="EE43" t="e">
        <f>AND('Lime Silo'!E7,"AAAAAH7+14Y=")</f>
        <v>#VALUE!</v>
      </c>
      <c r="EF43" t="e">
        <f>AND('Lime Silo'!F7,"AAAAAH7+14c=")</f>
        <v>#VALUE!</v>
      </c>
      <c r="EG43" t="e">
        <f>AND('Lime Silo'!G7,"AAAAAH7+14g=")</f>
        <v>#VALUE!</v>
      </c>
      <c r="EH43" t="e">
        <f>AND('Lime Silo'!H7,"AAAAAH7+14k=")</f>
        <v>#VALUE!</v>
      </c>
      <c r="EI43" t="e">
        <f>AND('Lime Silo'!I7,"AAAAAH7+14o=")</f>
        <v>#VALUE!</v>
      </c>
      <c r="EJ43" t="e">
        <f>AND('Lime Silo'!J7,"AAAAAH7+14s=")</f>
        <v>#VALUE!</v>
      </c>
      <c r="EK43" t="e">
        <f>AND('Lime Silo'!K7,"AAAAAH7+14w=")</f>
        <v>#VALUE!</v>
      </c>
      <c r="EL43" t="e">
        <f>AND('Lime Silo'!L7,"AAAAAH7+140=")</f>
        <v>#VALUE!</v>
      </c>
      <c r="EM43" t="e">
        <f>AND('Lime Silo'!M7,"AAAAAH7+144=")</f>
        <v>#VALUE!</v>
      </c>
      <c r="EN43" t="e">
        <f>AND('Lime Silo'!N7,"AAAAAH7+148=")</f>
        <v>#VALUE!</v>
      </c>
      <c r="EO43" t="e">
        <f>AND('Lime Silo'!O7,"AAAAAH7+15A=")</f>
        <v>#VALUE!</v>
      </c>
      <c r="EP43" t="e">
        <f>IF('Lime Silo'!#REF!,"AAAAAH7+15E=",0)</f>
        <v>#REF!</v>
      </c>
      <c r="EQ43" t="e">
        <f>AND('Lime Silo'!#REF!,"AAAAAH7+15I=")</f>
        <v>#REF!</v>
      </c>
      <c r="ER43" t="e">
        <f>AND('Lime Silo'!#REF!,"AAAAAH7+15M=")</f>
        <v>#REF!</v>
      </c>
      <c r="ES43" t="e">
        <f>AND('Lime Silo'!#REF!,"AAAAAH7+15Q=")</f>
        <v>#REF!</v>
      </c>
      <c r="ET43" t="e">
        <f>AND('Lime Silo'!#REF!,"AAAAAH7+15U=")</f>
        <v>#REF!</v>
      </c>
      <c r="EU43" t="e">
        <f>AND('Lime Silo'!#REF!,"AAAAAH7+15Y=")</f>
        <v>#REF!</v>
      </c>
      <c r="EV43" t="e">
        <f>AND('Lime Silo'!#REF!,"AAAAAH7+15c=")</f>
        <v>#REF!</v>
      </c>
      <c r="EW43" t="e">
        <f>AND('Lime Silo'!#REF!,"AAAAAH7+15g=")</f>
        <v>#REF!</v>
      </c>
      <c r="EX43" t="e">
        <f>AND('Lime Silo'!#REF!,"AAAAAH7+15k=")</f>
        <v>#REF!</v>
      </c>
      <c r="EY43" t="e">
        <f>AND('Lime Silo'!#REF!,"AAAAAH7+15o=")</f>
        <v>#REF!</v>
      </c>
      <c r="EZ43" t="e">
        <f>AND('Lime Silo'!#REF!,"AAAAAH7+15s=")</f>
        <v>#REF!</v>
      </c>
      <c r="FA43" t="e">
        <f>AND('Lime Silo'!#REF!,"AAAAAH7+15w=")</f>
        <v>#REF!</v>
      </c>
      <c r="FB43" t="e">
        <f>AND('Lime Silo'!#REF!,"AAAAAH7+150=")</f>
        <v>#REF!</v>
      </c>
      <c r="FC43" t="e">
        <f>AND('Lime Silo'!#REF!,"AAAAAH7+154=")</f>
        <v>#REF!</v>
      </c>
      <c r="FD43" t="e">
        <f>AND('Lime Silo'!#REF!,"AAAAAH7+158=")</f>
        <v>#REF!</v>
      </c>
      <c r="FE43" t="e">
        <f>AND('Lime Silo'!#REF!,"AAAAAH7+16A=")</f>
        <v>#REF!</v>
      </c>
      <c r="FF43" t="e">
        <f>IF('Lime Silo'!#REF!,"AAAAAH7+16E=",0)</f>
        <v>#REF!</v>
      </c>
      <c r="FG43" t="e">
        <f>AND('Lime Silo'!#REF!,"AAAAAH7+16I=")</f>
        <v>#REF!</v>
      </c>
      <c r="FH43" t="e">
        <f>AND('Lime Silo'!#REF!,"AAAAAH7+16M=")</f>
        <v>#REF!</v>
      </c>
      <c r="FI43" t="e">
        <f>AND('Lime Silo'!#REF!,"AAAAAH7+16Q=")</f>
        <v>#REF!</v>
      </c>
      <c r="FJ43" t="e">
        <f>AND('Lime Silo'!#REF!,"AAAAAH7+16U=")</f>
        <v>#REF!</v>
      </c>
      <c r="FK43" t="e">
        <f>AND('Lime Silo'!#REF!,"AAAAAH7+16Y=")</f>
        <v>#REF!</v>
      </c>
      <c r="FL43" t="e">
        <f>AND('Lime Silo'!#REF!,"AAAAAH7+16c=")</f>
        <v>#REF!</v>
      </c>
      <c r="FM43" t="e">
        <f>AND('Lime Silo'!#REF!,"AAAAAH7+16g=")</f>
        <v>#REF!</v>
      </c>
      <c r="FN43" t="e">
        <f>AND('Lime Silo'!#REF!,"AAAAAH7+16k=")</f>
        <v>#REF!</v>
      </c>
      <c r="FO43" t="e">
        <f>AND('Lime Silo'!#REF!,"AAAAAH7+16o=")</f>
        <v>#REF!</v>
      </c>
      <c r="FP43" t="e">
        <f>AND('Lime Silo'!#REF!,"AAAAAH7+16s=")</f>
        <v>#REF!</v>
      </c>
      <c r="FQ43" t="e">
        <f>AND('Lime Silo'!#REF!,"AAAAAH7+16w=")</f>
        <v>#REF!</v>
      </c>
      <c r="FR43" t="e">
        <f>AND('Lime Silo'!#REF!,"AAAAAH7+160=")</f>
        <v>#REF!</v>
      </c>
      <c r="FS43" t="e">
        <f>AND('Lime Silo'!#REF!,"AAAAAH7+164=")</f>
        <v>#REF!</v>
      </c>
      <c r="FT43" t="e">
        <f>AND('Lime Silo'!#REF!,"AAAAAH7+168=")</f>
        <v>#REF!</v>
      </c>
      <c r="FU43" t="e">
        <f>AND('Lime Silo'!#REF!,"AAAAAH7+17A=")</f>
        <v>#REF!</v>
      </c>
      <c r="FV43" t="e">
        <f>IF('Lime Silo'!#REF!,"AAAAAH7+17E=",0)</f>
        <v>#REF!</v>
      </c>
      <c r="FW43" t="e">
        <f>AND('Lime Silo'!#REF!,"AAAAAH7+17I=")</f>
        <v>#REF!</v>
      </c>
      <c r="FX43" t="e">
        <f>AND('Lime Silo'!#REF!,"AAAAAH7+17M=")</f>
        <v>#REF!</v>
      </c>
      <c r="FY43" t="e">
        <f>AND('Lime Silo'!#REF!,"AAAAAH7+17Q=")</f>
        <v>#REF!</v>
      </c>
      <c r="FZ43" t="e">
        <f>AND('Lime Silo'!#REF!,"AAAAAH7+17U=")</f>
        <v>#REF!</v>
      </c>
      <c r="GA43" t="e">
        <f>AND('Lime Silo'!#REF!,"AAAAAH7+17Y=")</f>
        <v>#REF!</v>
      </c>
      <c r="GB43" t="e">
        <f>AND('Lime Silo'!#REF!,"AAAAAH7+17c=")</f>
        <v>#REF!</v>
      </c>
      <c r="GC43" t="e">
        <f>AND('Lime Silo'!#REF!,"AAAAAH7+17g=")</f>
        <v>#REF!</v>
      </c>
      <c r="GD43" t="e">
        <f>AND('Lime Silo'!#REF!,"AAAAAH7+17k=")</f>
        <v>#REF!</v>
      </c>
      <c r="GE43" t="e">
        <f>AND('Lime Silo'!#REF!,"AAAAAH7+17o=")</f>
        <v>#REF!</v>
      </c>
      <c r="GF43" t="e">
        <f>AND('Lime Silo'!#REF!,"AAAAAH7+17s=")</f>
        <v>#REF!</v>
      </c>
      <c r="GG43" t="e">
        <f>AND('Lime Silo'!#REF!,"AAAAAH7+17w=")</f>
        <v>#REF!</v>
      </c>
      <c r="GH43" t="e">
        <f>AND('Lime Silo'!#REF!,"AAAAAH7+170=")</f>
        <v>#REF!</v>
      </c>
      <c r="GI43" t="e">
        <f>AND('Lime Silo'!#REF!,"AAAAAH7+174=")</f>
        <v>#REF!</v>
      </c>
      <c r="GJ43" t="e">
        <f>AND('Lime Silo'!#REF!,"AAAAAH7+178=")</f>
        <v>#REF!</v>
      </c>
      <c r="GK43" t="e">
        <f>AND('Lime Silo'!#REF!,"AAAAAH7+18A=")</f>
        <v>#REF!</v>
      </c>
      <c r="GL43" t="e">
        <f>IF('Lime Silo'!#REF!,"AAAAAH7+18E=",0)</f>
        <v>#REF!</v>
      </c>
      <c r="GM43" t="e">
        <f>AND('Lime Silo'!#REF!,"AAAAAH7+18I=")</f>
        <v>#REF!</v>
      </c>
      <c r="GN43" t="e">
        <f>AND('Lime Silo'!#REF!,"AAAAAH7+18M=")</f>
        <v>#REF!</v>
      </c>
      <c r="GO43" t="e">
        <f>AND('Lime Silo'!#REF!,"AAAAAH7+18Q=")</f>
        <v>#REF!</v>
      </c>
      <c r="GP43" t="e">
        <f>AND('Lime Silo'!#REF!,"AAAAAH7+18U=")</f>
        <v>#REF!</v>
      </c>
      <c r="GQ43" t="e">
        <f>AND('Lime Silo'!#REF!,"AAAAAH7+18Y=")</f>
        <v>#REF!</v>
      </c>
      <c r="GR43" t="e">
        <f>AND('Lime Silo'!#REF!,"AAAAAH7+18c=")</f>
        <v>#REF!</v>
      </c>
      <c r="GS43" t="e">
        <f>AND('Lime Silo'!#REF!,"AAAAAH7+18g=")</f>
        <v>#REF!</v>
      </c>
      <c r="GT43" t="e">
        <f>AND('Lime Silo'!#REF!,"AAAAAH7+18k=")</f>
        <v>#REF!</v>
      </c>
      <c r="GU43" t="e">
        <f>AND('Lime Silo'!#REF!,"AAAAAH7+18o=")</f>
        <v>#REF!</v>
      </c>
      <c r="GV43" t="e">
        <f>AND('Lime Silo'!#REF!,"AAAAAH7+18s=")</f>
        <v>#REF!</v>
      </c>
      <c r="GW43" t="e">
        <f>AND('Lime Silo'!#REF!,"AAAAAH7+18w=")</f>
        <v>#REF!</v>
      </c>
      <c r="GX43" t="e">
        <f>AND('Lime Silo'!#REF!,"AAAAAH7+180=")</f>
        <v>#REF!</v>
      </c>
      <c r="GY43" t="e">
        <f>AND('Lime Silo'!#REF!,"AAAAAH7+184=")</f>
        <v>#REF!</v>
      </c>
      <c r="GZ43" t="e">
        <f>AND('Lime Silo'!#REF!,"AAAAAH7+188=")</f>
        <v>#REF!</v>
      </c>
      <c r="HA43" t="e">
        <f>AND('Lime Silo'!#REF!,"AAAAAH7+19A=")</f>
        <v>#REF!</v>
      </c>
      <c r="HB43" t="e">
        <f>IF('Lime Silo'!#REF!,"AAAAAH7+19E=",0)</f>
        <v>#REF!</v>
      </c>
      <c r="HC43" t="e">
        <f>AND('Lime Silo'!#REF!,"AAAAAH7+19I=")</f>
        <v>#REF!</v>
      </c>
      <c r="HD43" t="e">
        <f>AND('Lime Silo'!#REF!,"AAAAAH7+19M=")</f>
        <v>#REF!</v>
      </c>
      <c r="HE43" t="e">
        <f>AND('Lime Silo'!#REF!,"AAAAAH7+19Q=")</f>
        <v>#REF!</v>
      </c>
      <c r="HF43" t="e">
        <f>AND('Lime Silo'!#REF!,"AAAAAH7+19U=")</f>
        <v>#REF!</v>
      </c>
      <c r="HG43" t="e">
        <f>AND('Lime Silo'!#REF!,"AAAAAH7+19Y=")</f>
        <v>#REF!</v>
      </c>
      <c r="HH43" t="e">
        <f>AND('Lime Silo'!#REF!,"AAAAAH7+19c=")</f>
        <v>#REF!</v>
      </c>
      <c r="HI43" t="e">
        <f>AND('Lime Silo'!#REF!,"AAAAAH7+19g=")</f>
        <v>#REF!</v>
      </c>
      <c r="HJ43" t="e">
        <f>AND('Lime Silo'!#REF!,"AAAAAH7+19k=")</f>
        <v>#REF!</v>
      </c>
      <c r="HK43" t="e">
        <f>AND('Lime Silo'!#REF!,"AAAAAH7+19o=")</f>
        <v>#REF!</v>
      </c>
      <c r="HL43" t="e">
        <f>AND('Lime Silo'!#REF!,"AAAAAH7+19s=")</f>
        <v>#REF!</v>
      </c>
      <c r="HM43" t="e">
        <f>AND('Lime Silo'!#REF!,"AAAAAH7+19w=")</f>
        <v>#REF!</v>
      </c>
      <c r="HN43" t="e">
        <f>AND('Lime Silo'!#REF!,"AAAAAH7+190=")</f>
        <v>#REF!</v>
      </c>
      <c r="HO43" t="e">
        <f>AND('Lime Silo'!#REF!,"AAAAAH7+194=")</f>
        <v>#REF!</v>
      </c>
      <c r="HP43" t="e">
        <f>AND('Lime Silo'!#REF!,"AAAAAH7+198=")</f>
        <v>#REF!</v>
      </c>
      <c r="HQ43" t="e">
        <f>AND('Lime Silo'!#REF!,"AAAAAH7+1+A=")</f>
        <v>#REF!</v>
      </c>
      <c r="HR43" t="e">
        <f>IF('Lime Silo'!#REF!,"AAAAAH7+1+E=",0)</f>
        <v>#REF!</v>
      </c>
      <c r="HS43" t="e">
        <f>AND('Lime Silo'!#REF!,"AAAAAH7+1+I=")</f>
        <v>#REF!</v>
      </c>
      <c r="HT43" t="e">
        <f>AND('Lime Silo'!#REF!,"AAAAAH7+1+M=")</f>
        <v>#REF!</v>
      </c>
      <c r="HU43" t="e">
        <f>AND('Lime Silo'!#REF!,"AAAAAH7+1+Q=")</f>
        <v>#REF!</v>
      </c>
      <c r="HV43" t="e">
        <f>AND('Lime Silo'!#REF!,"AAAAAH7+1+U=")</f>
        <v>#REF!</v>
      </c>
      <c r="HW43" t="e">
        <f>AND('Lime Silo'!#REF!,"AAAAAH7+1+Y=")</f>
        <v>#REF!</v>
      </c>
      <c r="HX43" t="e">
        <f>AND('Lime Silo'!#REF!,"AAAAAH7+1+c=")</f>
        <v>#REF!</v>
      </c>
      <c r="HY43" t="e">
        <f>AND('Lime Silo'!#REF!,"AAAAAH7+1+g=")</f>
        <v>#REF!</v>
      </c>
      <c r="HZ43" t="e">
        <f>AND('Lime Silo'!#REF!,"AAAAAH7+1+k=")</f>
        <v>#REF!</v>
      </c>
      <c r="IA43" t="e">
        <f>AND('Lime Silo'!#REF!,"AAAAAH7+1+o=")</f>
        <v>#REF!</v>
      </c>
      <c r="IB43" t="e">
        <f>AND('Lime Silo'!#REF!,"AAAAAH7+1+s=")</f>
        <v>#REF!</v>
      </c>
      <c r="IC43" t="e">
        <f>AND('Lime Silo'!#REF!,"AAAAAH7+1+w=")</f>
        <v>#REF!</v>
      </c>
      <c r="ID43" t="e">
        <f>AND('Lime Silo'!#REF!,"AAAAAH7+1+0=")</f>
        <v>#REF!</v>
      </c>
      <c r="IE43" t="e">
        <f>AND('Lime Silo'!#REF!,"AAAAAH7+1+4=")</f>
        <v>#REF!</v>
      </c>
      <c r="IF43" t="e">
        <f>AND('Lime Silo'!#REF!,"AAAAAH7+1+8=")</f>
        <v>#REF!</v>
      </c>
      <c r="IG43" t="e">
        <f>AND('Lime Silo'!#REF!,"AAAAAH7+1/A=")</f>
        <v>#REF!</v>
      </c>
      <c r="IH43" t="e">
        <f>IF('Lime Silo'!#REF!,"AAAAAH7+1/E=",0)</f>
        <v>#REF!</v>
      </c>
      <c r="II43" t="e">
        <f>AND('Lime Silo'!#REF!,"AAAAAH7+1/I=")</f>
        <v>#REF!</v>
      </c>
      <c r="IJ43" t="e">
        <f>AND('Lime Silo'!#REF!,"AAAAAH7+1/M=")</f>
        <v>#REF!</v>
      </c>
      <c r="IK43" t="e">
        <f>AND('Lime Silo'!#REF!,"AAAAAH7+1/Q=")</f>
        <v>#REF!</v>
      </c>
      <c r="IL43" t="e">
        <f>AND('Lime Silo'!#REF!,"AAAAAH7+1/U=")</f>
        <v>#REF!</v>
      </c>
      <c r="IM43" t="e">
        <f>AND('Lime Silo'!#REF!,"AAAAAH7+1/Y=")</f>
        <v>#REF!</v>
      </c>
      <c r="IN43" t="e">
        <f>AND('Lime Silo'!#REF!,"AAAAAH7+1/c=")</f>
        <v>#REF!</v>
      </c>
      <c r="IO43" t="e">
        <f>AND('Lime Silo'!#REF!,"AAAAAH7+1/g=")</f>
        <v>#REF!</v>
      </c>
      <c r="IP43" t="e">
        <f>AND('Lime Silo'!#REF!,"AAAAAH7+1/k=")</f>
        <v>#REF!</v>
      </c>
      <c r="IQ43" t="e">
        <f>AND('Lime Silo'!#REF!,"AAAAAH7+1/o=")</f>
        <v>#REF!</v>
      </c>
      <c r="IR43" t="e">
        <f>AND('Lime Silo'!#REF!,"AAAAAH7+1/s=")</f>
        <v>#REF!</v>
      </c>
      <c r="IS43" t="e">
        <f>AND('Lime Silo'!#REF!,"AAAAAH7+1/w=")</f>
        <v>#REF!</v>
      </c>
      <c r="IT43" t="e">
        <f>AND('Lime Silo'!#REF!,"AAAAAH7+1/0=")</f>
        <v>#REF!</v>
      </c>
      <c r="IU43" t="e">
        <f>AND('Lime Silo'!#REF!,"AAAAAH7+1/4=")</f>
        <v>#REF!</v>
      </c>
      <c r="IV43" t="e">
        <f>AND('Lime Silo'!#REF!,"AAAAAH7+1/8=")</f>
        <v>#REF!</v>
      </c>
    </row>
    <row r="44" spans="1:256">
      <c r="A44" t="e">
        <f>AND('Lime Silo'!#REF!,"AAAAAA/d9gA=")</f>
        <v>#REF!</v>
      </c>
      <c r="B44">
        <f>IF('Lime Silo'!8:8,"AAAAAA/d9gE=",0)</f>
        <v>0</v>
      </c>
      <c r="C44" t="e">
        <f>AND('Lime Silo'!A8,"AAAAAA/d9gI=")</f>
        <v>#VALUE!</v>
      </c>
      <c r="D44" t="e">
        <f>AND('Lime Silo'!B8,"AAAAAA/d9gM=")</f>
        <v>#VALUE!</v>
      </c>
      <c r="E44" t="e">
        <f>AND('Lime Silo'!C8,"AAAAAA/d9gQ=")</f>
        <v>#VALUE!</v>
      </c>
      <c r="F44" t="e">
        <f>AND('Lime Silo'!D8,"AAAAAA/d9gU=")</f>
        <v>#VALUE!</v>
      </c>
      <c r="G44" t="e">
        <f>AND('Lime Silo'!E8,"AAAAAA/d9gY=")</f>
        <v>#VALUE!</v>
      </c>
      <c r="H44" t="e">
        <f>AND('Lime Silo'!F8,"AAAAAA/d9gc=")</f>
        <v>#VALUE!</v>
      </c>
      <c r="I44" t="e">
        <f>AND('Lime Silo'!G8,"AAAAAA/d9gg=")</f>
        <v>#VALUE!</v>
      </c>
      <c r="J44" t="e">
        <f>AND('Lime Silo'!H8,"AAAAAA/d9gk=")</f>
        <v>#VALUE!</v>
      </c>
      <c r="K44" t="e">
        <f>AND('Lime Silo'!I8,"AAAAAA/d9go=")</f>
        <v>#VALUE!</v>
      </c>
      <c r="L44" t="e">
        <f>AND('Lime Silo'!J8,"AAAAAA/d9gs=")</f>
        <v>#VALUE!</v>
      </c>
      <c r="M44" t="e">
        <f>AND('Lime Silo'!K8,"AAAAAA/d9gw=")</f>
        <v>#VALUE!</v>
      </c>
      <c r="N44" t="e">
        <f>AND('Lime Silo'!L8,"AAAAAA/d9g0=")</f>
        <v>#VALUE!</v>
      </c>
      <c r="O44" t="e">
        <f>AND('Lime Silo'!M8,"AAAAAA/d9g4=")</f>
        <v>#VALUE!</v>
      </c>
      <c r="P44" t="e">
        <f>AND('Lime Silo'!N8,"AAAAAA/d9g8=")</f>
        <v>#VALUE!</v>
      </c>
      <c r="Q44" t="e">
        <f>AND('Lime Silo'!O8,"AAAAAA/d9hA=")</f>
        <v>#VALUE!</v>
      </c>
      <c r="R44">
        <f>IF('Lime Silo'!9:9,"AAAAAA/d9hE=",0)</f>
        <v>0</v>
      </c>
      <c r="S44" t="e">
        <f>AND('Lime Silo'!A9,"AAAAAA/d9hI=")</f>
        <v>#VALUE!</v>
      </c>
      <c r="T44" t="e">
        <f>AND('Lime Silo'!#REF!,"AAAAAA/d9hM=")</f>
        <v>#REF!</v>
      </c>
      <c r="U44" t="e">
        <f>AND('Lime Silo'!#REF!,"AAAAAA/d9hQ=")</f>
        <v>#REF!</v>
      </c>
      <c r="V44" t="e">
        <f>AND('Lime Silo'!#REF!,"AAAAAA/d9hU=")</f>
        <v>#REF!</v>
      </c>
      <c r="W44" t="e">
        <f>AND('Lime Silo'!#REF!,"AAAAAA/d9hY=")</f>
        <v>#REF!</v>
      </c>
      <c r="X44" t="e">
        <f>AND('Lime Silo'!B9,"AAAAAA/d9hc=")</f>
        <v>#VALUE!</v>
      </c>
      <c r="Y44" t="e">
        <f>AND('Lime Silo'!C9,"AAAAAA/d9hg=")</f>
        <v>#VALUE!</v>
      </c>
      <c r="Z44" t="e">
        <f>AND('Lime Silo'!D9,"AAAAAA/d9hk=")</f>
        <v>#VALUE!</v>
      </c>
      <c r="AA44" t="e">
        <f>AND('Lime Silo'!E9,"AAAAAA/d9ho=")</f>
        <v>#VALUE!</v>
      </c>
      <c r="AB44" t="e">
        <f>AND('Lime Silo'!F9,"AAAAAA/d9hs=")</f>
        <v>#VALUE!</v>
      </c>
      <c r="AC44" t="e">
        <f>AND('Lime Silo'!G9,"AAAAAA/d9hw=")</f>
        <v>#VALUE!</v>
      </c>
      <c r="AD44" t="e">
        <f>AND('Lime Silo'!H9,"AAAAAA/d9h0=")</f>
        <v>#VALUE!</v>
      </c>
      <c r="AE44" t="e">
        <f>AND('Lime Silo'!I9,"AAAAAA/d9h4=")</f>
        <v>#VALUE!</v>
      </c>
      <c r="AF44" t="e">
        <f>AND('Lime Silo'!J9,"AAAAAA/d9h8=")</f>
        <v>#VALUE!</v>
      </c>
      <c r="AG44" t="e">
        <f>AND('Lime Silo'!K9,"AAAAAA/d9iA=")</f>
        <v>#VALUE!</v>
      </c>
      <c r="AH44">
        <f>IF('Lime Silo'!10:10,"AAAAAA/d9iE=",0)</f>
        <v>0</v>
      </c>
      <c r="AI44" t="e">
        <f>AND('Lime Silo'!A10,"AAAAAA/d9iI=")</f>
        <v>#VALUE!</v>
      </c>
      <c r="AJ44" t="e">
        <f>AND('Lime Silo'!#REF!,"AAAAAA/d9iM=")</f>
        <v>#REF!</v>
      </c>
      <c r="AK44" t="e">
        <f>AND('Lime Silo'!#REF!,"AAAAAA/d9iQ=")</f>
        <v>#REF!</v>
      </c>
      <c r="AL44" t="e">
        <f>AND('Lime Silo'!#REF!,"AAAAAA/d9iU=")</f>
        <v>#REF!</v>
      </c>
      <c r="AM44" t="e">
        <f>AND('Lime Silo'!#REF!,"AAAAAA/d9iY=")</f>
        <v>#REF!</v>
      </c>
      <c r="AN44" t="e">
        <f>AND('Lime Silo'!B10,"AAAAAA/d9ic=")</f>
        <v>#VALUE!</v>
      </c>
      <c r="AO44" t="e">
        <f>AND('Lime Silo'!C10,"AAAAAA/d9ig=")</f>
        <v>#VALUE!</v>
      </c>
      <c r="AP44" t="e">
        <f>AND('Lime Silo'!D10,"AAAAAA/d9ik=")</f>
        <v>#VALUE!</v>
      </c>
      <c r="AQ44" t="e">
        <f>AND('Lime Silo'!E10,"AAAAAA/d9io=")</f>
        <v>#VALUE!</v>
      </c>
      <c r="AR44" t="e">
        <f>AND('Lime Silo'!F10,"AAAAAA/d9is=")</f>
        <v>#VALUE!</v>
      </c>
      <c r="AS44" t="e">
        <f>AND('Lime Silo'!G10,"AAAAAA/d9iw=")</f>
        <v>#VALUE!</v>
      </c>
      <c r="AT44" t="e">
        <f>AND('Lime Silo'!H10,"AAAAAA/d9i0=")</f>
        <v>#VALUE!</v>
      </c>
      <c r="AU44" t="e">
        <f>AND('Lime Silo'!I10,"AAAAAA/d9i4=")</f>
        <v>#VALUE!</v>
      </c>
      <c r="AV44" t="e">
        <f>AND('Lime Silo'!J10,"AAAAAA/d9i8=")</f>
        <v>#VALUE!</v>
      </c>
      <c r="AW44" t="e">
        <f>AND('Lime Silo'!K10,"AAAAAA/d9jA=")</f>
        <v>#VALUE!</v>
      </c>
      <c r="AX44">
        <f>IF('Lime Silo'!11:11,"AAAAAA/d9jE=",0)</f>
        <v>0</v>
      </c>
      <c r="AY44" t="e">
        <f>AND('Lime Silo'!A11,"AAAAAA/d9jI=")</f>
        <v>#VALUE!</v>
      </c>
      <c r="AZ44" t="e">
        <f>AND('Lime Silo'!#REF!,"AAAAAA/d9jM=")</f>
        <v>#REF!</v>
      </c>
      <c r="BA44" t="e">
        <f>AND('Lime Silo'!#REF!,"AAAAAA/d9jQ=")</f>
        <v>#REF!</v>
      </c>
      <c r="BB44" t="e">
        <f>AND('Lime Silo'!#REF!,"AAAAAA/d9jU=")</f>
        <v>#REF!</v>
      </c>
      <c r="BC44" t="e">
        <f>AND('Lime Silo'!#REF!,"AAAAAA/d9jY=")</f>
        <v>#REF!</v>
      </c>
      <c r="BD44" t="e">
        <f>AND('Lime Silo'!B11,"AAAAAA/d9jc=")</f>
        <v>#VALUE!</v>
      </c>
      <c r="BE44" t="e">
        <f>AND('Lime Silo'!C11,"AAAAAA/d9jg=")</f>
        <v>#VALUE!</v>
      </c>
      <c r="BF44" t="e">
        <f>AND('Lime Silo'!D11,"AAAAAA/d9jk=")</f>
        <v>#VALUE!</v>
      </c>
      <c r="BG44" t="e">
        <f>AND('Lime Silo'!E11,"AAAAAA/d9jo=")</f>
        <v>#VALUE!</v>
      </c>
      <c r="BH44" t="e">
        <f>AND('Lime Silo'!F11,"AAAAAA/d9js=")</f>
        <v>#VALUE!</v>
      </c>
      <c r="BI44" t="e">
        <f>AND('Lime Silo'!G11,"AAAAAA/d9jw=")</f>
        <v>#VALUE!</v>
      </c>
      <c r="BJ44" t="e">
        <f>AND('Lime Silo'!H11,"AAAAAA/d9j0=")</f>
        <v>#VALUE!</v>
      </c>
      <c r="BK44" t="e">
        <f>AND('Lime Silo'!I11,"AAAAAA/d9j4=")</f>
        <v>#VALUE!</v>
      </c>
      <c r="BL44" t="e">
        <f>AND('Lime Silo'!J11,"AAAAAA/d9j8=")</f>
        <v>#VALUE!</v>
      </c>
      <c r="BM44" t="e">
        <f>AND('Lime Silo'!K11,"AAAAAA/d9kA=")</f>
        <v>#VALUE!</v>
      </c>
      <c r="BN44">
        <f>IF('Lime Silo'!12:12,"AAAAAA/d9kE=",0)</f>
        <v>0</v>
      </c>
      <c r="BO44" t="e">
        <f>AND('Lime Silo'!A12,"AAAAAA/d9kI=")</f>
        <v>#VALUE!</v>
      </c>
      <c r="BP44" t="e">
        <f>AND('Lime Silo'!#REF!,"AAAAAA/d9kM=")</f>
        <v>#REF!</v>
      </c>
      <c r="BQ44" t="e">
        <f>AND('Lime Silo'!#REF!,"AAAAAA/d9kQ=")</f>
        <v>#REF!</v>
      </c>
      <c r="BR44" t="e">
        <f>AND('Lime Silo'!#REF!,"AAAAAA/d9kU=")</f>
        <v>#REF!</v>
      </c>
      <c r="BS44" t="e">
        <f>AND('Lime Silo'!#REF!,"AAAAAA/d9kY=")</f>
        <v>#REF!</v>
      </c>
      <c r="BT44" t="e">
        <f>AND('Lime Silo'!B12,"AAAAAA/d9kc=")</f>
        <v>#VALUE!</v>
      </c>
      <c r="BU44" t="e">
        <f>AND('Lime Silo'!C12,"AAAAAA/d9kg=")</f>
        <v>#VALUE!</v>
      </c>
      <c r="BV44" t="e">
        <f>AND('Lime Silo'!D12,"AAAAAA/d9kk=")</f>
        <v>#VALUE!</v>
      </c>
      <c r="BW44" t="e">
        <f>AND('Lime Silo'!E12,"AAAAAA/d9ko=")</f>
        <v>#VALUE!</v>
      </c>
      <c r="BX44" t="e">
        <f>AND('Lime Silo'!F12,"AAAAAA/d9ks=")</f>
        <v>#VALUE!</v>
      </c>
      <c r="BY44" t="e">
        <f>AND('Lime Silo'!G12,"AAAAAA/d9kw=")</f>
        <v>#VALUE!</v>
      </c>
      <c r="BZ44" t="e">
        <f>AND('Lime Silo'!H12,"AAAAAA/d9k0=")</f>
        <v>#VALUE!</v>
      </c>
      <c r="CA44" t="e">
        <f>AND('Lime Silo'!I12,"AAAAAA/d9k4=")</f>
        <v>#VALUE!</v>
      </c>
      <c r="CB44" t="e">
        <f>AND('Lime Silo'!J12,"AAAAAA/d9k8=")</f>
        <v>#VALUE!</v>
      </c>
      <c r="CC44" t="e">
        <f>AND('Lime Silo'!K12,"AAAAAA/d9lA=")</f>
        <v>#VALUE!</v>
      </c>
      <c r="CD44">
        <f>IF('Lime Silo'!13:13,"AAAAAA/d9lE=",0)</f>
        <v>0</v>
      </c>
      <c r="CE44">
        <f>IF('Lime Silo'!A:A,"AAAAAA/d9lI=",0)</f>
        <v>0</v>
      </c>
      <c r="CF44">
        <f>IF('Lime Silo'!B:B,"AAAAAA/d9lM=",0)</f>
        <v>0</v>
      </c>
      <c r="CG44">
        <f>IF('Lime Silo'!C:C,"AAAAAA/d9lQ=",0)</f>
        <v>0</v>
      </c>
      <c r="CH44">
        <f>IF('Lime Silo'!D:D,"AAAAAA/d9lU=",0)</f>
        <v>0</v>
      </c>
      <c r="CI44">
        <f>IF('Lime Silo'!E:E,"AAAAAA/d9lY=",0)</f>
        <v>0</v>
      </c>
      <c r="CJ44">
        <f>IF('Lime Silo'!F:F,"AAAAAA/d9lc=",0)</f>
        <v>0</v>
      </c>
      <c r="CK44">
        <f>IF('Lime Silo'!G:G,"AAAAAA/d9lg=",0)</f>
        <v>0</v>
      </c>
      <c r="CL44">
        <f>IF('Lime Silo'!H:H,"AAAAAA/d9lk=",0)</f>
        <v>0</v>
      </c>
      <c r="CM44">
        <f>IF('Lime Silo'!I:I,"AAAAAA/d9lo=",0)</f>
        <v>0</v>
      </c>
      <c r="CN44">
        <f>IF('Lime Silo'!J:J,"AAAAAA/d9ls=",0)</f>
        <v>0</v>
      </c>
      <c r="CO44">
        <f>IF('Lime Silo'!K:K,"AAAAAA/d9lw=",0)</f>
        <v>0</v>
      </c>
      <c r="CP44">
        <f>IF('Lime Silo'!L:L,"AAAAAA/d9l0=",0)</f>
        <v>0</v>
      </c>
      <c r="CQ44">
        <f>IF('Lime Silo'!M:M,"AAAAAA/d9l4=",0)</f>
        <v>0</v>
      </c>
      <c r="CR44">
        <f>IF('Lime Silo'!N:N,"AAAAAA/d9l8=",0)</f>
        <v>0</v>
      </c>
      <c r="CS44">
        <f>IF('Lime Silo'!O:O,"AAAAAA/d9mA=",0)</f>
        <v>0</v>
      </c>
      <c r="CT44">
        <f>IF('Drum - Prod.Crit'!1:1,"AAAAAA/d9mE=",0)</f>
        <v>0</v>
      </c>
      <c r="CU44" t="e">
        <f>AND('Drum - Prod.Crit'!A1,"AAAAAA/d9mI=")</f>
        <v>#VALUE!</v>
      </c>
      <c r="CV44" t="e">
        <f>AND('Drum - Prod.Crit'!B1,"AAAAAA/d9mM=")</f>
        <v>#VALUE!</v>
      </c>
      <c r="CW44" t="e">
        <f>AND('Drum - Prod.Crit'!C1,"AAAAAA/d9mQ=")</f>
        <v>#VALUE!</v>
      </c>
      <c r="CX44" t="e">
        <f>AND('Drum - Prod.Crit'!D1,"AAAAAA/d9mU=")</f>
        <v>#VALUE!</v>
      </c>
      <c r="CY44" t="e">
        <f>AND('Drum - Prod.Crit'!E1,"AAAAAA/d9mY=")</f>
        <v>#VALUE!</v>
      </c>
      <c r="CZ44" t="e">
        <f>AND('Drum - Prod.Crit'!F1,"AAAAAA/d9mc=")</f>
        <v>#VALUE!</v>
      </c>
      <c r="DA44" t="e">
        <f>AND('Drum - Prod.Crit'!G1,"AAAAAA/d9mg=")</f>
        <v>#VALUE!</v>
      </c>
      <c r="DB44" t="e">
        <f>AND('Drum - Prod.Crit'!H1,"AAAAAA/d9mk=")</f>
        <v>#VALUE!</v>
      </c>
      <c r="DC44" t="e">
        <f>AND('Drum - Prod.Crit'!I1,"AAAAAA/d9mo=")</f>
        <v>#VALUE!</v>
      </c>
      <c r="DD44" t="e">
        <f>AND('Drum - Prod.Crit'!J1,"AAAAAA/d9ms=")</f>
        <v>#VALUE!</v>
      </c>
      <c r="DE44" t="e">
        <f>AND('Drum - Prod.Crit'!K1,"AAAAAA/d9mw=")</f>
        <v>#VALUE!</v>
      </c>
      <c r="DF44" t="e">
        <f>AND('Drum - Prod.Crit'!L1,"AAAAAA/d9m0=")</f>
        <v>#VALUE!</v>
      </c>
      <c r="DG44" t="e">
        <f>AND('Drum - Prod.Crit'!M1,"AAAAAA/d9m4=")</f>
        <v>#VALUE!</v>
      </c>
      <c r="DH44" t="e">
        <f>AND('Drum - Prod.Crit'!N1,"AAAAAA/d9m8=")</f>
        <v>#VALUE!</v>
      </c>
      <c r="DI44" t="e">
        <f>AND('Drum - Prod.Crit'!O1,"AAAAAA/d9nA=")</f>
        <v>#VALUE!</v>
      </c>
      <c r="DJ44" t="e">
        <f>AND('Drum - Prod.Crit'!P1,"AAAAAA/d9nE=")</f>
        <v>#VALUE!</v>
      </c>
      <c r="DK44" t="e">
        <f>AND('Drum - Prod.Crit'!Q1,"AAAAAA/d9nI=")</f>
        <v>#VALUE!</v>
      </c>
      <c r="DL44" t="e">
        <f>AND('Drum - Prod.Crit'!R1,"AAAAAA/d9nM=")</f>
        <v>#VALUE!</v>
      </c>
      <c r="DM44" t="e">
        <f>AND('Drum - Prod.Crit'!S1,"AAAAAA/d9nQ=")</f>
        <v>#VALUE!</v>
      </c>
      <c r="DN44" t="e">
        <f>AND('Drum - Prod.Crit'!T1,"AAAAAA/d9nU=")</f>
        <v>#VALUE!</v>
      </c>
      <c r="DO44" t="e">
        <f>AND('Drum - Prod.Crit'!U1,"AAAAAA/d9nY=")</f>
        <v>#VALUE!</v>
      </c>
      <c r="DP44" t="e">
        <f>AND('Drum - Prod.Crit'!V1,"AAAAAA/d9nc=")</f>
        <v>#VALUE!</v>
      </c>
      <c r="DQ44" t="e">
        <f>AND('Drum - Prod.Crit'!W1,"AAAAAA/d9ng=")</f>
        <v>#VALUE!</v>
      </c>
      <c r="DR44" t="e">
        <f>AND('Drum - Prod.Crit'!X1,"AAAAAA/d9nk=")</f>
        <v>#VALUE!</v>
      </c>
      <c r="DS44" t="e">
        <f>AND('Drum - Prod.Crit'!Y1,"AAAAAA/d9no=")</f>
        <v>#VALUE!</v>
      </c>
      <c r="DT44">
        <f>IF('Drum - Prod.Crit'!2:2,"AAAAAA/d9ns=",0)</f>
        <v>0</v>
      </c>
      <c r="DU44" t="e">
        <f>AND('Drum - Prod.Crit'!A2,"AAAAAA/d9nw=")</f>
        <v>#VALUE!</v>
      </c>
      <c r="DV44" t="e">
        <f>AND('Drum - Prod.Crit'!B2,"AAAAAA/d9n0=")</f>
        <v>#VALUE!</v>
      </c>
      <c r="DW44" t="e">
        <f>AND('Drum - Prod.Crit'!C2,"AAAAAA/d9n4=")</f>
        <v>#VALUE!</v>
      </c>
      <c r="DX44" t="e">
        <f>AND('Drum - Prod.Crit'!D2,"AAAAAA/d9n8=")</f>
        <v>#VALUE!</v>
      </c>
      <c r="DY44" t="e">
        <f>AND('Drum - Prod.Crit'!E2,"AAAAAA/d9oA=")</f>
        <v>#VALUE!</v>
      </c>
      <c r="DZ44" t="e">
        <f>AND('Drum - Prod.Crit'!F2,"AAAAAA/d9oE=")</f>
        <v>#VALUE!</v>
      </c>
      <c r="EA44" t="e">
        <f>AND('Drum - Prod.Crit'!G2,"AAAAAA/d9oI=")</f>
        <v>#VALUE!</v>
      </c>
      <c r="EB44" t="e">
        <f>AND('Drum - Prod.Crit'!H2,"AAAAAA/d9oM=")</f>
        <v>#VALUE!</v>
      </c>
      <c r="EC44" t="e">
        <f>AND('Drum - Prod.Crit'!I2,"AAAAAA/d9oQ=")</f>
        <v>#VALUE!</v>
      </c>
      <c r="ED44" t="e">
        <f>AND('Drum - Prod.Crit'!J2,"AAAAAA/d9oU=")</f>
        <v>#VALUE!</v>
      </c>
      <c r="EE44" t="e">
        <f>AND('Drum - Prod.Crit'!K2,"AAAAAA/d9oY=")</f>
        <v>#VALUE!</v>
      </c>
      <c r="EF44" t="e">
        <f>AND('Drum - Prod.Crit'!L2,"AAAAAA/d9oc=")</f>
        <v>#VALUE!</v>
      </c>
      <c r="EG44" t="e">
        <f>AND('Drum - Prod.Crit'!M2,"AAAAAA/d9og=")</f>
        <v>#VALUE!</v>
      </c>
      <c r="EH44" t="e">
        <f>AND('Drum - Prod.Crit'!N2,"AAAAAA/d9ok=")</f>
        <v>#VALUE!</v>
      </c>
      <c r="EI44" t="e">
        <f>AND('Drum - Prod.Crit'!O2,"AAAAAA/d9oo=")</f>
        <v>#VALUE!</v>
      </c>
      <c r="EJ44" t="e">
        <f>AND('Drum - Prod.Crit'!P2,"AAAAAA/d9os=")</f>
        <v>#VALUE!</v>
      </c>
      <c r="EK44" t="e">
        <f>AND('Drum - Prod.Crit'!Q2,"AAAAAA/d9ow=")</f>
        <v>#VALUE!</v>
      </c>
      <c r="EL44" t="e">
        <f>AND('Drum - Prod.Crit'!R2,"AAAAAA/d9o0=")</f>
        <v>#VALUE!</v>
      </c>
      <c r="EM44" t="e">
        <f>AND('Drum - Prod.Crit'!S2,"AAAAAA/d9o4=")</f>
        <v>#VALUE!</v>
      </c>
      <c r="EN44" t="e">
        <f>AND('Drum - Prod.Crit'!T2,"AAAAAA/d9o8=")</f>
        <v>#VALUE!</v>
      </c>
      <c r="EO44" t="e">
        <f>AND('Drum - Prod.Crit'!U2,"AAAAAA/d9pA=")</f>
        <v>#VALUE!</v>
      </c>
      <c r="EP44" t="e">
        <f>AND('Drum - Prod.Crit'!V2,"AAAAAA/d9pE=")</f>
        <v>#VALUE!</v>
      </c>
      <c r="EQ44" t="e">
        <f>AND('Drum - Prod.Crit'!W2,"AAAAAA/d9pI=")</f>
        <v>#VALUE!</v>
      </c>
      <c r="ER44" t="e">
        <f>AND('Drum - Prod.Crit'!X2,"AAAAAA/d9pM=")</f>
        <v>#VALUE!</v>
      </c>
      <c r="ES44" t="e">
        <f>AND('Drum - Prod.Crit'!Y2,"AAAAAA/d9pQ=")</f>
        <v>#VALUE!</v>
      </c>
      <c r="ET44" t="e">
        <f>IF('Drum - Prod.Crit'!#REF!,"AAAAAA/d9pU=",0)</f>
        <v>#REF!</v>
      </c>
      <c r="EU44" t="e">
        <f>AND('Drum - Prod.Crit'!#REF!,"AAAAAA/d9pY=")</f>
        <v>#REF!</v>
      </c>
      <c r="EV44" t="e">
        <f>AND('Drum - Prod.Crit'!#REF!,"AAAAAA/d9pc=")</f>
        <v>#REF!</v>
      </c>
      <c r="EW44" t="e">
        <f>AND('Drum - Prod.Crit'!#REF!,"AAAAAA/d9pg=")</f>
        <v>#REF!</v>
      </c>
      <c r="EX44" t="e">
        <f>AND('Drum - Prod.Crit'!#REF!,"AAAAAA/d9pk=")</f>
        <v>#REF!</v>
      </c>
      <c r="EY44" t="e">
        <f>AND('Drum - Prod.Crit'!#REF!,"AAAAAA/d9po=")</f>
        <v>#REF!</v>
      </c>
      <c r="EZ44" t="e">
        <f>AND('Drum - Prod.Crit'!#REF!,"AAAAAA/d9ps=")</f>
        <v>#REF!</v>
      </c>
      <c r="FA44" t="e">
        <f>AND('Drum - Prod.Crit'!#REF!,"AAAAAA/d9pw=")</f>
        <v>#REF!</v>
      </c>
      <c r="FB44" t="e">
        <f>AND('Drum - Prod.Crit'!#REF!,"AAAAAA/d9p0=")</f>
        <v>#REF!</v>
      </c>
      <c r="FC44" t="e">
        <f>AND('Drum - Prod.Crit'!#REF!,"AAAAAA/d9p4=")</f>
        <v>#REF!</v>
      </c>
      <c r="FD44" t="e">
        <f>AND('Drum - Prod.Crit'!#REF!,"AAAAAA/d9p8=")</f>
        <v>#REF!</v>
      </c>
      <c r="FE44" t="e">
        <f>AND('Drum - Prod.Crit'!#REF!,"AAAAAA/d9qA=")</f>
        <v>#REF!</v>
      </c>
      <c r="FF44" t="e">
        <f>AND('Drum - Prod.Crit'!#REF!,"AAAAAA/d9qE=")</f>
        <v>#REF!</v>
      </c>
      <c r="FG44" t="e">
        <f>AND('Drum - Prod.Crit'!#REF!,"AAAAAA/d9qI=")</f>
        <v>#REF!</v>
      </c>
      <c r="FH44" t="e">
        <f>AND('Drum - Prod.Crit'!#REF!,"AAAAAA/d9qM=")</f>
        <v>#REF!</v>
      </c>
      <c r="FI44" t="e">
        <f>AND('Drum - Prod.Crit'!#REF!,"AAAAAA/d9qQ=")</f>
        <v>#REF!</v>
      </c>
      <c r="FJ44" t="e">
        <f>AND('Drum - Prod.Crit'!#REF!,"AAAAAA/d9qU=")</f>
        <v>#REF!</v>
      </c>
      <c r="FK44" t="e">
        <f>AND('Drum - Prod.Crit'!#REF!,"AAAAAA/d9qY=")</f>
        <v>#REF!</v>
      </c>
      <c r="FL44" t="e">
        <f>AND('Drum - Prod.Crit'!#REF!,"AAAAAA/d9qc=")</f>
        <v>#REF!</v>
      </c>
      <c r="FM44" t="e">
        <f>AND('Drum - Prod.Crit'!#REF!,"AAAAAA/d9qg=")</f>
        <v>#REF!</v>
      </c>
      <c r="FN44" t="e">
        <f>AND('Drum - Prod.Crit'!#REF!,"AAAAAA/d9qk=")</f>
        <v>#REF!</v>
      </c>
      <c r="FO44" t="e">
        <f>AND('Drum - Prod.Crit'!#REF!,"AAAAAA/d9qo=")</f>
        <v>#REF!</v>
      </c>
      <c r="FP44" t="e">
        <f>AND('Drum - Prod.Crit'!#REF!,"AAAAAA/d9qs=")</f>
        <v>#REF!</v>
      </c>
      <c r="FQ44" t="e">
        <f>AND('Drum - Prod.Crit'!#REF!,"AAAAAA/d9qw=")</f>
        <v>#REF!</v>
      </c>
      <c r="FR44" t="e">
        <f>AND('Drum - Prod.Crit'!#REF!,"AAAAAA/d9q0=")</f>
        <v>#REF!</v>
      </c>
      <c r="FS44" t="e">
        <f>AND('Drum - Prod.Crit'!#REF!,"AAAAAA/d9q4=")</f>
        <v>#REF!</v>
      </c>
      <c r="FT44">
        <f>IF('Drum - Prod.Crit'!3:3,"AAAAAA/d9q8=",0)</f>
        <v>0</v>
      </c>
      <c r="FU44" t="e">
        <f>AND('Drum - Prod.Crit'!A3,"AAAAAA/d9rA=")</f>
        <v>#VALUE!</v>
      </c>
      <c r="FV44" t="e">
        <f>AND('Drum - Prod.Crit'!B3,"AAAAAA/d9rE=")</f>
        <v>#VALUE!</v>
      </c>
      <c r="FW44" t="e">
        <f>AND('Drum - Prod.Crit'!C3,"AAAAAA/d9rI=")</f>
        <v>#VALUE!</v>
      </c>
      <c r="FX44" t="e">
        <f>AND('Drum - Prod.Crit'!D3,"AAAAAA/d9rM=")</f>
        <v>#VALUE!</v>
      </c>
      <c r="FY44" t="e">
        <f>AND('Drum - Prod.Crit'!E3,"AAAAAA/d9rQ=")</f>
        <v>#VALUE!</v>
      </c>
      <c r="FZ44" t="e">
        <f>AND('Drum - Prod.Crit'!F3,"AAAAAA/d9rU=")</f>
        <v>#VALUE!</v>
      </c>
      <c r="GA44" t="e">
        <f>AND('Drum - Prod.Crit'!G3,"AAAAAA/d9rY=")</f>
        <v>#VALUE!</v>
      </c>
      <c r="GB44" t="e">
        <f>AND('Drum - Prod.Crit'!H3,"AAAAAA/d9rc=")</f>
        <v>#VALUE!</v>
      </c>
      <c r="GC44" t="e">
        <f>AND('Drum - Prod.Crit'!I3,"AAAAAA/d9rg=")</f>
        <v>#VALUE!</v>
      </c>
      <c r="GD44" t="e">
        <f>AND('Drum - Prod.Crit'!J3,"AAAAAA/d9rk=")</f>
        <v>#VALUE!</v>
      </c>
      <c r="GE44" t="e">
        <f>AND('Drum - Prod.Crit'!K3,"AAAAAA/d9ro=")</f>
        <v>#VALUE!</v>
      </c>
      <c r="GF44" t="e">
        <f>AND('Drum - Prod.Crit'!L3,"AAAAAA/d9rs=")</f>
        <v>#VALUE!</v>
      </c>
      <c r="GG44" t="e">
        <f>AND('Drum - Prod.Crit'!M3,"AAAAAA/d9rw=")</f>
        <v>#VALUE!</v>
      </c>
      <c r="GH44" t="e">
        <f>AND('Drum - Prod.Crit'!N3,"AAAAAA/d9r0=")</f>
        <v>#VALUE!</v>
      </c>
      <c r="GI44" t="e">
        <f>AND('Drum - Prod.Crit'!O3,"AAAAAA/d9r4=")</f>
        <v>#VALUE!</v>
      </c>
      <c r="GJ44" t="e">
        <f>AND('Drum - Prod.Crit'!P3,"AAAAAA/d9r8=")</f>
        <v>#VALUE!</v>
      </c>
      <c r="GK44" t="e">
        <f>AND('Drum - Prod.Crit'!Q3,"AAAAAA/d9sA=")</f>
        <v>#VALUE!</v>
      </c>
      <c r="GL44" t="e">
        <f>AND('Drum - Prod.Crit'!R3,"AAAAAA/d9sE=")</f>
        <v>#VALUE!</v>
      </c>
      <c r="GM44" t="e">
        <f>AND('Drum - Prod.Crit'!S3,"AAAAAA/d9sI=")</f>
        <v>#VALUE!</v>
      </c>
      <c r="GN44" t="e">
        <f>AND('Drum - Prod.Crit'!T3,"AAAAAA/d9sM=")</f>
        <v>#VALUE!</v>
      </c>
      <c r="GO44" t="e">
        <f>AND('Drum - Prod.Crit'!U3,"AAAAAA/d9sQ=")</f>
        <v>#VALUE!</v>
      </c>
      <c r="GP44" t="e">
        <f>AND('Drum - Prod.Crit'!V3,"AAAAAA/d9sU=")</f>
        <v>#VALUE!</v>
      </c>
      <c r="GQ44" t="e">
        <f>AND('Drum - Prod.Crit'!W3,"AAAAAA/d9sY=")</f>
        <v>#VALUE!</v>
      </c>
      <c r="GR44" t="e">
        <f>AND('Drum - Prod.Crit'!X3,"AAAAAA/d9sc=")</f>
        <v>#VALUE!</v>
      </c>
      <c r="GS44" t="e">
        <f>AND('Drum - Prod.Crit'!Y3,"AAAAAA/d9sg=")</f>
        <v>#VALUE!</v>
      </c>
      <c r="GT44">
        <f>IF('Drum - Prod.Crit'!4:4,"AAAAAA/d9sk=",0)</f>
        <v>0</v>
      </c>
      <c r="GU44" t="e">
        <f>AND('Drum - Prod.Crit'!A4,"AAAAAA/d9so=")</f>
        <v>#VALUE!</v>
      </c>
      <c r="GV44" t="e">
        <f>AND('Drum - Prod.Crit'!B4,"AAAAAA/d9ss=")</f>
        <v>#VALUE!</v>
      </c>
      <c r="GW44" t="e">
        <f>AND('Drum - Prod.Crit'!C4,"AAAAAA/d9sw=")</f>
        <v>#VALUE!</v>
      </c>
      <c r="GX44" t="e">
        <f>AND('Drum - Prod.Crit'!D4,"AAAAAA/d9s0=")</f>
        <v>#VALUE!</v>
      </c>
      <c r="GY44" t="e">
        <f>AND('Drum - Prod.Crit'!E4,"AAAAAA/d9s4=")</f>
        <v>#VALUE!</v>
      </c>
      <c r="GZ44" t="e">
        <f>AND('Drum - Prod.Crit'!F4,"AAAAAA/d9s8=")</f>
        <v>#VALUE!</v>
      </c>
      <c r="HA44" t="e">
        <f>AND('Drum - Prod.Crit'!G4,"AAAAAA/d9tA=")</f>
        <v>#VALUE!</v>
      </c>
      <c r="HB44" t="e">
        <f>AND('Drum - Prod.Crit'!H4,"AAAAAA/d9tE=")</f>
        <v>#VALUE!</v>
      </c>
      <c r="HC44" t="e">
        <f>AND('Drum - Prod.Crit'!I4,"AAAAAA/d9tI=")</f>
        <v>#VALUE!</v>
      </c>
      <c r="HD44" t="e">
        <f>AND('Drum - Prod.Crit'!J4,"AAAAAA/d9tM=")</f>
        <v>#VALUE!</v>
      </c>
      <c r="HE44" t="e">
        <f>AND('Drum - Prod.Crit'!K4,"AAAAAA/d9tQ=")</f>
        <v>#VALUE!</v>
      </c>
      <c r="HF44" t="e">
        <f>AND('Drum - Prod.Crit'!L4,"AAAAAA/d9tU=")</f>
        <v>#VALUE!</v>
      </c>
      <c r="HG44" t="e">
        <f>AND('Drum - Prod.Crit'!M4,"AAAAAA/d9tY=")</f>
        <v>#VALUE!</v>
      </c>
      <c r="HH44" t="e">
        <f>AND('Drum - Prod.Crit'!N4,"AAAAAA/d9tc=")</f>
        <v>#VALUE!</v>
      </c>
      <c r="HI44" t="e">
        <f>AND('Drum - Prod.Crit'!O4,"AAAAAA/d9tg=")</f>
        <v>#VALUE!</v>
      </c>
      <c r="HJ44" t="e">
        <f>AND('Drum - Prod.Crit'!P4,"AAAAAA/d9tk=")</f>
        <v>#VALUE!</v>
      </c>
      <c r="HK44" t="e">
        <f>AND('Drum - Prod.Crit'!Q4,"AAAAAA/d9to=")</f>
        <v>#VALUE!</v>
      </c>
      <c r="HL44" t="e">
        <f>AND('Drum - Prod.Crit'!R4,"AAAAAA/d9ts=")</f>
        <v>#VALUE!</v>
      </c>
      <c r="HM44" t="e">
        <f>AND('Drum - Prod.Crit'!S4,"AAAAAA/d9tw=")</f>
        <v>#VALUE!</v>
      </c>
      <c r="HN44" t="e">
        <f>AND('Drum - Prod.Crit'!T4,"AAAAAA/d9t0=")</f>
        <v>#VALUE!</v>
      </c>
      <c r="HO44" t="e">
        <f>AND('Drum - Prod.Crit'!U4,"AAAAAA/d9t4=")</f>
        <v>#VALUE!</v>
      </c>
      <c r="HP44" t="e">
        <f>AND('Drum - Prod.Crit'!V4,"AAAAAA/d9t8=")</f>
        <v>#VALUE!</v>
      </c>
      <c r="HQ44" t="e">
        <f>AND('Drum - Prod.Crit'!W4,"AAAAAA/d9uA=")</f>
        <v>#VALUE!</v>
      </c>
      <c r="HR44" t="e">
        <f>AND('Drum - Prod.Crit'!X4,"AAAAAA/d9uE=")</f>
        <v>#VALUE!</v>
      </c>
      <c r="HS44" t="e">
        <f>AND('Drum - Prod.Crit'!Y4,"AAAAAA/d9uI=")</f>
        <v>#VALUE!</v>
      </c>
      <c r="HT44">
        <f>IF('Drum - Prod.Crit'!5:5,"AAAAAA/d9uM=",0)</f>
        <v>0</v>
      </c>
      <c r="HU44" t="e">
        <f>AND('Drum - Prod.Crit'!A5,"AAAAAA/d9uQ=")</f>
        <v>#VALUE!</v>
      </c>
      <c r="HV44" t="e">
        <f>AND('Drum - Prod.Crit'!B5,"AAAAAA/d9uU=")</f>
        <v>#VALUE!</v>
      </c>
      <c r="HW44" t="e">
        <f>AND('Drum - Prod.Crit'!C5,"AAAAAA/d9uY=")</f>
        <v>#VALUE!</v>
      </c>
      <c r="HX44" t="e">
        <f>AND('Drum - Prod.Crit'!D5,"AAAAAA/d9uc=")</f>
        <v>#VALUE!</v>
      </c>
      <c r="HY44" t="e">
        <f>AND('Drum - Prod.Crit'!E5,"AAAAAA/d9ug=")</f>
        <v>#VALUE!</v>
      </c>
      <c r="HZ44" t="e">
        <f>AND('Drum - Prod.Crit'!F5,"AAAAAA/d9uk=")</f>
        <v>#VALUE!</v>
      </c>
      <c r="IA44" t="e">
        <f>AND('Drum - Prod.Crit'!G5,"AAAAAA/d9uo=")</f>
        <v>#VALUE!</v>
      </c>
      <c r="IB44" t="e">
        <f>AND('Drum - Prod.Crit'!H6,"AAAAAA/d9us=")</f>
        <v>#VALUE!</v>
      </c>
      <c r="IC44" t="e">
        <f>AND('Drum - Prod.Crit'!I5,"AAAAAA/d9uw=")</f>
        <v>#VALUE!</v>
      </c>
      <c r="ID44" t="e">
        <f>AND('Drum - Prod.Crit'!J5,"AAAAAA/d9u0=")</f>
        <v>#VALUE!</v>
      </c>
      <c r="IE44" t="e">
        <f>AND('Drum - Prod.Crit'!K5,"AAAAAA/d9u4=")</f>
        <v>#VALUE!</v>
      </c>
      <c r="IF44" t="e">
        <f>AND('Drum - Prod.Crit'!L5,"AAAAAA/d9u8=")</f>
        <v>#VALUE!</v>
      </c>
      <c r="IG44" t="e">
        <f>AND('Drum - Prod.Crit'!M5,"AAAAAA/d9vA=")</f>
        <v>#VALUE!</v>
      </c>
      <c r="IH44" t="e">
        <f>AND('Drum - Prod.Crit'!N5,"AAAAAA/d9vE=")</f>
        <v>#VALUE!</v>
      </c>
      <c r="II44" t="e">
        <f>AND('Drum - Prod.Crit'!O5,"AAAAAA/d9vI=")</f>
        <v>#VALUE!</v>
      </c>
      <c r="IJ44" t="e">
        <f>AND('Drum - Prod.Crit'!P5,"AAAAAA/d9vM=")</f>
        <v>#VALUE!</v>
      </c>
      <c r="IK44" t="e">
        <f>AND('Drum - Prod.Crit'!Q5,"AAAAAA/d9vQ=")</f>
        <v>#VALUE!</v>
      </c>
      <c r="IL44" t="e">
        <f>AND('Drum - Prod.Crit'!R5,"AAAAAA/d9vU=")</f>
        <v>#VALUE!</v>
      </c>
      <c r="IM44" t="e">
        <f>AND('Drum - Prod.Crit'!S5,"AAAAAA/d9vY=")</f>
        <v>#VALUE!</v>
      </c>
      <c r="IN44" t="e">
        <f>AND('Drum - Prod.Crit'!T5,"AAAAAA/d9vc=")</f>
        <v>#VALUE!</v>
      </c>
      <c r="IO44" t="e">
        <f>AND('Drum - Prod.Crit'!U5,"AAAAAA/d9vg=")</f>
        <v>#VALUE!</v>
      </c>
      <c r="IP44" t="e">
        <f>AND('Drum - Prod.Crit'!V5,"AAAAAA/d9vk=")</f>
        <v>#VALUE!</v>
      </c>
      <c r="IQ44" t="e">
        <f>AND('Drum - Prod.Crit'!W5,"AAAAAA/d9vo=")</f>
        <v>#VALUE!</v>
      </c>
      <c r="IR44" t="e">
        <f>AND('Drum - Prod.Crit'!X5,"AAAAAA/d9vs=")</f>
        <v>#VALUE!</v>
      </c>
      <c r="IS44" t="e">
        <f>AND('Drum - Prod.Crit'!Y5,"AAAAAA/d9vw=")</f>
        <v>#VALUE!</v>
      </c>
      <c r="IT44" t="e">
        <f>IF('Drum - Prod.Crit'!#REF!,"AAAAAA/d9v0=",0)</f>
        <v>#REF!</v>
      </c>
      <c r="IU44" t="e">
        <f>AND('Drum - Prod.Crit'!#REF!,"AAAAAA/d9v4=")</f>
        <v>#REF!</v>
      </c>
      <c r="IV44" t="e">
        <f>AND('Drum - Prod.Crit'!#REF!,"AAAAAA/d9v8=")</f>
        <v>#REF!</v>
      </c>
    </row>
    <row r="45" spans="1:256">
      <c r="A45" t="e">
        <f>AND('Drum - Prod.Crit'!#REF!,"AAAAAGX//wA=")</f>
        <v>#REF!</v>
      </c>
      <c r="B45" t="e">
        <f>AND('Drum - Prod.Crit'!#REF!,"AAAAAGX//wE=")</f>
        <v>#REF!</v>
      </c>
      <c r="C45" t="e">
        <f>AND('Drum - Prod.Crit'!#REF!,"AAAAAGX//wI=")</f>
        <v>#REF!</v>
      </c>
      <c r="D45" t="e">
        <f>AND('Drum - Prod.Crit'!#REF!,"AAAAAGX//wM=")</f>
        <v>#REF!</v>
      </c>
      <c r="E45" t="e">
        <f>AND('Drum - Prod.Crit'!#REF!,"AAAAAGX//wQ=")</f>
        <v>#REF!</v>
      </c>
      <c r="F45" t="e">
        <f>AND('Drum - Prod.Crit'!H7,"AAAAAGX//wU=")</f>
        <v>#VALUE!</v>
      </c>
      <c r="G45" t="e">
        <f>AND('Drum - Prod.Crit'!#REF!,"AAAAAGX//wY=")</f>
        <v>#REF!</v>
      </c>
      <c r="H45" t="e">
        <f>AND('Drum - Prod.Crit'!#REF!,"AAAAAGX//wc=")</f>
        <v>#REF!</v>
      </c>
      <c r="I45" t="e">
        <f>AND('Drum - Prod.Crit'!#REF!,"AAAAAGX//wg=")</f>
        <v>#REF!</v>
      </c>
      <c r="J45" t="e">
        <f>AND('Drum - Prod.Crit'!#REF!,"AAAAAGX//wk=")</f>
        <v>#REF!</v>
      </c>
      <c r="K45" t="e">
        <f>AND('Drum - Prod.Crit'!#REF!,"AAAAAGX//wo=")</f>
        <v>#REF!</v>
      </c>
      <c r="L45" t="e">
        <f>AND('Drum - Prod.Crit'!#REF!,"AAAAAGX//ws=")</f>
        <v>#REF!</v>
      </c>
      <c r="M45" t="e">
        <f>AND('Drum - Prod.Crit'!#REF!,"AAAAAGX//ww=")</f>
        <v>#REF!</v>
      </c>
      <c r="N45" t="e">
        <f>AND('Drum - Prod.Crit'!#REF!,"AAAAAGX//w0=")</f>
        <v>#REF!</v>
      </c>
      <c r="O45" t="e">
        <f>AND('Drum - Prod.Crit'!#REF!,"AAAAAGX//w4=")</f>
        <v>#REF!</v>
      </c>
      <c r="P45" t="e">
        <f>AND('Drum - Prod.Crit'!#REF!,"AAAAAGX//w8=")</f>
        <v>#REF!</v>
      </c>
      <c r="Q45" t="e">
        <f>AND('Drum - Prod.Crit'!#REF!,"AAAAAGX//xA=")</f>
        <v>#REF!</v>
      </c>
      <c r="R45" t="e">
        <f>AND('Drum - Prod.Crit'!#REF!,"AAAAAGX//xE=")</f>
        <v>#REF!</v>
      </c>
      <c r="S45" t="e">
        <f>AND('Drum - Prod.Crit'!#REF!,"AAAAAGX//xI=")</f>
        <v>#REF!</v>
      </c>
      <c r="T45" t="e">
        <f>AND('Drum - Prod.Crit'!#REF!,"AAAAAGX//xM=")</f>
        <v>#REF!</v>
      </c>
      <c r="U45" t="e">
        <f>AND('Drum - Prod.Crit'!#REF!,"AAAAAGX//xQ=")</f>
        <v>#REF!</v>
      </c>
      <c r="V45" t="e">
        <f>AND('Drum - Prod.Crit'!#REF!,"AAAAAGX//xU=")</f>
        <v>#REF!</v>
      </c>
      <c r="W45" t="e">
        <f>AND('Drum - Prod.Crit'!#REF!,"AAAAAGX//xY=")</f>
        <v>#REF!</v>
      </c>
      <c r="X45" t="e">
        <f>IF('Drum - Prod.Crit'!#REF!,"AAAAAGX//xc=",0)</f>
        <v>#REF!</v>
      </c>
      <c r="Y45" t="e">
        <f>AND('Drum - Prod.Crit'!#REF!,"AAAAAGX//xg=")</f>
        <v>#REF!</v>
      </c>
      <c r="Z45" t="e">
        <f>AND('Drum - Prod.Crit'!#REF!,"AAAAAGX//xk=")</f>
        <v>#REF!</v>
      </c>
      <c r="AA45" t="e">
        <f>AND('Drum - Prod.Crit'!#REF!,"AAAAAGX//xo=")</f>
        <v>#REF!</v>
      </c>
      <c r="AB45" t="e">
        <f>AND('Drum - Prod.Crit'!#REF!,"AAAAAGX//xs=")</f>
        <v>#REF!</v>
      </c>
      <c r="AC45" t="e">
        <f>AND('Drum - Prod.Crit'!#REF!,"AAAAAGX//xw=")</f>
        <v>#REF!</v>
      </c>
      <c r="AD45" t="e">
        <f>AND('Drum - Prod.Crit'!#REF!,"AAAAAGX//x0=")</f>
        <v>#REF!</v>
      </c>
      <c r="AE45" t="e">
        <f>AND('Drum - Prod.Crit'!#REF!,"AAAAAGX//x4=")</f>
        <v>#REF!</v>
      </c>
      <c r="AF45" t="e">
        <f>AND('Drum - Prod.Crit'!#REF!,"AAAAAGX//x8=")</f>
        <v>#REF!</v>
      </c>
      <c r="AG45" t="e">
        <f>AND('Drum - Prod.Crit'!#REF!,"AAAAAGX//yA=")</f>
        <v>#REF!</v>
      </c>
      <c r="AH45" t="e">
        <f>AND('Drum - Prod.Crit'!#REF!,"AAAAAGX//yE=")</f>
        <v>#REF!</v>
      </c>
      <c r="AI45" t="e">
        <f>AND('Drum - Prod.Crit'!#REF!,"AAAAAGX//yI=")</f>
        <v>#REF!</v>
      </c>
      <c r="AJ45" t="e">
        <f>AND('Drum - Prod.Crit'!#REF!,"AAAAAGX//yM=")</f>
        <v>#REF!</v>
      </c>
      <c r="AK45" t="e">
        <f>AND('Drum - Prod.Crit'!#REF!,"AAAAAGX//yQ=")</f>
        <v>#REF!</v>
      </c>
      <c r="AL45" t="e">
        <f>AND('Drum - Prod.Crit'!#REF!,"AAAAAGX//yU=")</f>
        <v>#REF!</v>
      </c>
      <c r="AM45" t="e">
        <f>AND('Drum - Prod.Crit'!#REF!,"AAAAAGX//yY=")</f>
        <v>#REF!</v>
      </c>
      <c r="AN45" t="e">
        <f>AND('Drum - Prod.Crit'!#REF!,"AAAAAGX//yc=")</f>
        <v>#REF!</v>
      </c>
      <c r="AO45" t="e">
        <f>AND('Drum - Prod.Crit'!#REF!,"AAAAAGX//yg=")</f>
        <v>#REF!</v>
      </c>
      <c r="AP45" t="e">
        <f>AND('Drum - Prod.Crit'!#REF!,"AAAAAGX//yk=")</f>
        <v>#REF!</v>
      </c>
      <c r="AQ45" t="e">
        <f>AND('Drum - Prod.Crit'!#REF!,"AAAAAGX//yo=")</f>
        <v>#REF!</v>
      </c>
      <c r="AR45" t="e">
        <f>AND('Drum - Prod.Crit'!#REF!,"AAAAAGX//ys=")</f>
        <v>#REF!</v>
      </c>
      <c r="AS45" t="e">
        <f>AND('Drum - Prod.Crit'!#REF!,"AAAAAGX//yw=")</f>
        <v>#REF!</v>
      </c>
      <c r="AT45" t="e">
        <f>AND('Drum - Prod.Crit'!#REF!,"AAAAAGX//y0=")</f>
        <v>#REF!</v>
      </c>
      <c r="AU45" t="e">
        <f>AND('Drum - Prod.Crit'!#REF!,"AAAAAGX//y4=")</f>
        <v>#REF!</v>
      </c>
      <c r="AV45" t="e">
        <f>AND('Drum - Prod.Crit'!#REF!,"AAAAAGX//y8=")</f>
        <v>#REF!</v>
      </c>
      <c r="AW45" t="e">
        <f>AND('Drum - Prod.Crit'!#REF!,"AAAAAGX//zA=")</f>
        <v>#REF!</v>
      </c>
      <c r="AX45">
        <f>IF('Drum - Prod.Crit'!7:7,"AAAAAGX//zE=",0)</f>
        <v>0</v>
      </c>
      <c r="AY45" t="e">
        <f>AND('Drum - Prod.Crit'!A7,"AAAAAGX//zI=")</f>
        <v>#VALUE!</v>
      </c>
      <c r="AZ45" t="e">
        <f>AND('Drum - Prod.Crit'!B7,"AAAAAGX//zM=")</f>
        <v>#VALUE!</v>
      </c>
      <c r="BA45" t="e">
        <f>AND('Drum - Prod.Crit'!C7,"AAAAAGX//zQ=")</f>
        <v>#VALUE!</v>
      </c>
      <c r="BB45" t="e">
        <f>AND('Drum - Prod.Crit'!D7,"AAAAAGX//zU=")</f>
        <v>#VALUE!</v>
      </c>
      <c r="BC45" t="e">
        <f>AND('Drum - Prod.Crit'!E7,"AAAAAGX//zY=")</f>
        <v>#VALUE!</v>
      </c>
      <c r="BD45" t="e">
        <f>AND('Drum - Prod.Crit'!F7,"AAAAAGX//zc=")</f>
        <v>#VALUE!</v>
      </c>
      <c r="BE45" t="e">
        <f>AND('Drum - Prod.Crit'!G7,"AAAAAGX//zg=")</f>
        <v>#VALUE!</v>
      </c>
      <c r="BF45" t="e">
        <f>AND('Drum - Prod.Crit'!#REF!,"AAAAAGX//zk=")</f>
        <v>#REF!</v>
      </c>
      <c r="BG45" t="e">
        <f>AND('Drum - Prod.Crit'!I7,"AAAAAGX//zo=")</f>
        <v>#VALUE!</v>
      </c>
      <c r="BH45" t="e">
        <f>AND('Drum - Prod.Crit'!J7,"AAAAAGX//zs=")</f>
        <v>#VALUE!</v>
      </c>
      <c r="BI45" t="e">
        <f>AND('Drum - Prod.Crit'!K7,"AAAAAGX//zw=")</f>
        <v>#VALUE!</v>
      </c>
      <c r="BJ45" t="e">
        <f>AND('Drum - Prod.Crit'!L7,"AAAAAGX//z0=")</f>
        <v>#VALUE!</v>
      </c>
      <c r="BK45" t="e">
        <f>AND('Drum - Prod.Crit'!M7,"AAAAAGX//z4=")</f>
        <v>#VALUE!</v>
      </c>
      <c r="BL45" t="e">
        <f>AND('Drum - Prod.Crit'!N7,"AAAAAGX//z8=")</f>
        <v>#VALUE!</v>
      </c>
      <c r="BM45" t="e">
        <f>AND('Drum - Prod.Crit'!O7,"AAAAAGX//0A=")</f>
        <v>#VALUE!</v>
      </c>
      <c r="BN45" t="e">
        <f>AND('Drum - Prod.Crit'!P7,"AAAAAGX//0E=")</f>
        <v>#VALUE!</v>
      </c>
      <c r="BO45" t="e">
        <f>AND('Drum - Prod.Crit'!Q7,"AAAAAGX//0I=")</f>
        <v>#VALUE!</v>
      </c>
      <c r="BP45" t="e">
        <f>AND('Drum - Prod.Crit'!R7,"AAAAAGX//0M=")</f>
        <v>#VALUE!</v>
      </c>
      <c r="BQ45" t="e">
        <f>AND('Drum - Prod.Crit'!S7,"AAAAAGX//0Q=")</f>
        <v>#VALUE!</v>
      </c>
      <c r="BR45" t="e">
        <f>AND('Drum - Prod.Crit'!T7,"AAAAAGX//0U=")</f>
        <v>#VALUE!</v>
      </c>
      <c r="BS45" t="e">
        <f>AND('Drum - Prod.Crit'!U7,"AAAAAGX//0Y=")</f>
        <v>#VALUE!</v>
      </c>
      <c r="BT45" t="e">
        <f>AND('Drum - Prod.Crit'!V7,"AAAAAGX//0c=")</f>
        <v>#VALUE!</v>
      </c>
      <c r="BU45" t="e">
        <f>AND('Drum - Prod.Crit'!W7,"AAAAAGX//0g=")</f>
        <v>#VALUE!</v>
      </c>
      <c r="BV45" t="e">
        <f>AND('Drum - Prod.Crit'!X7,"AAAAAGX//0k=")</f>
        <v>#VALUE!</v>
      </c>
      <c r="BW45" t="e">
        <f>AND('Drum - Prod.Crit'!Y7,"AAAAAGX//0o=")</f>
        <v>#VALUE!</v>
      </c>
      <c r="BX45">
        <f>IF('Drum - Prod.Crit'!8:8,"AAAAAGX//0s=",0)</f>
        <v>0</v>
      </c>
      <c r="BY45" t="e">
        <f>AND('Drum - Prod.Crit'!A8,"AAAAAGX//0w=")</f>
        <v>#VALUE!</v>
      </c>
      <c r="BZ45" t="e">
        <f>AND('Drum - Prod.Crit'!B8,"AAAAAGX//00=")</f>
        <v>#VALUE!</v>
      </c>
      <c r="CA45" t="e">
        <f>AND('Drum - Prod.Crit'!C8,"AAAAAGX//04=")</f>
        <v>#VALUE!</v>
      </c>
      <c r="CB45" t="e">
        <f>AND('Drum - Prod.Crit'!#REF!,"AAAAAGX//08=")</f>
        <v>#REF!</v>
      </c>
      <c r="CC45" t="e">
        <f>AND('Drum - Prod.Crit'!#REF!,"AAAAAGX//1A=")</f>
        <v>#REF!</v>
      </c>
      <c r="CD45" t="e">
        <f>AND('Drum - Prod.Crit'!D8,"AAAAAGX//1E=")</f>
        <v>#VALUE!</v>
      </c>
      <c r="CE45" t="e">
        <f>AND('Drum - Prod.Crit'!E8,"AAAAAGX//1I=")</f>
        <v>#VALUE!</v>
      </c>
      <c r="CF45" t="e">
        <f>AND('Drum - Prod.Crit'!F8,"AAAAAGX//1M=")</f>
        <v>#VALUE!</v>
      </c>
      <c r="CG45" t="e">
        <f>AND('Drum - Prod.Crit'!G8,"AAAAAGX//1Q=")</f>
        <v>#VALUE!</v>
      </c>
      <c r="CH45" t="e">
        <f>AND('Drum - Prod.Crit'!H8,"AAAAAGX//1U=")</f>
        <v>#VALUE!</v>
      </c>
      <c r="CI45" t="e">
        <f>AND('Drum - Prod.Crit'!I8,"AAAAAGX//1Y=")</f>
        <v>#VALUE!</v>
      </c>
      <c r="CJ45" t="e">
        <f>AND('Drum - Prod.Crit'!J8,"AAAAAGX//1c=")</f>
        <v>#VALUE!</v>
      </c>
      <c r="CK45" t="e">
        <f>AND('Drum - Prod.Crit'!K8,"AAAAAGX//1g=")</f>
        <v>#VALUE!</v>
      </c>
      <c r="CL45" t="e">
        <f>AND('Drum - Prod.Crit'!L8,"AAAAAGX//1k=")</f>
        <v>#VALUE!</v>
      </c>
      <c r="CM45" t="e">
        <f>AND('Drum - Prod.Crit'!M8,"AAAAAGX//1o=")</f>
        <v>#VALUE!</v>
      </c>
      <c r="CN45" t="e">
        <f>AND('Drum - Prod.Crit'!N8,"AAAAAGX//1s=")</f>
        <v>#VALUE!</v>
      </c>
      <c r="CO45" t="e">
        <f>AND('Drum - Prod.Crit'!O8,"AAAAAGX//1w=")</f>
        <v>#VALUE!</v>
      </c>
      <c r="CP45" t="e">
        <f>AND('Drum - Prod.Crit'!P8,"AAAAAGX//10=")</f>
        <v>#VALUE!</v>
      </c>
      <c r="CQ45" t="e">
        <f>AND('Drum - Prod.Crit'!Q8,"AAAAAGX//14=")</f>
        <v>#VALUE!</v>
      </c>
      <c r="CR45" t="e">
        <f>AND('Drum - Prod.Crit'!R8,"AAAAAGX//18=")</f>
        <v>#VALUE!</v>
      </c>
      <c r="CS45" t="e">
        <f>AND('Drum - Prod.Crit'!S8,"AAAAAGX//2A=")</f>
        <v>#VALUE!</v>
      </c>
      <c r="CT45" t="e">
        <f>AND('Drum - Prod.Crit'!T8,"AAAAAGX//2E=")</f>
        <v>#VALUE!</v>
      </c>
      <c r="CU45" t="e">
        <f>AND('Drum - Prod.Crit'!U8,"AAAAAGX//2I=")</f>
        <v>#VALUE!</v>
      </c>
      <c r="CV45" t="e">
        <f>AND('Drum - Prod.Crit'!V8,"AAAAAGX//2M=")</f>
        <v>#VALUE!</v>
      </c>
      <c r="CW45" t="e">
        <f>AND('Drum - Prod.Crit'!W8,"AAAAAGX//2Q=")</f>
        <v>#VALUE!</v>
      </c>
      <c r="CX45">
        <f>IF('Drum - Prod.Crit'!9:9,"AAAAAGX//2U=",0)</f>
        <v>0</v>
      </c>
      <c r="CY45" t="e">
        <f>AND('Drum - Prod.Crit'!A9,"AAAAAGX//2Y=")</f>
        <v>#VALUE!</v>
      </c>
      <c r="CZ45" t="e">
        <f>AND('Drum - Prod.Crit'!B9,"AAAAAGX//2c=")</f>
        <v>#VALUE!</v>
      </c>
      <c r="DA45" t="e">
        <f>AND('Drum - Prod.Crit'!C9,"AAAAAGX//2g=")</f>
        <v>#VALUE!</v>
      </c>
      <c r="DB45" t="e">
        <f>AND('Drum - Prod.Crit'!#REF!,"AAAAAGX//2k=")</f>
        <v>#REF!</v>
      </c>
      <c r="DC45" t="e">
        <f>AND('Drum - Prod.Crit'!#REF!,"AAAAAGX//2o=")</f>
        <v>#REF!</v>
      </c>
      <c r="DD45" t="e">
        <f>AND('Drum - Prod.Crit'!D9,"AAAAAGX//2s=")</f>
        <v>#VALUE!</v>
      </c>
      <c r="DE45" t="e">
        <f>AND('Drum - Prod.Crit'!E9,"AAAAAGX//2w=")</f>
        <v>#VALUE!</v>
      </c>
      <c r="DF45" t="e">
        <f>AND('Drum - Prod.Crit'!F9,"AAAAAGX//20=")</f>
        <v>#VALUE!</v>
      </c>
      <c r="DG45" t="e">
        <f>AND('Drum - Prod.Crit'!G9,"AAAAAGX//24=")</f>
        <v>#VALUE!</v>
      </c>
      <c r="DH45" t="e">
        <f>AND('Drum - Prod.Crit'!H9,"AAAAAGX//28=")</f>
        <v>#VALUE!</v>
      </c>
      <c r="DI45" t="e">
        <f>AND('Drum - Prod.Crit'!I9,"AAAAAGX//3A=")</f>
        <v>#VALUE!</v>
      </c>
      <c r="DJ45" t="e">
        <f>AND('Drum - Prod.Crit'!J9,"AAAAAGX//3E=")</f>
        <v>#VALUE!</v>
      </c>
      <c r="DK45" t="e">
        <f>AND('Drum - Prod.Crit'!K9,"AAAAAGX//3I=")</f>
        <v>#VALUE!</v>
      </c>
      <c r="DL45" t="e">
        <f>AND('Drum - Prod.Crit'!L9,"AAAAAGX//3M=")</f>
        <v>#VALUE!</v>
      </c>
      <c r="DM45" t="e">
        <f>AND('Drum - Prod.Crit'!M9,"AAAAAGX//3Q=")</f>
        <v>#VALUE!</v>
      </c>
      <c r="DN45" t="e">
        <f>AND('Drum - Prod.Crit'!N9,"AAAAAGX//3U=")</f>
        <v>#VALUE!</v>
      </c>
      <c r="DO45" t="e">
        <f>AND('Drum - Prod.Crit'!O9,"AAAAAGX//3Y=")</f>
        <v>#VALUE!</v>
      </c>
      <c r="DP45" t="e">
        <f>AND('Drum - Prod.Crit'!P9,"AAAAAGX//3c=")</f>
        <v>#VALUE!</v>
      </c>
      <c r="DQ45" t="e">
        <f>AND('Drum - Prod.Crit'!Q9,"AAAAAGX//3g=")</f>
        <v>#VALUE!</v>
      </c>
      <c r="DR45" t="e">
        <f>AND('Drum - Prod.Crit'!R9,"AAAAAGX//3k=")</f>
        <v>#VALUE!</v>
      </c>
      <c r="DS45" t="e">
        <f>AND('Drum - Prod.Crit'!S9,"AAAAAGX//3o=")</f>
        <v>#VALUE!</v>
      </c>
      <c r="DT45" t="e">
        <f>AND('Drum - Prod.Crit'!T9,"AAAAAGX//3s=")</f>
        <v>#VALUE!</v>
      </c>
      <c r="DU45" t="e">
        <f>AND('Drum - Prod.Crit'!U9,"AAAAAGX//3w=")</f>
        <v>#VALUE!</v>
      </c>
      <c r="DV45" t="e">
        <f>AND('Drum - Prod.Crit'!V9,"AAAAAGX//30=")</f>
        <v>#VALUE!</v>
      </c>
      <c r="DW45" t="e">
        <f>AND('Drum - Prod.Crit'!W9,"AAAAAGX//34=")</f>
        <v>#VALUE!</v>
      </c>
      <c r="DX45">
        <f>IF('Drum - Prod.Crit'!10:10,"AAAAAGX//38=",0)</f>
        <v>0</v>
      </c>
      <c r="DY45" t="e">
        <f>AND('Drum - Prod.Crit'!A10,"AAAAAGX//4A=")</f>
        <v>#VALUE!</v>
      </c>
      <c r="DZ45" t="e">
        <f>AND('Drum - Prod.Crit'!B10,"AAAAAGX//4E=")</f>
        <v>#VALUE!</v>
      </c>
      <c r="EA45" t="e">
        <f>AND('Drum - Prod.Crit'!C10,"AAAAAGX//4I=")</f>
        <v>#VALUE!</v>
      </c>
      <c r="EB45" t="e">
        <f>AND('Drum - Prod.Crit'!#REF!,"AAAAAGX//4M=")</f>
        <v>#REF!</v>
      </c>
      <c r="EC45" t="e">
        <f>AND('Drum - Prod.Crit'!#REF!,"AAAAAGX//4Q=")</f>
        <v>#REF!</v>
      </c>
      <c r="ED45" t="e">
        <f>AND('Drum - Prod.Crit'!D10,"AAAAAGX//4U=")</f>
        <v>#VALUE!</v>
      </c>
      <c r="EE45" t="e">
        <f>AND('Drum - Prod.Crit'!E10,"AAAAAGX//4Y=")</f>
        <v>#VALUE!</v>
      </c>
      <c r="EF45" t="e">
        <f>AND('Drum - Prod.Crit'!F10,"AAAAAGX//4c=")</f>
        <v>#VALUE!</v>
      </c>
      <c r="EG45" t="e">
        <f>AND('Drum - Prod.Crit'!G10,"AAAAAGX//4g=")</f>
        <v>#VALUE!</v>
      </c>
      <c r="EH45" t="e">
        <f>AND('Drum - Prod.Crit'!H10,"AAAAAGX//4k=")</f>
        <v>#VALUE!</v>
      </c>
      <c r="EI45" t="e">
        <f>AND('Drum - Prod.Crit'!I10,"AAAAAGX//4o=")</f>
        <v>#VALUE!</v>
      </c>
      <c r="EJ45" t="e">
        <f>AND('Drum - Prod.Crit'!J10,"AAAAAGX//4s=")</f>
        <v>#VALUE!</v>
      </c>
      <c r="EK45" t="e">
        <f>AND('Drum - Prod.Crit'!K10,"AAAAAGX//4w=")</f>
        <v>#VALUE!</v>
      </c>
      <c r="EL45" t="e">
        <f>AND('Drum - Prod.Crit'!L10,"AAAAAGX//40=")</f>
        <v>#VALUE!</v>
      </c>
      <c r="EM45" t="e">
        <f>AND('Drum - Prod.Crit'!M10,"AAAAAGX//44=")</f>
        <v>#VALUE!</v>
      </c>
      <c r="EN45" t="e">
        <f>AND('Drum - Prod.Crit'!N10,"AAAAAGX//48=")</f>
        <v>#VALUE!</v>
      </c>
      <c r="EO45" t="e">
        <f>AND('Drum - Prod.Crit'!O10,"AAAAAGX//5A=")</f>
        <v>#VALUE!</v>
      </c>
      <c r="EP45" t="e">
        <f>AND('Drum - Prod.Crit'!P10,"AAAAAGX//5E=")</f>
        <v>#VALUE!</v>
      </c>
      <c r="EQ45" t="e">
        <f>AND('Drum - Prod.Crit'!Q10,"AAAAAGX//5I=")</f>
        <v>#VALUE!</v>
      </c>
      <c r="ER45" t="e">
        <f>AND('Drum - Prod.Crit'!R10,"AAAAAGX//5M=")</f>
        <v>#VALUE!</v>
      </c>
      <c r="ES45" t="e">
        <f>AND('Drum - Prod.Crit'!S10,"AAAAAGX//5Q=")</f>
        <v>#VALUE!</v>
      </c>
      <c r="ET45" t="e">
        <f>AND('Drum - Prod.Crit'!T10,"AAAAAGX//5U=")</f>
        <v>#VALUE!</v>
      </c>
      <c r="EU45" t="e">
        <f>AND('Drum - Prod.Crit'!U10,"AAAAAGX//5Y=")</f>
        <v>#VALUE!</v>
      </c>
      <c r="EV45" t="e">
        <f>AND('Drum - Prod.Crit'!V10,"AAAAAGX//5c=")</f>
        <v>#VALUE!</v>
      </c>
      <c r="EW45" t="e">
        <f>AND('Drum - Prod.Crit'!W10,"AAAAAGX//5g=")</f>
        <v>#VALUE!</v>
      </c>
      <c r="EX45">
        <f>IF('Drum - Prod.Crit'!11:11,"AAAAAGX//5k=",0)</f>
        <v>0</v>
      </c>
      <c r="EY45" t="e">
        <f>AND('Drum - Prod.Crit'!A11,"AAAAAGX//5o=")</f>
        <v>#VALUE!</v>
      </c>
      <c r="EZ45" t="e">
        <f>AND('Drum - Prod.Crit'!B11,"AAAAAGX//5s=")</f>
        <v>#VALUE!</v>
      </c>
      <c r="FA45" t="e">
        <f>AND('Drum - Prod.Crit'!C11,"AAAAAGX//5w=")</f>
        <v>#VALUE!</v>
      </c>
      <c r="FB45" t="e">
        <f>AND('Drum - Prod.Crit'!#REF!,"AAAAAGX//50=")</f>
        <v>#REF!</v>
      </c>
      <c r="FC45" t="e">
        <f>AND('Drum - Prod.Crit'!#REF!,"AAAAAGX//54=")</f>
        <v>#REF!</v>
      </c>
      <c r="FD45" t="e">
        <f>AND('Drum - Prod.Crit'!D11,"AAAAAGX//58=")</f>
        <v>#VALUE!</v>
      </c>
      <c r="FE45" t="e">
        <f>AND('Drum - Prod.Crit'!E11,"AAAAAGX//6A=")</f>
        <v>#VALUE!</v>
      </c>
      <c r="FF45" t="e">
        <f>AND('Drum - Prod.Crit'!F11,"AAAAAGX//6E=")</f>
        <v>#VALUE!</v>
      </c>
      <c r="FG45" t="e">
        <f>AND('Drum - Prod.Crit'!G11,"AAAAAGX//6I=")</f>
        <v>#VALUE!</v>
      </c>
      <c r="FH45" t="e">
        <f>AND('Drum - Prod.Crit'!H11,"AAAAAGX//6M=")</f>
        <v>#VALUE!</v>
      </c>
      <c r="FI45" t="e">
        <f>AND('Drum - Prod.Crit'!I11,"AAAAAGX//6Q=")</f>
        <v>#VALUE!</v>
      </c>
      <c r="FJ45" t="e">
        <f>AND('Drum - Prod.Crit'!J11,"AAAAAGX//6U=")</f>
        <v>#VALUE!</v>
      </c>
      <c r="FK45" t="e">
        <f>AND('Drum - Prod.Crit'!K11,"AAAAAGX//6Y=")</f>
        <v>#VALUE!</v>
      </c>
      <c r="FL45" t="e">
        <f>AND('Drum - Prod.Crit'!L11,"AAAAAGX//6c=")</f>
        <v>#VALUE!</v>
      </c>
      <c r="FM45" t="e">
        <f>AND('Drum - Prod.Crit'!M11,"AAAAAGX//6g=")</f>
        <v>#VALUE!</v>
      </c>
      <c r="FN45" t="e">
        <f>AND('Drum - Prod.Crit'!N11,"AAAAAGX//6k=")</f>
        <v>#VALUE!</v>
      </c>
      <c r="FO45" t="e">
        <f>AND('Drum - Prod.Crit'!O11,"AAAAAGX//6o=")</f>
        <v>#VALUE!</v>
      </c>
      <c r="FP45" t="e">
        <f>AND('Drum - Prod.Crit'!P11,"AAAAAGX//6s=")</f>
        <v>#VALUE!</v>
      </c>
      <c r="FQ45" t="e">
        <f>AND('Drum - Prod.Crit'!Q11,"AAAAAGX//6w=")</f>
        <v>#VALUE!</v>
      </c>
      <c r="FR45" t="e">
        <f>AND('Drum - Prod.Crit'!R11,"AAAAAGX//60=")</f>
        <v>#VALUE!</v>
      </c>
      <c r="FS45" t="e">
        <f>AND('Drum - Prod.Crit'!S11,"AAAAAGX//64=")</f>
        <v>#VALUE!</v>
      </c>
      <c r="FT45" t="e">
        <f>AND('Drum - Prod.Crit'!T11,"AAAAAGX//68=")</f>
        <v>#VALUE!</v>
      </c>
      <c r="FU45" t="e">
        <f>AND('Drum - Prod.Crit'!U11,"AAAAAGX//7A=")</f>
        <v>#VALUE!</v>
      </c>
      <c r="FV45" t="e">
        <f>AND('Drum - Prod.Crit'!V11,"AAAAAGX//7E=")</f>
        <v>#VALUE!</v>
      </c>
      <c r="FW45" t="e">
        <f>AND('Drum - Prod.Crit'!W11,"AAAAAGX//7I=")</f>
        <v>#VALUE!</v>
      </c>
      <c r="FX45">
        <f>IF('Drum - Prod.Crit'!12:12,"AAAAAGX//7M=",0)</f>
        <v>0</v>
      </c>
      <c r="FY45" t="e">
        <f>AND('Drum - Prod.Crit'!A12,"AAAAAGX//7Q=")</f>
        <v>#VALUE!</v>
      </c>
      <c r="FZ45" t="e">
        <f>AND('Drum - Prod.Crit'!B12,"AAAAAGX//7U=")</f>
        <v>#VALUE!</v>
      </c>
      <c r="GA45" t="e">
        <f>AND('Drum - Prod.Crit'!C12,"AAAAAGX//7Y=")</f>
        <v>#VALUE!</v>
      </c>
      <c r="GB45" t="e">
        <f>AND('Drum - Prod.Crit'!#REF!,"AAAAAGX//7c=")</f>
        <v>#REF!</v>
      </c>
      <c r="GC45" t="e">
        <f>AND('Drum - Prod.Crit'!#REF!,"AAAAAGX//7g=")</f>
        <v>#REF!</v>
      </c>
      <c r="GD45" t="e">
        <f>AND('Drum - Prod.Crit'!D12,"AAAAAGX//7k=")</f>
        <v>#VALUE!</v>
      </c>
      <c r="GE45" t="e">
        <f>AND('Drum - Prod.Crit'!E12,"AAAAAGX//7o=")</f>
        <v>#VALUE!</v>
      </c>
      <c r="GF45" t="e">
        <f>AND('Drum - Prod.Crit'!F12,"AAAAAGX//7s=")</f>
        <v>#VALUE!</v>
      </c>
      <c r="GG45" t="e">
        <f>AND('Drum - Prod.Crit'!G12,"AAAAAGX//7w=")</f>
        <v>#VALUE!</v>
      </c>
      <c r="GH45" t="e">
        <f>AND('Drum - Prod.Crit'!H12,"AAAAAGX//70=")</f>
        <v>#VALUE!</v>
      </c>
      <c r="GI45" t="e">
        <f>AND('Drum - Prod.Crit'!I12,"AAAAAGX//74=")</f>
        <v>#VALUE!</v>
      </c>
      <c r="GJ45" t="e">
        <f>AND('Drum - Prod.Crit'!J12,"AAAAAGX//78=")</f>
        <v>#VALUE!</v>
      </c>
      <c r="GK45" t="e">
        <f>AND('Drum - Prod.Crit'!K12,"AAAAAGX//8A=")</f>
        <v>#VALUE!</v>
      </c>
      <c r="GL45" t="e">
        <f>AND('Drum - Prod.Crit'!L12,"AAAAAGX//8E=")</f>
        <v>#VALUE!</v>
      </c>
      <c r="GM45" t="e">
        <f>AND('Drum - Prod.Crit'!M12,"AAAAAGX//8I=")</f>
        <v>#VALUE!</v>
      </c>
      <c r="GN45" t="e">
        <f>AND('Drum - Prod.Crit'!N12,"AAAAAGX//8M=")</f>
        <v>#VALUE!</v>
      </c>
      <c r="GO45" t="e">
        <f>AND('Drum - Prod.Crit'!O12,"AAAAAGX//8Q=")</f>
        <v>#VALUE!</v>
      </c>
      <c r="GP45" t="e">
        <f>AND('Drum - Prod.Crit'!P12,"AAAAAGX//8U=")</f>
        <v>#VALUE!</v>
      </c>
      <c r="GQ45" t="e">
        <f>AND('Drum - Prod.Crit'!Q12,"AAAAAGX//8Y=")</f>
        <v>#VALUE!</v>
      </c>
      <c r="GR45" t="e">
        <f>AND('Drum - Prod.Crit'!R12,"AAAAAGX//8c=")</f>
        <v>#VALUE!</v>
      </c>
      <c r="GS45" t="e">
        <f>AND('Drum - Prod.Crit'!S12,"AAAAAGX//8g=")</f>
        <v>#VALUE!</v>
      </c>
      <c r="GT45" t="e">
        <f>AND('Drum - Prod.Crit'!T12,"AAAAAGX//8k=")</f>
        <v>#VALUE!</v>
      </c>
      <c r="GU45" t="e">
        <f>AND('Drum - Prod.Crit'!U12,"AAAAAGX//8o=")</f>
        <v>#VALUE!</v>
      </c>
      <c r="GV45" t="e">
        <f>AND('Drum - Prod.Crit'!V12,"AAAAAGX//8s=")</f>
        <v>#VALUE!</v>
      </c>
      <c r="GW45" t="e">
        <f>AND('Drum - Prod.Crit'!W12,"AAAAAGX//8w=")</f>
        <v>#VALUE!</v>
      </c>
      <c r="GX45">
        <f>IF('Drum - Prod.Crit'!13:13,"AAAAAGX//80=",0)</f>
        <v>0</v>
      </c>
      <c r="GY45" t="e">
        <f>AND('Drum - Prod.Crit'!A13,"AAAAAGX//84=")</f>
        <v>#VALUE!</v>
      </c>
      <c r="GZ45" t="e">
        <f>AND('Drum - Prod.Crit'!B13,"AAAAAGX//88=")</f>
        <v>#VALUE!</v>
      </c>
      <c r="HA45" t="e">
        <f>AND('Drum - Prod.Crit'!C13,"AAAAAGX//9A=")</f>
        <v>#VALUE!</v>
      </c>
      <c r="HB45" t="e">
        <f>AND('Drum - Prod.Crit'!#REF!,"AAAAAGX//9E=")</f>
        <v>#REF!</v>
      </c>
      <c r="HC45" t="e">
        <f>AND('Drum - Prod.Crit'!#REF!,"AAAAAGX//9I=")</f>
        <v>#REF!</v>
      </c>
      <c r="HD45" t="e">
        <f>AND('Drum - Prod.Crit'!D13,"AAAAAGX//9M=")</f>
        <v>#VALUE!</v>
      </c>
      <c r="HE45" t="e">
        <f>AND('Drum - Prod.Crit'!E13,"AAAAAGX//9Q=")</f>
        <v>#VALUE!</v>
      </c>
      <c r="HF45" t="e">
        <f>AND('Drum - Prod.Crit'!F13,"AAAAAGX//9U=")</f>
        <v>#VALUE!</v>
      </c>
      <c r="HG45" t="e">
        <f>AND('Drum - Prod.Crit'!G13,"AAAAAGX//9Y=")</f>
        <v>#VALUE!</v>
      </c>
      <c r="HH45" t="e">
        <f>AND('Drum - Prod.Crit'!H13,"AAAAAGX//9c=")</f>
        <v>#VALUE!</v>
      </c>
      <c r="HI45" t="e">
        <f>AND('Drum - Prod.Crit'!I13,"AAAAAGX//9g=")</f>
        <v>#VALUE!</v>
      </c>
      <c r="HJ45" t="e">
        <f>AND('Drum - Prod.Crit'!J13,"AAAAAGX//9k=")</f>
        <v>#VALUE!</v>
      </c>
      <c r="HK45" t="e">
        <f>AND('Drum - Prod.Crit'!K13,"AAAAAGX//9o=")</f>
        <v>#VALUE!</v>
      </c>
      <c r="HL45" t="e">
        <f>AND('Drum - Prod.Crit'!L13,"AAAAAGX//9s=")</f>
        <v>#VALUE!</v>
      </c>
      <c r="HM45" t="e">
        <f>AND('Drum - Prod.Crit'!M13,"AAAAAGX//9w=")</f>
        <v>#VALUE!</v>
      </c>
      <c r="HN45" t="e">
        <f>AND('Drum - Prod.Crit'!N13,"AAAAAGX//90=")</f>
        <v>#VALUE!</v>
      </c>
      <c r="HO45" t="e">
        <f>AND('Drum - Prod.Crit'!O13,"AAAAAGX//94=")</f>
        <v>#VALUE!</v>
      </c>
      <c r="HP45" t="e">
        <f>AND('Drum - Prod.Crit'!P13,"AAAAAGX//98=")</f>
        <v>#VALUE!</v>
      </c>
      <c r="HQ45" t="e">
        <f>AND('Drum - Prod.Crit'!Q13,"AAAAAGX//+A=")</f>
        <v>#VALUE!</v>
      </c>
      <c r="HR45" t="e">
        <f>AND('Drum - Prod.Crit'!R13,"AAAAAGX//+E=")</f>
        <v>#VALUE!</v>
      </c>
      <c r="HS45" t="e">
        <f>AND('Drum - Prod.Crit'!S13,"AAAAAGX//+I=")</f>
        <v>#VALUE!</v>
      </c>
      <c r="HT45" t="e">
        <f>AND('Drum - Prod.Crit'!T13,"AAAAAGX//+M=")</f>
        <v>#VALUE!</v>
      </c>
      <c r="HU45" t="e">
        <f>AND('Drum - Prod.Crit'!U13,"AAAAAGX//+Q=")</f>
        <v>#VALUE!</v>
      </c>
      <c r="HV45" t="e">
        <f>AND('Drum - Prod.Crit'!V13,"AAAAAGX//+U=")</f>
        <v>#VALUE!</v>
      </c>
      <c r="HW45" t="e">
        <f>AND('Drum - Prod.Crit'!W13,"AAAAAGX//+Y=")</f>
        <v>#VALUE!</v>
      </c>
      <c r="HX45">
        <f>IF('Drum - Prod.Crit'!14:14,"AAAAAGX//+c=",0)</f>
        <v>0</v>
      </c>
      <c r="HY45" t="e">
        <f>AND('Drum - Prod.Crit'!A14,"AAAAAGX//+g=")</f>
        <v>#VALUE!</v>
      </c>
      <c r="HZ45" t="e">
        <f>AND('Drum - Prod.Crit'!B14,"AAAAAGX//+k=")</f>
        <v>#VALUE!</v>
      </c>
      <c r="IA45" t="e">
        <f>AND('Drum - Prod.Crit'!C14,"AAAAAGX//+o=")</f>
        <v>#VALUE!</v>
      </c>
      <c r="IB45" t="e">
        <f>AND('Drum - Prod.Crit'!#REF!,"AAAAAGX//+s=")</f>
        <v>#REF!</v>
      </c>
      <c r="IC45" t="e">
        <f>AND('Drum - Prod.Crit'!#REF!,"AAAAAGX//+w=")</f>
        <v>#REF!</v>
      </c>
      <c r="ID45" t="e">
        <f>AND('Drum - Prod.Crit'!D14,"AAAAAGX//+0=")</f>
        <v>#VALUE!</v>
      </c>
      <c r="IE45" t="e">
        <f>AND('Drum - Prod.Crit'!E14,"AAAAAGX//+4=")</f>
        <v>#VALUE!</v>
      </c>
      <c r="IF45" t="e">
        <f>AND('Drum - Prod.Crit'!F14,"AAAAAGX//+8=")</f>
        <v>#VALUE!</v>
      </c>
      <c r="IG45" t="e">
        <f>AND('Drum - Prod.Crit'!G14,"AAAAAGX///A=")</f>
        <v>#VALUE!</v>
      </c>
      <c r="IH45" t="e">
        <f>AND('Drum - Prod.Crit'!H14,"AAAAAGX///E=")</f>
        <v>#VALUE!</v>
      </c>
      <c r="II45" t="e">
        <f>AND('Drum - Prod.Crit'!I14,"AAAAAGX///I=")</f>
        <v>#VALUE!</v>
      </c>
      <c r="IJ45" t="e">
        <f>AND('Drum - Prod.Crit'!J14,"AAAAAGX///M=")</f>
        <v>#VALUE!</v>
      </c>
      <c r="IK45" t="e">
        <f>AND('Drum - Prod.Crit'!K14,"AAAAAGX///Q=")</f>
        <v>#VALUE!</v>
      </c>
      <c r="IL45" t="e">
        <f>AND('Drum - Prod.Crit'!L14,"AAAAAGX///U=")</f>
        <v>#VALUE!</v>
      </c>
      <c r="IM45" t="e">
        <f>AND('Drum - Prod.Crit'!M14,"AAAAAGX///Y=")</f>
        <v>#VALUE!</v>
      </c>
      <c r="IN45" t="e">
        <f>AND('Drum - Prod.Crit'!N14,"AAAAAGX///c=")</f>
        <v>#VALUE!</v>
      </c>
      <c r="IO45" t="e">
        <f>AND('Drum - Prod.Crit'!O14,"AAAAAGX///g=")</f>
        <v>#VALUE!</v>
      </c>
      <c r="IP45" t="e">
        <f>AND('Drum - Prod.Crit'!P14,"AAAAAGX///k=")</f>
        <v>#VALUE!</v>
      </c>
      <c r="IQ45" t="e">
        <f>AND('Drum - Prod.Crit'!Q14,"AAAAAGX///o=")</f>
        <v>#VALUE!</v>
      </c>
      <c r="IR45" t="e">
        <f>AND('Drum - Prod.Crit'!R14,"AAAAAGX///s=")</f>
        <v>#VALUE!</v>
      </c>
      <c r="IS45" t="e">
        <f>AND('Drum - Prod.Crit'!S14,"AAAAAGX///w=")</f>
        <v>#VALUE!</v>
      </c>
      <c r="IT45" t="e">
        <f>AND('Drum - Prod.Crit'!T14,"AAAAAGX///0=")</f>
        <v>#VALUE!</v>
      </c>
      <c r="IU45" t="e">
        <f>AND('Drum - Prod.Crit'!U14,"AAAAAGX///4=")</f>
        <v>#VALUE!</v>
      </c>
      <c r="IV45" t="e">
        <f>AND('Drum - Prod.Crit'!V14,"AAAAAGX///8=")</f>
        <v>#VALUE!</v>
      </c>
    </row>
    <row r="46" spans="1:256">
      <c r="A46" t="e">
        <f>AND('Drum - Prod.Crit'!W14,"AAAAAF/NewA=")</f>
        <v>#VALUE!</v>
      </c>
      <c r="B46">
        <f>IF('Drum - Prod.Crit'!15:15,"AAAAAF/NewE=",0)</f>
        <v>0</v>
      </c>
      <c r="C46" t="e">
        <f>AND('Drum - Prod.Crit'!A15,"AAAAAF/NewI=")</f>
        <v>#VALUE!</v>
      </c>
      <c r="D46" t="e">
        <f>AND('Drum - Prod.Crit'!B15,"AAAAAF/NewM=")</f>
        <v>#VALUE!</v>
      </c>
      <c r="E46" t="e">
        <f>AND('Drum - Prod.Crit'!C15,"AAAAAF/NewQ=")</f>
        <v>#VALUE!</v>
      </c>
      <c r="F46" t="e">
        <f>AND('Drum - Prod.Crit'!#REF!,"AAAAAF/NewU=")</f>
        <v>#REF!</v>
      </c>
      <c r="G46" t="e">
        <f>AND('Drum - Prod.Crit'!#REF!,"AAAAAF/NewY=")</f>
        <v>#REF!</v>
      </c>
      <c r="H46" t="e">
        <f>AND('Drum - Prod.Crit'!D15,"AAAAAF/Newc=")</f>
        <v>#VALUE!</v>
      </c>
      <c r="I46" t="e">
        <f>AND('Drum - Prod.Crit'!E15,"AAAAAF/Newg=")</f>
        <v>#VALUE!</v>
      </c>
      <c r="J46" t="e">
        <f>AND('Drum - Prod.Crit'!F15,"AAAAAF/Newk=")</f>
        <v>#VALUE!</v>
      </c>
      <c r="K46" t="e">
        <f>AND('Drum - Prod.Crit'!G15,"AAAAAF/Newo=")</f>
        <v>#VALUE!</v>
      </c>
      <c r="L46" t="e">
        <f>AND('Drum - Prod.Crit'!H15,"AAAAAF/News=")</f>
        <v>#VALUE!</v>
      </c>
      <c r="M46" t="e">
        <f>AND('Drum - Prod.Crit'!I15,"AAAAAF/Neww=")</f>
        <v>#VALUE!</v>
      </c>
      <c r="N46" t="e">
        <f>AND('Drum - Prod.Crit'!J15,"AAAAAF/New0=")</f>
        <v>#VALUE!</v>
      </c>
      <c r="O46" t="e">
        <f>AND('Drum - Prod.Crit'!K15,"AAAAAF/New4=")</f>
        <v>#VALUE!</v>
      </c>
      <c r="P46" t="e">
        <f>AND('Drum - Prod.Crit'!L15,"AAAAAF/New8=")</f>
        <v>#VALUE!</v>
      </c>
      <c r="Q46" t="e">
        <f>AND('Drum - Prod.Crit'!M15,"AAAAAF/NexA=")</f>
        <v>#VALUE!</v>
      </c>
      <c r="R46" t="e">
        <f>AND('Drum - Prod.Crit'!N15,"AAAAAF/NexE=")</f>
        <v>#VALUE!</v>
      </c>
      <c r="S46" t="e">
        <f>AND('Drum - Prod.Crit'!O15,"AAAAAF/NexI=")</f>
        <v>#VALUE!</v>
      </c>
      <c r="T46" t="e">
        <f>AND('Drum - Prod.Crit'!P15,"AAAAAF/NexM=")</f>
        <v>#VALUE!</v>
      </c>
      <c r="U46" t="e">
        <f>AND('Drum - Prod.Crit'!Q15,"AAAAAF/NexQ=")</f>
        <v>#VALUE!</v>
      </c>
      <c r="V46" t="e">
        <f>AND('Drum - Prod.Crit'!R15,"AAAAAF/NexU=")</f>
        <v>#VALUE!</v>
      </c>
      <c r="W46" t="e">
        <f>AND('Drum - Prod.Crit'!S15,"AAAAAF/NexY=")</f>
        <v>#VALUE!</v>
      </c>
      <c r="X46" t="e">
        <f>AND('Drum - Prod.Crit'!T15,"AAAAAF/Nexc=")</f>
        <v>#VALUE!</v>
      </c>
      <c r="Y46" t="e">
        <f>AND('Drum - Prod.Crit'!U15,"AAAAAF/Nexg=")</f>
        <v>#VALUE!</v>
      </c>
      <c r="Z46" t="e">
        <f>AND('Drum - Prod.Crit'!V15,"AAAAAF/Nexk=")</f>
        <v>#VALUE!</v>
      </c>
      <c r="AA46" t="e">
        <f>AND('Drum - Prod.Crit'!W15,"AAAAAF/Nexo=")</f>
        <v>#VALUE!</v>
      </c>
      <c r="AB46">
        <f>IF('Drum - Prod.Crit'!16:16,"AAAAAF/Nexs=",0)</f>
        <v>0</v>
      </c>
      <c r="AC46" t="e">
        <f>AND('Drum - Prod.Crit'!A16,"AAAAAF/Nexw=")</f>
        <v>#VALUE!</v>
      </c>
      <c r="AD46" t="e">
        <f>AND('Drum - Prod.Crit'!B16,"AAAAAF/Nex0=")</f>
        <v>#VALUE!</v>
      </c>
      <c r="AE46" t="e">
        <f>AND('Drum - Prod.Crit'!C16,"AAAAAF/Nex4=")</f>
        <v>#VALUE!</v>
      </c>
      <c r="AF46" t="e">
        <f>AND('Drum - Prod.Crit'!#REF!,"AAAAAF/Nex8=")</f>
        <v>#REF!</v>
      </c>
      <c r="AG46" t="e">
        <f>AND('Drum - Prod.Crit'!#REF!,"AAAAAF/NeyA=")</f>
        <v>#REF!</v>
      </c>
      <c r="AH46" t="e">
        <f>AND('Drum - Prod.Crit'!D16,"AAAAAF/NeyE=")</f>
        <v>#VALUE!</v>
      </c>
      <c r="AI46" t="e">
        <f>AND('Drum - Prod.Crit'!E16,"AAAAAF/NeyI=")</f>
        <v>#VALUE!</v>
      </c>
      <c r="AJ46" t="e">
        <f>AND('Drum - Prod.Crit'!F16,"AAAAAF/NeyM=")</f>
        <v>#VALUE!</v>
      </c>
      <c r="AK46" t="e">
        <f>AND('Drum - Prod.Crit'!G16,"AAAAAF/NeyQ=")</f>
        <v>#VALUE!</v>
      </c>
      <c r="AL46" t="e">
        <f>AND('Drum - Prod.Crit'!H16,"AAAAAF/NeyU=")</f>
        <v>#VALUE!</v>
      </c>
      <c r="AM46" t="e">
        <f>AND('Drum - Prod.Crit'!I16,"AAAAAF/NeyY=")</f>
        <v>#VALUE!</v>
      </c>
      <c r="AN46" t="e">
        <f>AND('Drum - Prod.Crit'!J16,"AAAAAF/Neyc=")</f>
        <v>#VALUE!</v>
      </c>
      <c r="AO46" t="e">
        <f>AND('Drum - Prod.Crit'!K16,"AAAAAF/Neyg=")</f>
        <v>#VALUE!</v>
      </c>
      <c r="AP46" t="e">
        <f>AND('Drum - Prod.Crit'!L16,"AAAAAF/Neyk=")</f>
        <v>#VALUE!</v>
      </c>
      <c r="AQ46" t="e">
        <f>AND('Drum - Prod.Crit'!M16,"AAAAAF/Neyo=")</f>
        <v>#VALUE!</v>
      </c>
      <c r="AR46" t="e">
        <f>AND('Drum - Prod.Crit'!N16,"AAAAAF/Neys=")</f>
        <v>#VALUE!</v>
      </c>
      <c r="AS46" t="e">
        <f>AND('Drum - Prod.Crit'!O16,"AAAAAF/Neyw=")</f>
        <v>#VALUE!</v>
      </c>
      <c r="AT46" t="e">
        <f>AND('Drum - Prod.Crit'!P16,"AAAAAF/Ney0=")</f>
        <v>#VALUE!</v>
      </c>
      <c r="AU46" t="e">
        <f>AND('Drum - Prod.Crit'!Q16,"AAAAAF/Ney4=")</f>
        <v>#VALUE!</v>
      </c>
      <c r="AV46" t="e">
        <f>AND('Drum - Prod.Crit'!R16,"AAAAAF/Ney8=")</f>
        <v>#VALUE!</v>
      </c>
      <c r="AW46" t="e">
        <f>AND('Drum - Prod.Crit'!S16,"AAAAAF/NezA=")</f>
        <v>#VALUE!</v>
      </c>
      <c r="AX46" t="e">
        <f>AND('Drum - Prod.Crit'!T16,"AAAAAF/NezE=")</f>
        <v>#VALUE!</v>
      </c>
      <c r="AY46" t="e">
        <f>AND('Drum - Prod.Crit'!U16,"AAAAAF/NezI=")</f>
        <v>#VALUE!</v>
      </c>
      <c r="AZ46" t="e">
        <f>AND('Drum - Prod.Crit'!V16,"AAAAAF/NezM=")</f>
        <v>#VALUE!</v>
      </c>
      <c r="BA46" t="e">
        <f>AND('Drum - Prod.Crit'!W16,"AAAAAF/NezQ=")</f>
        <v>#VALUE!</v>
      </c>
      <c r="BB46" t="e">
        <f>IF('Drum - Prod.Crit'!#REF!,"AAAAAF/NezU=",0)</f>
        <v>#REF!</v>
      </c>
      <c r="BC46" t="e">
        <f>AND('Drum - Prod.Crit'!#REF!,"AAAAAF/NezY=")</f>
        <v>#REF!</v>
      </c>
      <c r="BD46" t="e">
        <f>AND('Drum - Prod.Crit'!#REF!,"AAAAAF/Nezc=")</f>
        <v>#REF!</v>
      </c>
      <c r="BE46" t="e">
        <f>AND('Drum - Prod.Crit'!#REF!,"AAAAAF/Nezg=")</f>
        <v>#REF!</v>
      </c>
      <c r="BF46" t="e">
        <f>AND('Drum - Prod.Crit'!#REF!,"AAAAAF/Nezk=")</f>
        <v>#REF!</v>
      </c>
      <c r="BG46" t="e">
        <f>AND('Drum - Prod.Crit'!#REF!,"AAAAAF/Nezo=")</f>
        <v>#REF!</v>
      </c>
      <c r="BH46" t="e">
        <f>AND('Drum - Prod.Crit'!#REF!,"AAAAAF/Nezs=")</f>
        <v>#REF!</v>
      </c>
      <c r="BI46" t="e">
        <f>AND('Drum - Prod.Crit'!#REF!,"AAAAAF/Nezw=")</f>
        <v>#REF!</v>
      </c>
      <c r="BJ46" t="e">
        <f>AND('Drum - Prod.Crit'!#REF!,"AAAAAF/Nez0=")</f>
        <v>#REF!</v>
      </c>
      <c r="BK46" t="e">
        <f>AND('Drum - Prod.Crit'!#REF!,"AAAAAF/Nez4=")</f>
        <v>#REF!</v>
      </c>
      <c r="BL46" t="e">
        <f>AND('Drum - Prod.Crit'!#REF!,"AAAAAF/Nez8=")</f>
        <v>#REF!</v>
      </c>
      <c r="BM46" t="e">
        <f>AND('Drum - Prod.Crit'!#REF!,"AAAAAF/Ne0A=")</f>
        <v>#REF!</v>
      </c>
      <c r="BN46" t="e">
        <f>AND('Drum - Prod.Crit'!#REF!,"AAAAAF/Ne0E=")</f>
        <v>#REF!</v>
      </c>
      <c r="BO46" t="e">
        <f>AND('Drum - Prod.Crit'!#REF!,"AAAAAF/Ne0I=")</f>
        <v>#REF!</v>
      </c>
      <c r="BP46" t="e">
        <f>AND('Drum - Prod.Crit'!#REF!,"AAAAAF/Ne0M=")</f>
        <v>#REF!</v>
      </c>
      <c r="BQ46" t="e">
        <f>AND('Drum - Prod.Crit'!#REF!,"AAAAAF/Ne0Q=")</f>
        <v>#REF!</v>
      </c>
      <c r="BR46" t="e">
        <f>AND('Drum - Prod.Crit'!#REF!,"AAAAAF/Ne0U=")</f>
        <v>#REF!</v>
      </c>
      <c r="BS46" t="e">
        <f>AND('Drum - Prod.Crit'!#REF!,"AAAAAF/Ne0Y=")</f>
        <v>#REF!</v>
      </c>
      <c r="BT46" t="e">
        <f>AND('Drum - Prod.Crit'!#REF!,"AAAAAF/Ne0c=")</f>
        <v>#REF!</v>
      </c>
      <c r="BU46" t="e">
        <f>AND('Drum - Prod.Crit'!#REF!,"AAAAAF/Ne0g=")</f>
        <v>#REF!</v>
      </c>
      <c r="BV46" t="e">
        <f>AND('Drum - Prod.Crit'!#REF!,"AAAAAF/Ne0k=")</f>
        <v>#REF!</v>
      </c>
      <c r="BW46" t="e">
        <f>AND('Drum - Prod.Crit'!#REF!,"AAAAAF/Ne0o=")</f>
        <v>#REF!</v>
      </c>
      <c r="BX46" t="e">
        <f>AND('Drum - Prod.Crit'!#REF!,"AAAAAF/Ne0s=")</f>
        <v>#REF!</v>
      </c>
      <c r="BY46" t="e">
        <f>AND('Drum - Prod.Crit'!#REF!,"AAAAAF/Ne0w=")</f>
        <v>#REF!</v>
      </c>
      <c r="BZ46" t="e">
        <f>AND('Drum - Prod.Crit'!#REF!,"AAAAAF/Ne00=")</f>
        <v>#REF!</v>
      </c>
      <c r="CA46" t="e">
        <f>AND('Drum - Prod.Crit'!#REF!,"AAAAAF/Ne04=")</f>
        <v>#REF!</v>
      </c>
      <c r="CB46">
        <f>IF('Drum - Prod.Crit'!17:17,"AAAAAF/Ne08=",0)</f>
        <v>0</v>
      </c>
      <c r="CC46" t="e">
        <f>AND('Drum - Prod.Crit'!A17,"AAAAAF/Ne1A=")</f>
        <v>#VALUE!</v>
      </c>
      <c r="CD46" t="e">
        <f>AND('Drum - Prod.Crit'!B17,"AAAAAF/Ne1E=")</f>
        <v>#VALUE!</v>
      </c>
      <c r="CE46" t="e">
        <f>AND('Drum - Prod.Crit'!C17,"AAAAAF/Ne1I=")</f>
        <v>#VALUE!</v>
      </c>
      <c r="CF46" t="e">
        <f>AND('Drum - Prod.Crit'!D17,"AAAAAF/Ne1M=")</f>
        <v>#VALUE!</v>
      </c>
      <c r="CG46" t="e">
        <f>AND('Drum - Prod.Crit'!E17,"AAAAAF/Ne1Q=")</f>
        <v>#VALUE!</v>
      </c>
      <c r="CH46" t="e">
        <f>AND('Drum - Prod.Crit'!F17,"AAAAAF/Ne1U=")</f>
        <v>#VALUE!</v>
      </c>
      <c r="CI46" t="e">
        <f>AND('Drum - Prod.Crit'!G17,"AAAAAF/Ne1Y=")</f>
        <v>#VALUE!</v>
      </c>
      <c r="CJ46" t="e">
        <f>AND('Drum - Prod.Crit'!H17,"AAAAAF/Ne1c=")</f>
        <v>#VALUE!</v>
      </c>
      <c r="CK46" t="e">
        <f>AND('Drum - Prod.Crit'!I17,"AAAAAF/Ne1g=")</f>
        <v>#VALUE!</v>
      </c>
      <c r="CL46" t="e">
        <f>AND('Drum - Prod.Crit'!J17,"AAAAAF/Ne1k=")</f>
        <v>#VALUE!</v>
      </c>
      <c r="CM46" t="e">
        <f>AND('Drum - Prod.Crit'!K17,"AAAAAF/Ne1o=")</f>
        <v>#VALUE!</v>
      </c>
      <c r="CN46" t="e">
        <f>AND('Drum - Prod.Crit'!L17,"AAAAAF/Ne1s=")</f>
        <v>#VALUE!</v>
      </c>
      <c r="CO46" t="e">
        <f>AND('Drum - Prod.Crit'!M17,"AAAAAF/Ne1w=")</f>
        <v>#VALUE!</v>
      </c>
      <c r="CP46" t="e">
        <f>AND('Drum - Prod.Crit'!N17,"AAAAAF/Ne10=")</f>
        <v>#VALUE!</v>
      </c>
      <c r="CQ46" t="e">
        <f>AND('Drum - Prod.Crit'!O17,"AAAAAF/Ne14=")</f>
        <v>#VALUE!</v>
      </c>
      <c r="CR46" t="e">
        <f>AND('Drum - Prod.Crit'!P17,"AAAAAF/Ne18=")</f>
        <v>#VALUE!</v>
      </c>
      <c r="CS46" t="e">
        <f>AND('Drum - Prod.Crit'!Q17,"AAAAAF/Ne2A=")</f>
        <v>#VALUE!</v>
      </c>
      <c r="CT46" t="e">
        <f>AND('Drum - Prod.Crit'!R17,"AAAAAF/Ne2E=")</f>
        <v>#VALUE!</v>
      </c>
      <c r="CU46" t="e">
        <f>AND('Drum - Prod.Crit'!S17,"AAAAAF/Ne2I=")</f>
        <v>#VALUE!</v>
      </c>
      <c r="CV46" t="e">
        <f>AND('Drum - Prod.Crit'!T17,"AAAAAF/Ne2M=")</f>
        <v>#VALUE!</v>
      </c>
      <c r="CW46" t="e">
        <f>AND('Drum - Prod.Crit'!U17,"AAAAAF/Ne2Q=")</f>
        <v>#VALUE!</v>
      </c>
      <c r="CX46" t="e">
        <f>AND('Drum - Prod.Crit'!V17,"AAAAAF/Ne2U=")</f>
        <v>#VALUE!</v>
      </c>
      <c r="CY46" t="e">
        <f>AND('Drum - Prod.Crit'!W17,"AAAAAF/Ne2Y=")</f>
        <v>#VALUE!</v>
      </c>
      <c r="CZ46" t="e">
        <f>AND('Drum - Prod.Crit'!X17,"AAAAAF/Ne2c=")</f>
        <v>#VALUE!</v>
      </c>
      <c r="DA46" t="e">
        <f>AND('Drum - Prod.Crit'!Y17,"AAAAAF/Ne2g=")</f>
        <v>#VALUE!</v>
      </c>
      <c r="DB46">
        <f>IF('Drum - Prod.Crit'!19:19,"AAAAAF/Ne2k=",0)</f>
        <v>0</v>
      </c>
      <c r="DC46" t="e">
        <f>AND('Drum - Prod.Crit'!#REF!,"AAAAAF/Ne2o=")</f>
        <v>#REF!</v>
      </c>
      <c r="DD46" t="e">
        <f>AND('Drum - Prod.Crit'!#REF!,"AAAAAF/Ne2s=")</f>
        <v>#REF!</v>
      </c>
      <c r="DE46" t="e">
        <f>AND('Drum - Prod.Crit'!#REF!,"AAAAAF/Ne2w=")</f>
        <v>#REF!</v>
      </c>
      <c r="DF46" t="e">
        <f>AND('Drum - Prod.Crit'!#REF!,"AAAAAF/Ne20=")</f>
        <v>#REF!</v>
      </c>
      <c r="DG46" t="e">
        <f>AND('Drum - Prod.Crit'!#REF!,"AAAAAF/Ne24=")</f>
        <v>#REF!</v>
      </c>
      <c r="DH46" t="e">
        <f>AND('Drum - Prod.Crit'!B19,"AAAAAF/Ne28=")</f>
        <v>#VALUE!</v>
      </c>
      <c r="DI46" t="e">
        <f>AND('Drum - Prod.Crit'!C19,"AAAAAF/Ne3A=")</f>
        <v>#VALUE!</v>
      </c>
      <c r="DJ46" t="e">
        <f>AND('Drum - Prod.Crit'!D19,"AAAAAF/Ne3E=")</f>
        <v>#VALUE!</v>
      </c>
      <c r="DK46" t="e">
        <f>AND('Drum - Prod.Crit'!E19,"AAAAAF/Ne3I=")</f>
        <v>#VALUE!</v>
      </c>
      <c r="DL46" t="e">
        <f>AND('Drum - Prod.Crit'!F19,"AAAAAF/Ne3M=")</f>
        <v>#VALUE!</v>
      </c>
      <c r="DM46" t="e">
        <f>AND('Drum - Prod.Crit'!G19,"AAAAAF/Ne3Q=")</f>
        <v>#VALUE!</v>
      </c>
      <c r="DN46" t="e">
        <f>AND('Drum - Prod.Crit'!H19,"AAAAAF/Ne3U=")</f>
        <v>#VALUE!</v>
      </c>
      <c r="DO46" t="e">
        <f>AND('Drum - Prod.Crit'!I19,"AAAAAF/Ne3Y=")</f>
        <v>#VALUE!</v>
      </c>
      <c r="DP46" t="e">
        <f>AND('Drum - Prod.Crit'!J19,"AAAAAF/Ne3c=")</f>
        <v>#VALUE!</v>
      </c>
      <c r="DQ46" t="e">
        <f>AND('Drum - Prod.Crit'!K19,"AAAAAF/Ne3g=")</f>
        <v>#VALUE!</v>
      </c>
      <c r="DR46" t="e">
        <f>AND('Drum - Prod.Crit'!L19,"AAAAAF/Ne3k=")</f>
        <v>#VALUE!</v>
      </c>
      <c r="DS46" t="e">
        <f>AND('Drum - Prod.Crit'!M19,"AAAAAF/Ne3o=")</f>
        <v>#VALUE!</v>
      </c>
      <c r="DT46" t="e">
        <f>AND('Drum - Prod.Crit'!N19,"AAAAAF/Ne3s=")</f>
        <v>#VALUE!</v>
      </c>
      <c r="DU46" t="e">
        <f>AND('Drum - Prod.Crit'!O19,"AAAAAF/Ne3w=")</f>
        <v>#VALUE!</v>
      </c>
      <c r="DV46" t="e">
        <f>AND('Drum - Prod.Crit'!P19,"AAAAAF/Ne30=")</f>
        <v>#VALUE!</v>
      </c>
      <c r="DW46" t="e">
        <f>AND('Drum - Prod.Crit'!Q19,"AAAAAF/Ne34=")</f>
        <v>#VALUE!</v>
      </c>
      <c r="DX46" t="e">
        <f>AND('Drum - Prod.Crit'!R19,"AAAAAF/Ne38=")</f>
        <v>#VALUE!</v>
      </c>
      <c r="DY46" t="e">
        <f>AND('Drum - Prod.Crit'!S19,"AAAAAF/Ne4A=")</f>
        <v>#VALUE!</v>
      </c>
      <c r="DZ46" t="e">
        <f>AND('Drum - Prod.Crit'!T19,"AAAAAF/Ne4E=")</f>
        <v>#VALUE!</v>
      </c>
      <c r="EA46" t="e">
        <f>AND('Drum - Prod.Crit'!U19,"AAAAAF/Ne4I=")</f>
        <v>#VALUE!</v>
      </c>
      <c r="EB46" t="e">
        <f>IF('Drum - Prod.Crit'!#REF!,"AAAAAF/Ne4M=",0)</f>
        <v>#REF!</v>
      </c>
      <c r="EC46" t="e">
        <f>AND('Drum - Prod.Crit'!A19,"AAAAAF/Ne4Q=")</f>
        <v>#VALUE!</v>
      </c>
      <c r="ED46" t="e">
        <f>AND('Drum - Prod.Crit'!#REF!,"AAAAAF/Ne4U=")</f>
        <v>#REF!</v>
      </c>
      <c r="EE46" t="e">
        <f>AND('Drum - Prod.Crit'!#REF!,"AAAAAF/Ne4Y=")</f>
        <v>#REF!</v>
      </c>
      <c r="EF46" t="e">
        <f>AND('Drum - Prod.Crit'!#REF!,"AAAAAF/Ne4c=")</f>
        <v>#REF!</v>
      </c>
      <c r="EG46" t="e">
        <f>AND('Drum - Prod.Crit'!#REF!,"AAAAAF/Ne4g=")</f>
        <v>#REF!</v>
      </c>
      <c r="EH46" t="e">
        <f>AND('Drum - Prod.Crit'!#REF!,"AAAAAF/Ne4k=")</f>
        <v>#REF!</v>
      </c>
      <c r="EI46" t="e">
        <f>AND('Drum - Prod.Crit'!#REF!,"AAAAAF/Ne4o=")</f>
        <v>#REF!</v>
      </c>
      <c r="EJ46" t="e">
        <f>AND('Drum - Prod.Crit'!#REF!,"AAAAAF/Ne4s=")</f>
        <v>#REF!</v>
      </c>
      <c r="EK46" t="e">
        <f>AND('Drum - Prod.Crit'!#REF!,"AAAAAF/Ne4w=")</f>
        <v>#REF!</v>
      </c>
      <c r="EL46" t="e">
        <f>AND('Drum - Prod.Crit'!#REF!,"AAAAAF/Ne40=")</f>
        <v>#REF!</v>
      </c>
      <c r="EM46" t="e">
        <f>AND('Drum - Prod.Crit'!#REF!,"AAAAAF/Ne44=")</f>
        <v>#REF!</v>
      </c>
      <c r="EN46" t="e">
        <f>AND('Drum - Prod.Crit'!#REF!,"AAAAAF/Ne48=")</f>
        <v>#REF!</v>
      </c>
      <c r="EO46" t="e">
        <f>AND('Drum - Prod.Crit'!#REF!,"AAAAAF/Ne5A=")</f>
        <v>#REF!</v>
      </c>
      <c r="EP46" t="e">
        <f>AND('Drum - Prod.Crit'!#REF!,"AAAAAF/Ne5E=")</f>
        <v>#REF!</v>
      </c>
      <c r="EQ46" t="e">
        <f>AND('Drum - Prod.Crit'!#REF!,"AAAAAF/Ne5I=")</f>
        <v>#REF!</v>
      </c>
      <c r="ER46" t="e">
        <f>AND('Drum - Prod.Crit'!#REF!,"AAAAAF/Ne5M=")</f>
        <v>#REF!</v>
      </c>
      <c r="ES46" t="e">
        <f>AND('Drum - Prod.Crit'!#REF!,"AAAAAF/Ne5Q=")</f>
        <v>#REF!</v>
      </c>
      <c r="ET46" t="e">
        <f>AND('Drum - Prod.Crit'!#REF!,"AAAAAF/Ne5U=")</f>
        <v>#REF!</v>
      </c>
      <c r="EU46" t="e">
        <f>AND('Drum - Prod.Crit'!#REF!,"AAAAAF/Ne5Y=")</f>
        <v>#REF!</v>
      </c>
      <c r="EV46" t="e">
        <f>AND('Drum - Prod.Crit'!#REF!,"AAAAAF/Ne5c=")</f>
        <v>#REF!</v>
      </c>
      <c r="EW46" t="e">
        <f>AND('Drum - Prod.Crit'!#REF!,"AAAAAF/Ne5g=")</f>
        <v>#REF!</v>
      </c>
      <c r="EX46" t="e">
        <f>AND('Drum - Prod.Crit'!#REF!,"AAAAAF/Ne5k=")</f>
        <v>#REF!</v>
      </c>
      <c r="EY46" t="e">
        <f>AND('Drum - Prod.Crit'!#REF!,"AAAAAF/Ne5o=")</f>
        <v>#REF!</v>
      </c>
      <c r="EZ46" t="e">
        <f>AND('Drum - Prod.Crit'!#REF!,"AAAAAF/Ne5s=")</f>
        <v>#REF!</v>
      </c>
      <c r="FA46" t="e">
        <f>AND('Drum - Prod.Crit'!#REF!,"AAAAAF/Ne5w=")</f>
        <v>#REF!</v>
      </c>
      <c r="FB46">
        <f>IF('Drum - Prod.Crit'!20:20,"AAAAAF/Ne50=",0)</f>
        <v>0</v>
      </c>
      <c r="FC46" t="e">
        <f>AND('Drum - Prod.Crit'!#REF!,"AAAAAF/Ne54=")</f>
        <v>#REF!</v>
      </c>
      <c r="FD46" t="e">
        <f>AND('Drum - Prod.Crit'!#REF!,"AAAAAF/Ne58=")</f>
        <v>#REF!</v>
      </c>
      <c r="FE46" t="e">
        <f>AND('Drum - Prod.Crit'!#REF!,"AAAAAF/Ne6A=")</f>
        <v>#REF!</v>
      </c>
      <c r="FF46" t="e">
        <f>AND('Drum - Prod.Crit'!#REF!,"AAAAAF/Ne6E=")</f>
        <v>#REF!</v>
      </c>
      <c r="FG46" t="e">
        <f>AND('Drum - Prod.Crit'!#REF!,"AAAAAF/Ne6I=")</f>
        <v>#REF!</v>
      </c>
      <c r="FH46" t="e">
        <f>AND('Drum - Prod.Crit'!B20,"AAAAAF/Ne6M=")</f>
        <v>#VALUE!</v>
      </c>
      <c r="FI46" t="e">
        <f>AND('Drum - Prod.Crit'!C20,"AAAAAF/Ne6Q=")</f>
        <v>#VALUE!</v>
      </c>
      <c r="FJ46" t="e">
        <f>AND('Drum - Prod.Crit'!D20,"AAAAAF/Ne6U=")</f>
        <v>#VALUE!</v>
      </c>
      <c r="FK46" t="e">
        <f>AND('Drum - Prod.Crit'!E20,"AAAAAF/Ne6Y=")</f>
        <v>#VALUE!</v>
      </c>
      <c r="FL46" t="e">
        <f>AND('Drum - Prod.Crit'!F20,"AAAAAF/Ne6c=")</f>
        <v>#VALUE!</v>
      </c>
      <c r="FM46" t="e">
        <f>AND('Drum - Prod.Crit'!G20,"AAAAAF/Ne6g=")</f>
        <v>#VALUE!</v>
      </c>
      <c r="FN46" t="e">
        <f>AND('Drum - Prod.Crit'!H20,"AAAAAF/Ne6k=")</f>
        <v>#VALUE!</v>
      </c>
      <c r="FO46" t="e">
        <f>AND('Drum - Prod.Crit'!I20,"AAAAAF/Ne6o=")</f>
        <v>#VALUE!</v>
      </c>
      <c r="FP46" t="e">
        <f>AND('Drum - Prod.Crit'!J20,"AAAAAF/Ne6s=")</f>
        <v>#VALUE!</v>
      </c>
      <c r="FQ46" t="e">
        <f>AND('Drum - Prod.Crit'!K20,"AAAAAF/Ne6w=")</f>
        <v>#VALUE!</v>
      </c>
      <c r="FR46" t="e">
        <f>AND('Drum - Prod.Crit'!L20,"AAAAAF/Ne60=")</f>
        <v>#VALUE!</v>
      </c>
      <c r="FS46" t="e">
        <f>AND('Drum - Prod.Crit'!M20,"AAAAAF/Ne64=")</f>
        <v>#VALUE!</v>
      </c>
      <c r="FT46" t="e">
        <f>AND('Drum - Prod.Crit'!N20,"AAAAAF/Ne68=")</f>
        <v>#VALUE!</v>
      </c>
      <c r="FU46" t="e">
        <f>AND('Drum - Prod.Crit'!O20,"AAAAAF/Ne7A=")</f>
        <v>#VALUE!</v>
      </c>
      <c r="FV46" t="e">
        <f>AND('Drum - Prod.Crit'!P20,"AAAAAF/Ne7E=")</f>
        <v>#VALUE!</v>
      </c>
      <c r="FW46" t="e">
        <f>AND('Drum - Prod.Crit'!Q20,"AAAAAF/Ne7I=")</f>
        <v>#VALUE!</v>
      </c>
      <c r="FX46" t="e">
        <f>AND('Drum - Prod.Crit'!R20,"AAAAAF/Ne7M=")</f>
        <v>#VALUE!</v>
      </c>
      <c r="FY46" t="e">
        <f>AND('Drum - Prod.Crit'!S20,"AAAAAF/Ne7Q=")</f>
        <v>#VALUE!</v>
      </c>
      <c r="FZ46" t="e">
        <f>AND('Drum - Prod.Crit'!T20,"AAAAAF/Ne7U=")</f>
        <v>#VALUE!</v>
      </c>
      <c r="GA46" t="e">
        <f>AND('Drum - Prod.Crit'!U20,"AAAAAF/Ne7Y=")</f>
        <v>#VALUE!</v>
      </c>
      <c r="GB46">
        <f>IF('Drum - Prod.Crit'!21:21,"AAAAAF/Ne7c=",0)</f>
        <v>0</v>
      </c>
      <c r="GC46" t="e">
        <f>AND('Drum - Prod.Crit'!A21,"AAAAAF/Ne7g=")</f>
        <v>#VALUE!</v>
      </c>
      <c r="GD46" t="e">
        <f>AND('Drum - Prod.Crit'!#REF!,"AAAAAF/Ne7k=")</f>
        <v>#REF!</v>
      </c>
      <c r="GE46" t="e">
        <f>AND('Drum - Prod.Crit'!#REF!,"AAAAAF/Ne7o=")</f>
        <v>#REF!</v>
      </c>
      <c r="GF46" t="e">
        <f>AND('Drum - Prod.Crit'!#REF!,"AAAAAF/Ne7s=")</f>
        <v>#REF!</v>
      </c>
      <c r="GG46" t="e">
        <f>AND('Drum - Prod.Crit'!#REF!,"AAAAAF/Ne7w=")</f>
        <v>#REF!</v>
      </c>
      <c r="GH46" t="e">
        <f>AND('Drum - Prod.Crit'!B21,"AAAAAF/Ne70=")</f>
        <v>#VALUE!</v>
      </c>
      <c r="GI46" t="e">
        <f>AND('Drum - Prod.Crit'!C21,"AAAAAF/Ne74=")</f>
        <v>#VALUE!</v>
      </c>
      <c r="GJ46" t="e">
        <f>AND('Drum - Prod.Crit'!D21,"AAAAAF/Ne78=")</f>
        <v>#VALUE!</v>
      </c>
      <c r="GK46" t="e">
        <f>AND('Drum - Prod.Crit'!E21,"AAAAAF/Ne8A=")</f>
        <v>#VALUE!</v>
      </c>
      <c r="GL46" t="e">
        <f>AND('Drum - Prod.Crit'!F21,"AAAAAF/Ne8E=")</f>
        <v>#VALUE!</v>
      </c>
      <c r="GM46" t="e">
        <f>AND('Drum - Prod.Crit'!G21,"AAAAAF/Ne8I=")</f>
        <v>#VALUE!</v>
      </c>
      <c r="GN46" t="e">
        <f>AND('Drum - Prod.Crit'!H21,"AAAAAF/Ne8M=")</f>
        <v>#VALUE!</v>
      </c>
      <c r="GO46" t="e">
        <f>AND('Drum - Prod.Crit'!I21,"AAAAAF/Ne8Q=")</f>
        <v>#VALUE!</v>
      </c>
      <c r="GP46" t="e">
        <f>AND('Drum - Prod.Crit'!J21,"AAAAAF/Ne8U=")</f>
        <v>#VALUE!</v>
      </c>
      <c r="GQ46" t="e">
        <f>AND('Drum - Prod.Crit'!K21,"AAAAAF/Ne8Y=")</f>
        <v>#VALUE!</v>
      </c>
      <c r="GR46" t="e">
        <f>AND('Drum - Prod.Crit'!L21,"AAAAAF/Ne8c=")</f>
        <v>#VALUE!</v>
      </c>
      <c r="GS46" t="e">
        <f>AND('Drum - Prod.Crit'!M21,"AAAAAF/Ne8g=")</f>
        <v>#VALUE!</v>
      </c>
      <c r="GT46" t="e">
        <f>AND('Drum - Prod.Crit'!N21,"AAAAAF/Ne8k=")</f>
        <v>#VALUE!</v>
      </c>
      <c r="GU46" t="e">
        <f>AND('Drum - Prod.Crit'!O21,"AAAAAF/Ne8o=")</f>
        <v>#VALUE!</v>
      </c>
      <c r="GV46" t="e">
        <f>AND('Drum - Prod.Crit'!P21,"AAAAAF/Ne8s=")</f>
        <v>#VALUE!</v>
      </c>
      <c r="GW46" t="e">
        <f>AND('Drum - Prod.Crit'!Q21,"AAAAAF/Ne8w=")</f>
        <v>#VALUE!</v>
      </c>
      <c r="GX46" t="e">
        <f>AND('Drum - Prod.Crit'!R21,"AAAAAF/Ne80=")</f>
        <v>#VALUE!</v>
      </c>
      <c r="GY46" t="e">
        <f>AND('Drum - Prod.Crit'!S21,"AAAAAF/Ne84=")</f>
        <v>#VALUE!</v>
      </c>
      <c r="GZ46" t="e">
        <f>AND('Drum - Prod.Crit'!T21,"AAAAAF/Ne88=")</f>
        <v>#VALUE!</v>
      </c>
      <c r="HA46" t="e">
        <f>AND('Drum - Prod.Crit'!U21,"AAAAAF/Ne9A=")</f>
        <v>#VALUE!</v>
      </c>
      <c r="HB46">
        <f>IF('Drum - Prod.Crit'!22:22,"AAAAAF/Ne9E=",0)</f>
        <v>0</v>
      </c>
      <c r="HC46" t="e">
        <f>AND('Drum - Prod.Crit'!A22,"AAAAAF/Ne9I=")</f>
        <v>#VALUE!</v>
      </c>
      <c r="HD46" t="e">
        <f>AND('Drum - Prod.Crit'!#REF!,"AAAAAF/Ne9M=")</f>
        <v>#REF!</v>
      </c>
      <c r="HE46" t="e">
        <f>AND('Drum - Prod.Crit'!#REF!,"AAAAAF/Ne9Q=")</f>
        <v>#REF!</v>
      </c>
      <c r="HF46" t="e">
        <f>AND('Drum - Prod.Crit'!#REF!,"AAAAAF/Ne9U=")</f>
        <v>#REF!</v>
      </c>
      <c r="HG46" t="e">
        <f>AND('Drum - Prod.Crit'!#REF!,"AAAAAF/Ne9Y=")</f>
        <v>#REF!</v>
      </c>
      <c r="HH46" t="e">
        <f>AND('Drum - Prod.Crit'!B22,"AAAAAF/Ne9c=")</f>
        <v>#VALUE!</v>
      </c>
      <c r="HI46" t="e">
        <f>AND('Drum - Prod.Crit'!C22,"AAAAAF/Ne9g=")</f>
        <v>#VALUE!</v>
      </c>
      <c r="HJ46" t="e">
        <f>AND('Drum - Prod.Crit'!D22,"AAAAAF/Ne9k=")</f>
        <v>#VALUE!</v>
      </c>
      <c r="HK46" t="e">
        <f>AND('Drum - Prod.Crit'!E22,"AAAAAF/Ne9o=")</f>
        <v>#VALUE!</v>
      </c>
      <c r="HL46" t="e">
        <f>AND('Drum - Prod.Crit'!F22,"AAAAAF/Ne9s=")</f>
        <v>#VALUE!</v>
      </c>
      <c r="HM46" t="e">
        <f>AND('Drum - Prod.Crit'!G22,"AAAAAF/Ne9w=")</f>
        <v>#VALUE!</v>
      </c>
      <c r="HN46" t="e">
        <f>AND('Drum - Prod.Crit'!H22,"AAAAAF/Ne90=")</f>
        <v>#VALUE!</v>
      </c>
      <c r="HO46" t="e">
        <f>AND('Drum - Prod.Crit'!I22,"AAAAAF/Ne94=")</f>
        <v>#VALUE!</v>
      </c>
      <c r="HP46" t="e">
        <f>AND('Drum - Prod.Crit'!J22,"AAAAAF/Ne98=")</f>
        <v>#VALUE!</v>
      </c>
      <c r="HQ46" t="e">
        <f>AND('Drum - Prod.Crit'!K22,"AAAAAF/Ne+A=")</f>
        <v>#VALUE!</v>
      </c>
      <c r="HR46" t="e">
        <f>AND('Drum - Prod.Crit'!L22,"AAAAAF/Ne+E=")</f>
        <v>#VALUE!</v>
      </c>
      <c r="HS46" t="e">
        <f>AND('Drum - Prod.Crit'!M22,"AAAAAF/Ne+I=")</f>
        <v>#VALUE!</v>
      </c>
      <c r="HT46" t="e">
        <f>AND('Drum - Prod.Crit'!N22,"AAAAAF/Ne+M=")</f>
        <v>#VALUE!</v>
      </c>
      <c r="HU46" t="e">
        <f>AND('Drum - Prod.Crit'!O22,"AAAAAF/Ne+Q=")</f>
        <v>#VALUE!</v>
      </c>
      <c r="HV46" t="e">
        <f>AND('Drum - Prod.Crit'!P22,"AAAAAF/Ne+U=")</f>
        <v>#VALUE!</v>
      </c>
      <c r="HW46" t="e">
        <f>AND('Drum - Prod.Crit'!Q22,"AAAAAF/Ne+Y=")</f>
        <v>#VALUE!</v>
      </c>
      <c r="HX46" t="e">
        <f>AND('Drum - Prod.Crit'!R22,"AAAAAF/Ne+c=")</f>
        <v>#VALUE!</v>
      </c>
      <c r="HY46" t="e">
        <f>AND('Drum - Prod.Crit'!S22,"AAAAAF/Ne+g=")</f>
        <v>#VALUE!</v>
      </c>
      <c r="HZ46" t="e">
        <f>AND('Drum - Prod.Crit'!T22,"AAAAAF/Ne+k=")</f>
        <v>#VALUE!</v>
      </c>
      <c r="IA46" t="e">
        <f>AND('Drum - Prod.Crit'!U22,"AAAAAF/Ne+o=")</f>
        <v>#VALUE!</v>
      </c>
      <c r="IB46">
        <f>IF('Drum - Prod.Crit'!23:23,"AAAAAF/Ne+s=",0)</f>
        <v>0</v>
      </c>
      <c r="IC46" t="e">
        <f>AND('Drum - Prod.Crit'!A23,"AAAAAF/Ne+w=")</f>
        <v>#VALUE!</v>
      </c>
      <c r="ID46" t="e">
        <f>AND('Drum - Prod.Crit'!#REF!,"AAAAAF/Ne+0=")</f>
        <v>#REF!</v>
      </c>
      <c r="IE46" t="e">
        <f>AND('Drum - Prod.Crit'!#REF!,"AAAAAF/Ne+4=")</f>
        <v>#REF!</v>
      </c>
      <c r="IF46" t="e">
        <f>AND('Drum - Prod.Crit'!#REF!,"AAAAAF/Ne+8=")</f>
        <v>#REF!</v>
      </c>
      <c r="IG46" t="e">
        <f>AND('Drum - Prod.Crit'!#REF!,"AAAAAF/Ne/A=")</f>
        <v>#REF!</v>
      </c>
      <c r="IH46" t="e">
        <f>AND('Drum - Prod.Crit'!B23,"AAAAAF/Ne/E=")</f>
        <v>#VALUE!</v>
      </c>
      <c r="II46" t="e">
        <f>AND('Drum - Prod.Crit'!C23,"AAAAAF/Ne/I=")</f>
        <v>#VALUE!</v>
      </c>
      <c r="IJ46" t="e">
        <f>AND('Drum - Prod.Crit'!D23,"AAAAAF/Ne/M=")</f>
        <v>#VALUE!</v>
      </c>
      <c r="IK46" t="e">
        <f>AND('Drum - Prod.Crit'!E23,"AAAAAF/Ne/Q=")</f>
        <v>#VALUE!</v>
      </c>
      <c r="IL46" t="e">
        <f>AND('Drum - Prod.Crit'!F23,"AAAAAF/Ne/U=")</f>
        <v>#VALUE!</v>
      </c>
      <c r="IM46" t="e">
        <f>AND('Drum - Prod.Crit'!G23,"AAAAAF/Ne/Y=")</f>
        <v>#VALUE!</v>
      </c>
      <c r="IN46" t="e">
        <f>AND('Drum - Prod.Crit'!H23,"AAAAAF/Ne/c=")</f>
        <v>#VALUE!</v>
      </c>
      <c r="IO46" t="e">
        <f>AND('Drum - Prod.Crit'!I23,"AAAAAF/Ne/g=")</f>
        <v>#VALUE!</v>
      </c>
      <c r="IP46" t="e">
        <f>AND('Drum - Prod.Crit'!J23,"AAAAAF/Ne/k=")</f>
        <v>#VALUE!</v>
      </c>
      <c r="IQ46" t="e">
        <f>AND('Drum - Prod.Crit'!K23,"AAAAAF/Ne/o=")</f>
        <v>#VALUE!</v>
      </c>
      <c r="IR46" t="e">
        <f>AND('Drum - Prod.Crit'!L23,"AAAAAF/Ne/s=")</f>
        <v>#VALUE!</v>
      </c>
      <c r="IS46" t="e">
        <f>AND('Drum - Prod.Crit'!M23,"AAAAAF/Ne/w=")</f>
        <v>#VALUE!</v>
      </c>
      <c r="IT46" t="e">
        <f>AND('Drum - Prod.Crit'!N23,"AAAAAF/Ne/0=")</f>
        <v>#VALUE!</v>
      </c>
      <c r="IU46" t="e">
        <f>AND('Drum - Prod.Crit'!O23,"AAAAAF/Ne/4=")</f>
        <v>#VALUE!</v>
      </c>
      <c r="IV46" t="e">
        <f>AND('Drum - Prod.Crit'!P23,"AAAAAF/Ne/8=")</f>
        <v>#VALUE!</v>
      </c>
    </row>
    <row r="47" spans="1:256">
      <c r="A47" t="e">
        <f>AND('Drum - Prod.Crit'!Q23,"AAAAADV/vwA=")</f>
        <v>#VALUE!</v>
      </c>
      <c r="B47" t="e">
        <f>AND('Drum - Prod.Crit'!R23,"AAAAADV/vwE=")</f>
        <v>#VALUE!</v>
      </c>
      <c r="C47" t="e">
        <f>AND('Drum - Prod.Crit'!S23,"AAAAADV/vwI=")</f>
        <v>#VALUE!</v>
      </c>
      <c r="D47" t="e">
        <f>AND('Drum - Prod.Crit'!T23,"AAAAADV/vwM=")</f>
        <v>#VALUE!</v>
      </c>
      <c r="E47" t="e">
        <f>AND('Drum - Prod.Crit'!U23,"AAAAADV/vwQ=")</f>
        <v>#VALUE!</v>
      </c>
      <c r="F47">
        <f>IF('Drum - Prod.Crit'!24:24,"AAAAADV/vwU=",0)</f>
        <v>0</v>
      </c>
      <c r="G47" t="e">
        <f>AND('Drum - Prod.Crit'!A24,"AAAAADV/vwY=")</f>
        <v>#VALUE!</v>
      </c>
      <c r="H47" t="e">
        <f>AND('Drum - Prod.Crit'!B24,"AAAAADV/vwc=")</f>
        <v>#VALUE!</v>
      </c>
      <c r="I47" t="e">
        <f>AND('Drum - Prod.Crit'!C24,"AAAAADV/vwg=")</f>
        <v>#VALUE!</v>
      </c>
      <c r="J47" t="e">
        <f>AND('Drum - Prod.Crit'!D24,"AAAAADV/vwk=")</f>
        <v>#VALUE!</v>
      </c>
      <c r="K47" t="e">
        <f>AND('Drum - Prod.Crit'!E24,"AAAAADV/vwo=")</f>
        <v>#VALUE!</v>
      </c>
      <c r="L47" t="e">
        <f>AND('Drum - Prod.Crit'!F24,"AAAAADV/vws=")</f>
        <v>#VALUE!</v>
      </c>
      <c r="M47" t="e">
        <f>AND('Drum - Prod.Crit'!G24,"AAAAADV/vww=")</f>
        <v>#VALUE!</v>
      </c>
      <c r="N47" t="e">
        <f>AND('Drum - Prod.Crit'!H24,"AAAAADV/vw0=")</f>
        <v>#VALUE!</v>
      </c>
      <c r="O47" t="e">
        <f>AND('Drum - Prod.Crit'!I24,"AAAAADV/vw4=")</f>
        <v>#VALUE!</v>
      </c>
      <c r="P47" t="e">
        <f>AND('Drum - Prod.Crit'!J24,"AAAAADV/vw8=")</f>
        <v>#VALUE!</v>
      </c>
      <c r="Q47" t="e">
        <f>AND('Drum - Prod.Crit'!K24,"AAAAADV/vxA=")</f>
        <v>#VALUE!</v>
      </c>
      <c r="R47" t="e">
        <f>AND('Drum - Prod.Crit'!L24,"AAAAADV/vxE=")</f>
        <v>#VALUE!</v>
      </c>
      <c r="S47" t="e">
        <f>AND('Drum - Prod.Crit'!M24,"AAAAADV/vxI=")</f>
        <v>#VALUE!</v>
      </c>
      <c r="T47" t="e">
        <f>AND('Drum - Prod.Crit'!N24,"AAAAADV/vxM=")</f>
        <v>#VALUE!</v>
      </c>
      <c r="U47" t="e">
        <f>AND('Drum - Prod.Crit'!O24,"AAAAADV/vxQ=")</f>
        <v>#VALUE!</v>
      </c>
      <c r="V47" t="e">
        <f>AND('Drum - Prod.Crit'!P24,"AAAAADV/vxU=")</f>
        <v>#VALUE!</v>
      </c>
      <c r="W47" t="e">
        <f>AND('Drum - Prod.Crit'!Q24,"AAAAADV/vxY=")</f>
        <v>#VALUE!</v>
      </c>
      <c r="X47" t="e">
        <f>AND('Drum - Prod.Crit'!R24,"AAAAADV/vxc=")</f>
        <v>#VALUE!</v>
      </c>
      <c r="Y47" t="e">
        <f>AND('Drum - Prod.Crit'!S24,"AAAAADV/vxg=")</f>
        <v>#VALUE!</v>
      </c>
      <c r="Z47" t="e">
        <f>AND('Drum - Prod.Crit'!T24,"AAAAADV/vxk=")</f>
        <v>#VALUE!</v>
      </c>
      <c r="AA47" t="e">
        <f>AND('Drum - Prod.Crit'!U24,"AAAAADV/vxo=")</f>
        <v>#VALUE!</v>
      </c>
      <c r="AB47" t="e">
        <f>AND('Drum - Prod.Crit'!V24,"AAAAADV/vxs=")</f>
        <v>#VALUE!</v>
      </c>
      <c r="AC47" t="e">
        <f>AND('Drum - Prod.Crit'!W24,"AAAAADV/vxw=")</f>
        <v>#VALUE!</v>
      </c>
      <c r="AD47" t="e">
        <f>AND('Drum - Prod.Crit'!X24,"AAAAADV/vx0=")</f>
        <v>#VALUE!</v>
      </c>
      <c r="AE47" t="e">
        <f>AND('Drum - Prod.Crit'!Y24,"AAAAADV/vx4=")</f>
        <v>#VALUE!</v>
      </c>
      <c r="AF47">
        <f>IF('Drum - Prod.Crit'!25:25,"AAAAADV/vx8=",0)</f>
        <v>0</v>
      </c>
      <c r="AG47" t="e">
        <f>AND('Drum - Prod.Crit'!A25,"AAAAADV/vyA=")</f>
        <v>#VALUE!</v>
      </c>
      <c r="AH47" t="e">
        <f>AND('Drum - Prod.Crit'!B25,"AAAAADV/vyE=")</f>
        <v>#VALUE!</v>
      </c>
      <c r="AI47" t="e">
        <f>AND('Drum - Prod.Crit'!C25,"AAAAADV/vyI=")</f>
        <v>#VALUE!</v>
      </c>
      <c r="AJ47" t="e">
        <f>AND('Drum - Prod.Crit'!D25,"AAAAADV/vyM=")</f>
        <v>#VALUE!</v>
      </c>
      <c r="AK47" t="e">
        <f>AND('Drum - Prod.Crit'!E25,"AAAAADV/vyQ=")</f>
        <v>#VALUE!</v>
      </c>
      <c r="AL47" t="e">
        <f>AND('Drum - Prod.Crit'!F25,"AAAAADV/vyU=")</f>
        <v>#VALUE!</v>
      </c>
      <c r="AM47" t="e">
        <f>AND('Drum - Prod.Crit'!G25,"AAAAADV/vyY=")</f>
        <v>#VALUE!</v>
      </c>
      <c r="AN47" t="e">
        <f>AND('Drum - Prod.Crit'!H25,"AAAAADV/vyc=")</f>
        <v>#VALUE!</v>
      </c>
      <c r="AO47" t="e">
        <f>AND('Drum - Prod.Crit'!I25,"AAAAADV/vyg=")</f>
        <v>#VALUE!</v>
      </c>
      <c r="AP47" t="e">
        <f>AND('Drum - Prod.Crit'!J25,"AAAAADV/vyk=")</f>
        <v>#VALUE!</v>
      </c>
      <c r="AQ47" t="e">
        <f>AND('Drum - Prod.Crit'!K25,"AAAAADV/vyo=")</f>
        <v>#VALUE!</v>
      </c>
      <c r="AR47" t="e">
        <f>AND('Drum - Prod.Crit'!L25,"AAAAADV/vys=")</f>
        <v>#VALUE!</v>
      </c>
      <c r="AS47" t="e">
        <f>AND('Drum - Prod.Crit'!M25,"AAAAADV/vyw=")</f>
        <v>#VALUE!</v>
      </c>
      <c r="AT47" t="e">
        <f>AND('Drum - Prod.Crit'!N25,"AAAAADV/vy0=")</f>
        <v>#VALUE!</v>
      </c>
      <c r="AU47" t="e">
        <f>AND('Drum - Prod.Crit'!O25,"AAAAADV/vy4=")</f>
        <v>#VALUE!</v>
      </c>
      <c r="AV47" t="e">
        <f>AND('Drum - Prod.Crit'!P25,"AAAAADV/vy8=")</f>
        <v>#VALUE!</v>
      </c>
      <c r="AW47" t="e">
        <f>AND('Drum - Prod.Crit'!Q25,"AAAAADV/vzA=")</f>
        <v>#VALUE!</v>
      </c>
      <c r="AX47" t="e">
        <f>AND('Drum - Prod.Crit'!R25,"AAAAADV/vzE=")</f>
        <v>#VALUE!</v>
      </c>
      <c r="AY47" t="e">
        <f>AND('Drum - Prod.Crit'!S25,"AAAAADV/vzI=")</f>
        <v>#VALUE!</v>
      </c>
      <c r="AZ47" t="e">
        <f>AND('Drum - Prod.Crit'!T25,"AAAAADV/vzM=")</f>
        <v>#VALUE!</v>
      </c>
      <c r="BA47" t="e">
        <f>AND('Drum - Prod.Crit'!U25,"AAAAADV/vzQ=")</f>
        <v>#VALUE!</v>
      </c>
      <c r="BB47" t="e">
        <f>AND('Drum - Prod.Crit'!V25,"AAAAADV/vzU=")</f>
        <v>#VALUE!</v>
      </c>
      <c r="BC47" t="e">
        <f>AND('Drum - Prod.Crit'!W25,"AAAAADV/vzY=")</f>
        <v>#VALUE!</v>
      </c>
      <c r="BD47" t="e">
        <f>AND('Drum - Prod.Crit'!X25,"AAAAADV/vzc=")</f>
        <v>#VALUE!</v>
      </c>
      <c r="BE47" t="e">
        <f>AND('Drum - Prod.Crit'!Y25,"AAAAADV/vzg=")</f>
        <v>#VALUE!</v>
      </c>
      <c r="BF47">
        <f>IF('Drum - Prod.Crit'!26:26,"AAAAADV/vzk=",0)</f>
        <v>0</v>
      </c>
      <c r="BG47" t="e">
        <f>AND('Drum - Prod.Crit'!A26,"AAAAADV/vzo=")</f>
        <v>#VALUE!</v>
      </c>
      <c r="BH47" t="e">
        <f>AND('Drum - Prod.Crit'!#REF!,"AAAAADV/vzs=")</f>
        <v>#REF!</v>
      </c>
      <c r="BI47" t="e">
        <f>AND('Drum - Prod.Crit'!#REF!,"AAAAADV/vzw=")</f>
        <v>#REF!</v>
      </c>
      <c r="BJ47" t="e">
        <f>AND('Drum - Prod.Crit'!#REF!,"AAAAADV/vz0=")</f>
        <v>#REF!</v>
      </c>
      <c r="BK47" t="e">
        <f>AND('Drum - Prod.Crit'!#REF!,"AAAAADV/vz4=")</f>
        <v>#REF!</v>
      </c>
      <c r="BL47" t="e">
        <f>AND('Drum - Prod.Crit'!B26,"AAAAADV/vz8=")</f>
        <v>#VALUE!</v>
      </c>
      <c r="BM47" t="e">
        <f>AND('Drum - Prod.Crit'!C26,"AAAAADV/v0A=")</f>
        <v>#VALUE!</v>
      </c>
      <c r="BN47" t="e">
        <f>AND('Drum - Prod.Crit'!D26,"AAAAADV/v0E=")</f>
        <v>#VALUE!</v>
      </c>
      <c r="BO47" t="e">
        <f>AND('Drum - Prod.Crit'!E26,"AAAAADV/v0I=")</f>
        <v>#VALUE!</v>
      </c>
      <c r="BP47" t="e">
        <f>AND('Drum - Prod.Crit'!F26,"AAAAADV/v0M=")</f>
        <v>#VALUE!</v>
      </c>
      <c r="BQ47" t="e">
        <f>AND('Drum - Prod.Crit'!G26,"AAAAADV/v0Q=")</f>
        <v>#VALUE!</v>
      </c>
      <c r="BR47" t="e">
        <f>AND('Drum - Prod.Crit'!H26,"AAAAADV/v0U=")</f>
        <v>#VALUE!</v>
      </c>
      <c r="BS47" t="e">
        <f>AND('Drum - Prod.Crit'!I26,"AAAAADV/v0Y=")</f>
        <v>#VALUE!</v>
      </c>
      <c r="BT47" t="e">
        <f>AND('Drum - Prod.Crit'!J26,"AAAAADV/v0c=")</f>
        <v>#VALUE!</v>
      </c>
      <c r="BU47" t="e">
        <f>AND('Drum - Prod.Crit'!K26,"AAAAADV/v0g=")</f>
        <v>#VALUE!</v>
      </c>
      <c r="BV47" t="e">
        <f>AND('Drum - Prod.Crit'!L26,"AAAAADV/v0k=")</f>
        <v>#VALUE!</v>
      </c>
      <c r="BW47" t="e">
        <f>AND('Drum - Prod.Crit'!M26,"AAAAADV/v0o=")</f>
        <v>#VALUE!</v>
      </c>
      <c r="BX47" t="e">
        <f>AND('Drum - Prod.Crit'!N26,"AAAAADV/v0s=")</f>
        <v>#VALUE!</v>
      </c>
      <c r="BY47" t="e">
        <f>AND('Drum - Prod.Crit'!O26,"AAAAADV/v0w=")</f>
        <v>#VALUE!</v>
      </c>
      <c r="BZ47" t="e">
        <f>AND('Drum - Prod.Crit'!P26,"AAAAADV/v00=")</f>
        <v>#VALUE!</v>
      </c>
      <c r="CA47" t="e">
        <f>AND('Drum - Prod.Crit'!Q26,"AAAAADV/v04=")</f>
        <v>#VALUE!</v>
      </c>
      <c r="CB47" t="e">
        <f>AND('Drum - Prod.Crit'!R26,"AAAAADV/v08=")</f>
        <v>#VALUE!</v>
      </c>
      <c r="CC47" t="e">
        <f>AND('Drum - Prod.Crit'!S26,"AAAAADV/v1A=")</f>
        <v>#VALUE!</v>
      </c>
      <c r="CD47" t="e">
        <f>AND('Drum - Prod.Crit'!T26,"AAAAADV/v1E=")</f>
        <v>#VALUE!</v>
      </c>
      <c r="CE47" t="e">
        <f>AND('Drum - Prod.Crit'!U26,"AAAAADV/v1I=")</f>
        <v>#VALUE!</v>
      </c>
      <c r="CF47">
        <f>IF('Drum - Prod.Crit'!27:27,"AAAAADV/v1M=",0)</f>
        <v>0</v>
      </c>
      <c r="CG47" t="e">
        <f>AND('Drum - Prod.Crit'!A27,"AAAAADV/v1Q=")</f>
        <v>#VALUE!</v>
      </c>
      <c r="CH47" t="e">
        <f>AND('Drum - Prod.Crit'!#REF!,"AAAAADV/v1U=")</f>
        <v>#REF!</v>
      </c>
      <c r="CI47" t="e">
        <f>AND('Drum - Prod.Crit'!#REF!,"AAAAADV/v1Y=")</f>
        <v>#REF!</v>
      </c>
      <c r="CJ47" t="e">
        <f>AND('Drum - Prod.Crit'!#REF!,"AAAAADV/v1c=")</f>
        <v>#REF!</v>
      </c>
      <c r="CK47" t="e">
        <f>AND('Drum - Prod.Crit'!#REF!,"AAAAADV/v1g=")</f>
        <v>#REF!</v>
      </c>
      <c r="CL47" t="e">
        <f>AND('Drum - Prod.Crit'!B27,"AAAAADV/v1k=")</f>
        <v>#VALUE!</v>
      </c>
      <c r="CM47" t="e">
        <f>AND('Drum - Prod.Crit'!C27,"AAAAADV/v1o=")</f>
        <v>#VALUE!</v>
      </c>
      <c r="CN47" t="e">
        <f>AND('Drum - Prod.Crit'!D27,"AAAAADV/v1s=")</f>
        <v>#VALUE!</v>
      </c>
      <c r="CO47" t="e">
        <f>AND('Drum - Prod.Crit'!E27,"AAAAADV/v1w=")</f>
        <v>#VALUE!</v>
      </c>
      <c r="CP47" t="e">
        <f>AND('Drum - Prod.Crit'!F27,"AAAAADV/v10=")</f>
        <v>#VALUE!</v>
      </c>
      <c r="CQ47" t="e">
        <f>AND('Drum - Prod.Crit'!G27,"AAAAADV/v14=")</f>
        <v>#VALUE!</v>
      </c>
      <c r="CR47" t="e">
        <f>AND('Drum - Prod.Crit'!H27,"AAAAADV/v18=")</f>
        <v>#VALUE!</v>
      </c>
      <c r="CS47" t="e">
        <f>AND('Drum - Prod.Crit'!I27,"AAAAADV/v2A=")</f>
        <v>#VALUE!</v>
      </c>
      <c r="CT47" t="e">
        <f>AND('Drum - Prod.Crit'!J27,"AAAAADV/v2E=")</f>
        <v>#VALUE!</v>
      </c>
      <c r="CU47" t="e">
        <f>AND('Drum - Prod.Crit'!K27,"AAAAADV/v2I=")</f>
        <v>#VALUE!</v>
      </c>
      <c r="CV47" t="e">
        <f>AND('Drum - Prod.Crit'!L27,"AAAAADV/v2M=")</f>
        <v>#VALUE!</v>
      </c>
      <c r="CW47" t="e">
        <f>AND('Drum - Prod.Crit'!M27,"AAAAADV/v2Q=")</f>
        <v>#VALUE!</v>
      </c>
      <c r="CX47" t="e">
        <f>AND('Drum - Prod.Crit'!N27,"AAAAADV/v2U=")</f>
        <v>#VALUE!</v>
      </c>
      <c r="CY47" t="e">
        <f>AND('Drum - Prod.Crit'!O27,"AAAAADV/v2Y=")</f>
        <v>#VALUE!</v>
      </c>
      <c r="CZ47" t="e">
        <f>AND('Drum - Prod.Crit'!P27,"AAAAADV/v2c=")</f>
        <v>#VALUE!</v>
      </c>
      <c r="DA47" t="e">
        <f>AND('Drum - Prod.Crit'!Q27,"AAAAADV/v2g=")</f>
        <v>#VALUE!</v>
      </c>
      <c r="DB47" t="e">
        <f>AND('Drum - Prod.Crit'!R27,"AAAAADV/v2k=")</f>
        <v>#VALUE!</v>
      </c>
      <c r="DC47" t="e">
        <f>AND('Drum - Prod.Crit'!S27,"AAAAADV/v2o=")</f>
        <v>#VALUE!</v>
      </c>
      <c r="DD47" t="e">
        <f>AND('Drum - Prod.Crit'!T27,"AAAAADV/v2s=")</f>
        <v>#VALUE!</v>
      </c>
      <c r="DE47" t="e">
        <f>AND('Drum - Prod.Crit'!U27,"AAAAADV/v2w=")</f>
        <v>#VALUE!</v>
      </c>
      <c r="DF47">
        <f>IF('Drum - Prod.Crit'!28:28,"AAAAADV/v20=",0)</f>
        <v>0</v>
      </c>
      <c r="DG47" t="e">
        <f>AND('Drum - Prod.Crit'!A28,"AAAAADV/v24=")</f>
        <v>#VALUE!</v>
      </c>
      <c r="DH47" t="e">
        <f>AND('Drum - Prod.Crit'!#REF!,"AAAAADV/v28=")</f>
        <v>#REF!</v>
      </c>
      <c r="DI47" t="e">
        <f>AND('Drum - Prod.Crit'!#REF!,"AAAAADV/v3A=")</f>
        <v>#REF!</v>
      </c>
      <c r="DJ47" t="e">
        <f>AND('Drum - Prod.Crit'!#REF!,"AAAAADV/v3E=")</f>
        <v>#REF!</v>
      </c>
      <c r="DK47" t="e">
        <f>AND('Drum - Prod.Crit'!#REF!,"AAAAADV/v3I=")</f>
        <v>#REF!</v>
      </c>
      <c r="DL47" t="e">
        <f>AND('Drum - Prod.Crit'!B28,"AAAAADV/v3M=")</f>
        <v>#VALUE!</v>
      </c>
      <c r="DM47" t="e">
        <f>AND('Drum - Prod.Crit'!C28,"AAAAADV/v3Q=")</f>
        <v>#VALUE!</v>
      </c>
      <c r="DN47" t="e">
        <f>AND('Drum - Prod.Crit'!D28,"AAAAADV/v3U=")</f>
        <v>#VALUE!</v>
      </c>
      <c r="DO47" t="e">
        <f>AND('Drum - Prod.Crit'!E28,"AAAAADV/v3Y=")</f>
        <v>#VALUE!</v>
      </c>
      <c r="DP47" t="e">
        <f>AND('Drum - Prod.Crit'!F28,"AAAAADV/v3c=")</f>
        <v>#VALUE!</v>
      </c>
      <c r="DQ47" t="e">
        <f>AND('Drum - Prod.Crit'!G28,"AAAAADV/v3g=")</f>
        <v>#VALUE!</v>
      </c>
      <c r="DR47" t="e">
        <f>AND('Drum - Prod.Crit'!H28,"AAAAADV/v3k=")</f>
        <v>#VALUE!</v>
      </c>
      <c r="DS47" t="e">
        <f>AND('Drum - Prod.Crit'!I28,"AAAAADV/v3o=")</f>
        <v>#VALUE!</v>
      </c>
      <c r="DT47" t="e">
        <f>AND('Drum - Prod.Crit'!J28,"AAAAADV/v3s=")</f>
        <v>#VALUE!</v>
      </c>
      <c r="DU47" t="e">
        <f>AND('Drum - Prod.Crit'!K28,"AAAAADV/v3w=")</f>
        <v>#VALUE!</v>
      </c>
      <c r="DV47" t="e">
        <f>AND('Drum - Prod.Crit'!L28,"AAAAADV/v30=")</f>
        <v>#VALUE!</v>
      </c>
      <c r="DW47" t="e">
        <f>AND('Drum - Prod.Crit'!M28,"AAAAADV/v34=")</f>
        <v>#VALUE!</v>
      </c>
      <c r="DX47" t="e">
        <f>AND('Drum - Prod.Crit'!N28,"AAAAADV/v38=")</f>
        <v>#VALUE!</v>
      </c>
      <c r="DY47" t="e">
        <f>AND('Drum - Prod.Crit'!O28,"AAAAADV/v4A=")</f>
        <v>#VALUE!</v>
      </c>
      <c r="DZ47" t="e">
        <f>AND('Drum - Prod.Crit'!P28,"AAAAADV/v4E=")</f>
        <v>#VALUE!</v>
      </c>
      <c r="EA47" t="e">
        <f>AND('Drum - Prod.Crit'!Q28,"AAAAADV/v4I=")</f>
        <v>#VALUE!</v>
      </c>
      <c r="EB47" t="e">
        <f>AND('Drum - Prod.Crit'!R28,"AAAAADV/v4M=")</f>
        <v>#VALUE!</v>
      </c>
      <c r="EC47" t="e">
        <f>AND('Drum - Prod.Crit'!S28,"AAAAADV/v4Q=")</f>
        <v>#VALUE!</v>
      </c>
      <c r="ED47" t="e">
        <f>AND('Drum - Prod.Crit'!T28,"AAAAADV/v4U=")</f>
        <v>#VALUE!</v>
      </c>
      <c r="EE47" t="e">
        <f>AND('Drum - Prod.Crit'!U28,"AAAAADV/v4Y=")</f>
        <v>#VALUE!</v>
      </c>
      <c r="EF47">
        <f>IF('Drum - Prod.Crit'!29:29,"AAAAADV/v4c=",0)</f>
        <v>0</v>
      </c>
      <c r="EG47" t="e">
        <f>AND('Drum - Prod.Crit'!A29,"AAAAADV/v4g=")</f>
        <v>#VALUE!</v>
      </c>
      <c r="EH47" t="e">
        <f>AND('Drum - Prod.Crit'!#REF!,"AAAAADV/v4k=")</f>
        <v>#REF!</v>
      </c>
      <c r="EI47" t="e">
        <f>AND('Drum - Prod.Crit'!#REF!,"AAAAADV/v4o=")</f>
        <v>#REF!</v>
      </c>
      <c r="EJ47" t="e">
        <f>AND('Drum - Prod.Crit'!#REF!,"AAAAADV/v4s=")</f>
        <v>#REF!</v>
      </c>
      <c r="EK47" t="e">
        <f>AND('Drum - Prod.Crit'!#REF!,"AAAAADV/v4w=")</f>
        <v>#REF!</v>
      </c>
      <c r="EL47" t="e">
        <f>AND('Drum - Prod.Crit'!B29,"AAAAADV/v40=")</f>
        <v>#VALUE!</v>
      </c>
      <c r="EM47" t="e">
        <f>AND('Drum - Prod.Crit'!C29,"AAAAADV/v44=")</f>
        <v>#VALUE!</v>
      </c>
      <c r="EN47" t="e">
        <f>AND('Drum - Prod.Crit'!D29,"AAAAADV/v48=")</f>
        <v>#VALUE!</v>
      </c>
      <c r="EO47" t="e">
        <f>AND('Drum - Prod.Crit'!E29,"AAAAADV/v5A=")</f>
        <v>#VALUE!</v>
      </c>
      <c r="EP47" t="e">
        <f>AND('Drum - Prod.Crit'!F29,"AAAAADV/v5E=")</f>
        <v>#VALUE!</v>
      </c>
      <c r="EQ47" t="e">
        <f>AND('Drum - Prod.Crit'!G29,"AAAAADV/v5I=")</f>
        <v>#VALUE!</v>
      </c>
      <c r="ER47" t="e">
        <f>AND('Drum - Prod.Crit'!H29,"AAAAADV/v5M=")</f>
        <v>#VALUE!</v>
      </c>
      <c r="ES47" t="e">
        <f>AND('Drum - Prod.Crit'!I29,"AAAAADV/v5Q=")</f>
        <v>#VALUE!</v>
      </c>
      <c r="ET47" t="e">
        <f>AND('Drum - Prod.Crit'!J29,"AAAAADV/v5U=")</f>
        <v>#VALUE!</v>
      </c>
      <c r="EU47" t="e">
        <f>AND('Drum - Prod.Crit'!K29,"AAAAADV/v5Y=")</f>
        <v>#VALUE!</v>
      </c>
      <c r="EV47" t="e">
        <f>AND('Drum - Prod.Crit'!L29,"AAAAADV/v5c=")</f>
        <v>#VALUE!</v>
      </c>
      <c r="EW47" t="e">
        <f>AND('Drum - Prod.Crit'!M29,"AAAAADV/v5g=")</f>
        <v>#VALUE!</v>
      </c>
      <c r="EX47" t="e">
        <f>AND('Drum - Prod.Crit'!N29,"AAAAADV/v5k=")</f>
        <v>#VALUE!</v>
      </c>
      <c r="EY47" t="e">
        <f>AND('Drum - Prod.Crit'!O29,"AAAAADV/v5o=")</f>
        <v>#VALUE!</v>
      </c>
      <c r="EZ47" t="e">
        <f>AND('Drum - Prod.Crit'!P29,"AAAAADV/v5s=")</f>
        <v>#VALUE!</v>
      </c>
      <c r="FA47" t="e">
        <f>AND('Drum - Prod.Crit'!Q29,"AAAAADV/v5w=")</f>
        <v>#VALUE!</v>
      </c>
      <c r="FB47" t="e">
        <f>AND('Drum - Prod.Crit'!R29,"AAAAADV/v50=")</f>
        <v>#VALUE!</v>
      </c>
      <c r="FC47" t="e">
        <f>AND('Drum - Prod.Crit'!S29,"AAAAADV/v54=")</f>
        <v>#VALUE!</v>
      </c>
      <c r="FD47" t="e">
        <f>AND('Drum - Prod.Crit'!T29,"AAAAADV/v58=")</f>
        <v>#VALUE!</v>
      </c>
      <c r="FE47" t="e">
        <f>AND('Drum - Prod.Crit'!U29,"AAAAADV/v6A=")</f>
        <v>#VALUE!</v>
      </c>
      <c r="FF47">
        <f>IF('Drum - Prod.Crit'!30:30,"AAAAADV/v6E=",0)</f>
        <v>0</v>
      </c>
      <c r="FG47" t="e">
        <f>AND('Drum - Prod.Crit'!A30,"AAAAADV/v6I=")</f>
        <v>#VALUE!</v>
      </c>
      <c r="FH47" t="e">
        <f>AND('Drum - Prod.Crit'!B30,"AAAAADV/v6M=")</f>
        <v>#VALUE!</v>
      </c>
      <c r="FI47" t="e">
        <f>AND('Drum - Prod.Crit'!C30,"AAAAADV/v6Q=")</f>
        <v>#VALUE!</v>
      </c>
      <c r="FJ47" t="e">
        <f>AND('Drum - Prod.Crit'!D30,"AAAAADV/v6U=")</f>
        <v>#VALUE!</v>
      </c>
      <c r="FK47" t="e">
        <f>AND('Drum - Prod.Crit'!E30,"AAAAADV/v6Y=")</f>
        <v>#VALUE!</v>
      </c>
      <c r="FL47" t="e">
        <f>AND('Drum - Prod.Crit'!F30,"AAAAADV/v6c=")</f>
        <v>#VALUE!</v>
      </c>
      <c r="FM47" t="e">
        <f>AND('Drum - Prod.Crit'!G30,"AAAAADV/v6g=")</f>
        <v>#VALUE!</v>
      </c>
      <c r="FN47" t="e">
        <f>AND('Drum - Prod.Crit'!H30,"AAAAADV/v6k=")</f>
        <v>#VALUE!</v>
      </c>
      <c r="FO47" t="e">
        <f>AND('Drum - Prod.Crit'!I30,"AAAAADV/v6o=")</f>
        <v>#VALUE!</v>
      </c>
      <c r="FP47" t="e">
        <f>AND('Drum - Prod.Crit'!J30,"AAAAADV/v6s=")</f>
        <v>#VALUE!</v>
      </c>
      <c r="FQ47" t="e">
        <f>AND('Drum - Prod.Crit'!K30,"AAAAADV/v6w=")</f>
        <v>#VALUE!</v>
      </c>
      <c r="FR47" t="e">
        <f>AND('Drum - Prod.Crit'!L30,"AAAAADV/v60=")</f>
        <v>#VALUE!</v>
      </c>
      <c r="FS47" t="e">
        <f>AND('Drum - Prod.Crit'!M30,"AAAAADV/v64=")</f>
        <v>#VALUE!</v>
      </c>
      <c r="FT47" t="e">
        <f>AND('Drum - Prod.Crit'!N30,"AAAAADV/v68=")</f>
        <v>#VALUE!</v>
      </c>
      <c r="FU47" t="e">
        <f>AND('Drum - Prod.Crit'!O30,"AAAAADV/v7A=")</f>
        <v>#VALUE!</v>
      </c>
      <c r="FV47" t="e">
        <f>AND('Drum - Prod.Crit'!P30,"AAAAADV/v7E=")</f>
        <v>#VALUE!</v>
      </c>
      <c r="FW47" t="e">
        <f>AND('Drum - Prod.Crit'!Q30,"AAAAADV/v7I=")</f>
        <v>#VALUE!</v>
      </c>
      <c r="FX47" t="e">
        <f>AND('Drum - Prod.Crit'!R30,"AAAAADV/v7M=")</f>
        <v>#VALUE!</v>
      </c>
      <c r="FY47" t="e">
        <f>AND('Drum - Prod.Crit'!S30,"AAAAADV/v7Q=")</f>
        <v>#VALUE!</v>
      </c>
      <c r="FZ47" t="e">
        <f>AND('Drum - Prod.Crit'!T30,"AAAAADV/v7U=")</f>
        <v>#VALUE!</v>
      </c>
      <c r="GA47" t="e">
        <f>AND('Drum - Prod.Crit'!U30,"AAAAADV/v7Y=")</f>
        <v>#VALUE!</v>
      </c>
      <c r="GB47" t="e">
        <f>AND('Drum - Prod.Crit'!V30,"AAAAADV/v7c=")</f>
        <v>#VALUE!</v>
      </c>
      <c r="GC47" t="e">
        <f>AND('Drum - Prod.Crit'!W30,"AAAAADV/v7g=")</f>
        <v>#VALUE!</v>
      </c>
      <c r="GD47" t="e">
        <f>AND('Drum - Prod.Crit'!X30,"AAAAADV/v7k=")</f>
        <v>#VALUE!</v>
      </c>
      <c r="GE47" t="e">
        <f>AND('Drum - Prod.Crit'!Y30,"AAAAADV/v7o=")</f>
        <v>#VALUE!</v>
      </c>
      <c r="GF47">
        <f>IF('Drum - Prod.Crit'!31:31,"AAAAADV/v7s=",0)</f>
        <v>0</v>
      </c>
      <c r="GG47" t="e">
        <f>AND('Drum - Prod.Crit'!A31,"AAAAADV/v7w=")</f>
        <v>#VALUE!</v>
      </c>
      <c r="GH47" t="e">
        <f>AND('Drum - Prod.Crit'!B31,"AAAAADV/v70=")</f>
        <v>#VALUE!</v>
      </c>
      <c r="GI47" t="e">
        <f>AND('Drum - Prod.Crit'!C31,"AAAAADV/v74=")</f>
        <v>#VALUE!</v>
      </c>
      <c r="GJ47" t="e">
        <f>AND('Drum - Prod.Crit'!D31,"AAAAADV/v78=")</f>
        <v>#VALUE!</v>
      </c>
      <c r="GK47" t="e">
        <f>AND('Drum - Prod.Crit'!E31,"AAAAADV/v8A=")</f>
        <v>#VALUE!</v>
      </c>
      <c r="GL47" t="e">
        <f>AND('Drum - Prod.Crit'!F31,"AAAAADV/v8E=")</f>
        <v>#VALUE!</v>
      </c>
      <c r="GM47" t="e">
        <f>AND('Drum - Prod.Crit'!G31,"AAAAADV/v8I=")</f>
        <v>#VALUE!</v>
      </c>
      <c r="GN47" t="e">
        <f>AND('Drum - Prod.Crit'!H31,"AAAAADV/v8M=")</f>
        <v>#VALUE!</v>
      </c>
      <c r="GO47" t="e">
        <f>AND('Drum - Prod.Crit'!I31,"AAAAADV/v8Q=")</f>
        <v>#VALUE!</v>
      </c>
      <c r="GP47" t="e">
        <f>AND('Drum - Prod.Crit'!J31,"AAAAADV/v8U=")</f>
        <v>#VALUE!</v>
      </c>
      <c r="GQ47" t="e">
        <f>AND('Drum - Prod.Crit'!K31,"AAAAADV/v8Y=")</f>
        <v>#VALUE!</v>
      </c>
      <c r="GR47" t="e">
        <f>AND('Drum - Prod.Crit'!L31,"AAAAADV/v8c=")</f>
        <v>#VALUE!</v>
      </c>
      <c r="GS47" t="e">
        <f>AND('Drum - Prod.Crit'!M31,"AAAAADV/v8g=")</f>
        <v>#VALUE!</v>
      </c>
      <c r="GT47" t="e">
        <f>AND('Drum - Prod.Crit'!N31,"AAAAADV/v8k=")</f>
        <v>#VALUE!</v>
      </c>
      <c r="GU47" t="e">
        <f>AND('Drum - Prod.Crit'!O31,"AAAAADV/v8o=")</f>
        <v>#VALUE!</v>
      </c>
      <c r="GV47" t="e">
        <f>AND('Drum - Prod.Crit'!P31,"AAAAADV/v8s=")</f>
        <v>#VALUE!</v>
      </c>
      <c r="GW47" t="e">
        <f>AND('Drum - Prod.Crit'!Q31,"AAAAADV/v8w=")</f>
        <v>#VALUE!</v>
      </c>
      <c r="GX47" t="e">
        <f>AND('Drum - Prod.Crit'!R31,"AAAAADV/v80=")</f>
        <v>#VALUE!</v>
      </c>
      <c r="GY47" t="e">
        <f>AND('Drum - Prod.Crit'!S31,"AAAAADV/v84=")</f>
        <v>#VALUE!</v>
      </c>
      <c r="GZ47" t="e">
        <f>AND('Drum - Prod.Crit'!T31,"AAAAADV/v88=")</f>
        <v>#VALUE!</v>
      </c>
      <c r="HA47" t="e">
        <f>AND('Drum - Prod.Crit'!U31,"AAAAADV/v9A=")</f>
        <v>#VALUE!</v>
      </c>
      <c r="HB47" t="e">
        <f>AND('Drum - Prod.Crit'!V31,"AAAAADV/v9E=")</f>
        <v>#VALUE!</v>
      </c>
      <c r="HC47" t="e">
        <f>AND('Drum - Prod.Crit'!W31,"AAAAADV/v9I=")</f>
        <v>#VALUE!</v>
      </c>
      <c r="HD47" t="e">
        <f>AND('Drum - Prod.Crit'!X31,"AAAAADV/v9M=")</f>
        <v>#VALUE!</v>
      </c>
      <c r="HE47" t="e">
        <f>AND('Drum - Prod.Crit'!Y31,"AAAAADV/v9Q=")</f>
        <v>#VALUE!</v>
      </c>
      <c r="HF47">
        <f>IF('Drum - Prod.Crit'!32:32,"AAAAADV/v9U=",0)</f>
        <v>0</v>
      </c>
      <c r="HG47" t="e">
        <f>AND('Drum - Prod.Crit'!A32,"AAAAADV/v9Y=")</f>
        <v>#VALUE!</v>
      </c>
      <c r="HH47" t="e">
        <f>AND('Drum - Prod.Crit'!#REF!,"AAAAADV/v9c=")</f>
        <v>#REF!</v>
      </c>
      <c r="HI47" t="e">
        <f>AND('Drum - Prod.Crit'!#REF!,"AAAAADV/v9g=")</f>
        <v>#REF!</v>
      </c>
      <c r="HJ47" t="e">
        <f>AND('Drum - Prod.Crit'!#REF!,"AAAAADV/v9k=")</f>
        <v>#REF!</v>
      </c>
      <c r="HK47" t="e">
        <f>AND('Drum - Prod.Crit'!#REF!,"AAAAADV/v9o=")</f>
        <v>#REF!</v>
      </c>
      <c r="HL47" t="e">
        <f>AND('Drum - Prod.Crit'!#REF!,"AAAAADV/v9s=")</f>
        <v>#REF!</v>
      </c>
      <c r="HM47" t="e">
        <f>AND('Drum - Prod.Crit'!#REF!,"AAAAADV/v9w=")</f>
        <v>#REF!</v>
      </c>
      <c r="HN47" t="e">
        <f>AND('Drum - Prod.Crit'!#REF!,"AAAAADV/v90=")</f>
        <v>#REF!</v>
      </c>
      <c r="HO47" t="e">
        <f>AND('Drum - Prod.Crit'!#REF!,"AAAAADV/v94=")</f>
        <v>#REF!</v>
      </c>
      <c r="HP47" t="e">
        <f>AND('Drum - Prod.Crit'!#REF!,"AAAAADV/v98=")</f>
        <v>#REF!</v>
      </c>
      <c r="HQ47" t="e">
        <f>AND('Drum - Prod.Crit'!#REF!,"AAAAADV/v+A=")</f>
        <v>#REF!</v>
      </c>
      <c r="HR47" t="e">
        <f>AND('Drum - Prod.Crit'!#REF!,"AAAAADV/v+E=")</f>
        <v>#REF!</v>
      </c>
      <c r="HS47" t="e">
        <f>AND('Drum - Prod.Crit'!#REF!,"AAAAADV/v+I=")</f>
        <v>#REF!</v>
      </c>
      <c r="HT47" t="e">
        <f>AND('Drum - Prod.Crit'!#REF!,"AAAAADV/v+M=")</f>
        <v>#REF!</v>
      </c>
      <c r="HU47" t="e">
        <f>AND('Drum - Prod.Crit'!C32,"AAAAADV/v+Q=")</f>
        <v>#VALUE!</v>
      </c>
      <c r="HV47" t="e">
        <f>AND('Drum - Prod.Crit'!D32,"AAAAADV/v+U=")</f>
        <v>#VALUE!</v>
      </c>
      <c r="HW47" t="e">
        <f>AND('Drum - Prod.Crit'!E32,"AAAAADV/v+Y=")</f>
        <v>#VALUE!</v>
      </c>
      <c r="HX47" t="e">
        <f>AND('Drum - Prod.Crit'!B32,"AAAAADV/v+c=")</f>
        <v>#VALUE!</v>
      </c>
      <c r="HY47" t="e">
        <f>AND('Drum - Prod.Crit'!G32,"AAAAADV/v+g=")</f>
        <v>#VALUE!</v>
      </c>
      <c r="HZ47" t="e">
        <f>AND('Drum - Prod.Crit'!H32,"AAAAADV/v+k=")</f>
        <v>#VALUE!</v>
      </c>
      <c r="IA47" t="e">
        <f>AND('Drum - Prod.Crit'!I32,"AAAAADV/v+o=")</f>
        <v>#VALUE!</v>
      </c>
      <c r="IB47" t="e">
        <f>AND('Drum - Prod.Crit'!#REF!,"AAAAADV/v+s=")</f>
        <v>#REF!</v>
      </c>
      <c r="IC47" t="e">
        <f>AND('Drum - Prod.Crit'!#REF!,"AAAAADV/v+w=")</f>
        <v>#REF!</v>
      </c>
      <c r="ID47" t="e">
        <f>AND('Drum - Prod.Crit'!#REF!,"AAAAADV/v+0=")</f>
        <v>#REF!</v>
      </c>
      <c r="IE47" t="e">
        <f>AND('Drum - Prod.Crit'!#REF!,"AAAAADV/v+4=")</f>
        <v>#REF!</v>
      </c>
      <c r="IF47">
        <f>IF('Drum - Prod.Crit'!33:33,"AAAAADV/v+8=",0)</f>
        <v>0</v>
      </c>
      <c r="IG47" t="e">
        <f>AND('Drum - Prod.Crit'!A33,"AAAAADV/v/A=")</f>
        <v>#VALUE!</v>
      </c>
      <c r="IH47" t="e">
        <f>AND('Drum - Prod.Crit'!#REF!,"AAAAADV/v/E=")</f>
        <v>#REF!</v>
      </c>
      <c r="II47" t="e">
        <f>AND('Drum - Prod.Crit'!#REF!,"AAAAADV/v/I=")</f>
        <v>#REF!</v>
      </c>
      <c r="IJ47" t="e">
        <f>AND('Drum - Prod.Crit'!#REF!,"AAAAADV/v/M=")</f>
        <v>#REF!</v>
      </c>
      <c r="IK47" t="e">
        <f>AND('Drum - Prod.Crit'!#REF!,"AAAAADV/v/Q=")</f>
        <v>#REF!</v>
      </c>
      <c r="IL47" t="e">
        <f>AND('Drum - Prod.Crit'!#REF!,"AAAAADV/v/U=")</f>
        <v>#REF!</v>
      </c>
      <c r="IM47" t="e">
        <f>AND('Drum - Prod.Crit'!#REF!,"AAAAADV/v/Y=")</f>
        <v>#REF!</v>
      </c>
      <c r="IN47" t="e">
        <f>AND('Drum - Prod.Crit'!#REF!,"AAAAADV/v/c=")</f>
        <v>#REF!</v>
      </c>
      <c r="IO47" t="e">
        <f>AND('Drum - Prod.Crit'!#REF!,"AAAAADV/v/g=")</f>
        <v>#REF!</v>
      </c>
      <c r="IP47" t="e">
        <f>AND('Drum - Prod.Crit'!#REF!,"AAAAADV/v/k=")</f>
        <v>#REF!</v>
      </c>
      <c r="IQ47" t="e">
        <f>AND('Drum - Prod.Crit'!#REF!,"AAAAADV/v/o=")</f>
        <v>#REF!</v>
      </c>
      <c r="IR47" t="e">
        <f>AND('Drum - Prod.Crit'!#REF!,"AAAAADV/v/s=")</f>
        <v>#REF!</v>
      </c>
      <c r="IS47" t="e">
        <f>AND('Drum - Prod.Crit'!#REF!,"AAAAADV/v/w=")</f>
        <v>#REF!</v>
      </c>
      <c r="IT47" t="e">
        <f>AND('Drum - Prod.Crit'!B33,"AAAAADV/v/0=")</f>
        <v>#VALUE!</v>
      </c>
      <c r="IU47" t="e">
        <f>AND('Drum - Prod.Crit'!C33,"AAAAADV/v/4=")</f>
        <v>#VALUE!</v>
      </c>
      <c r="IV47" t="e">
        <f>AND('Drum - Prod.Crit'!D33,"AAAAADV/v/8=")</f>
        <v>#VALUE!</v>
      </c>
    </row>
    <row r="48" spans="1:256">
      <c r="A48" t="e">
        <f>AND('Drum - Prod.Crit'!E33,"AAAAAG+/ZgA=")</f>
        <v>#VALUE!</v>
      </c>
      <c r="B48" t="e">
        <f>AND('Drum - Prod.Crit'!F33,"AAAAAG+/ZgE=")</f>
        <v>#VALUE!</v>
      </c>
      <c r="C48" t="e">
        <f>AND('Drum - Prod.Crit'!G33,"AAAAAG+/ZgI=")</f>
        <v>#VALUE!</v>
      </c>
      <c r="D48" t="e">
        <f>AND('Drum - Prod.Crit'!H33,"AAAAAG+/ZgM=")</f>
        <v>#VALUE!</v>
      </c>
      <c r="E48" t="e">
        <f>AND('Drum - Prod.Crit'!I33,"AAAAAG+/ZgQ=")</f>
        <v>#VALUE!</v>
      </c>
      <c r="F48" t="e">
        <f>AND('Drum - Prod.Crit'!#REF!,"AAAAAG+/ZgU=")</f>
        <v>#REF!</v>
      </c>
      <c r="G48" t="e">
        <f>AND('Drum - Prod.Crit'!#REF!,"AAAAAG+/ZgY=")</f>
        <v>#REF!</v>
      </c>
      <c r="H48" t="e">
        <f>AND('Drum - Prod.Crit'!#REF!,"AAAAAG+/Zgc=")</f>
        <v>#REF!</v>
      </c>
      <c r="I48" t="e">
        <f>AND('Drum - Prod.Crit'!#REF!,"AAAAAG+/Zgg=")</f>
        <v>#REF!</v>
      </c>
      <c r="J48">
        <f>IF('Drum - Prod.Crit'!34:34,"AAAAAG+/Zgk=",0)</f>
        <v>0</v>
      </c>
      <c r="K48" t="e">
        <f>AND('Drum - Prod.Crit'!A34,"AAAAAG+/Zgo=")</f>
        <v>#VALUE!</v>
      </c>
      <c r="L48" t="e">
        <f>AND('Drum - Prod.Crit'!#REF!,"AAAAAG+/Zgs=")</f>
        <v>#REF!</v>
      </c>
      <c r="M48" t="e">
        <f>AND('Drum - Prod.Crit'!#REF!,"AAAAAG+/Zgw=")</f>
        <v>#REF!</v>
      </c>
      <c r="N48" t="e">
        <f>AND('Drum - Prod.Crit'!#REF!,"AAAAAG+/Zg0=")</f>
        <v>#REF!</v>
      </c>
      <c r="O48" t="e">
        <f>AND('Drum - Prod.Crit'!#REF!,"AAAAAG+/Zg4=")</f>
        <v>#REF!</v>
      </c>
      <c r="P48" t="e">
        <f>AND('Drum - Prod.Crit'!#REF!,"AAAAAG+/Zg8=")</f>
        <v>#REF!</v>
      </c>
      <c r="Q48" t="e">
        <f>AND('Drum - Prod.Crit'!#REF!,"AAAAAG+/ZhA=")</f>
        <v>#REF!</v>
      </c>
      <c r="R48" t="e">
        <f>AND('Drum - Prod.Crit'!#REF!,"AAAAAG+/ZhE=")</f>
        <v>#REF!</v>
      </c>
      <c r="S48" t="e">
        <f>AND('Drum - Prod.Crit'!#REF!,"AAAAAG+/ZhI=")</f>
        <v>#REF!</v>
      </c>
      <c r="T48" t="e">
        <f>AND('Drum - Prod.Crit'!#REF!,"AAAAAG+/ZhM=")</f>
        <v>#REF!</v>
      </c>
      <c r="U48" t="e">
        <f>AND('Drum - Prod.Crit'!#REF!,"AAAAAG+/ZhQ=")</f>
        <v>#REF!</v>
      </c>
      <c r="V48" t="e">
        <f>AND('Drum - Prod.Crit'!#REF!,"AAAAAG+/ZhU=")</f>
        <v>#REF!</v>
      </c>
      <c r="W48" t="e">
        <f>AND('Drum - Prod.Crit'!#REF!,"AAAAAG+/ZhY=")</f>
        <v>#REF!</v>
      </c>
      <c r="X48" t="e">
        <f>AND('Drum - Prod.Crit'!B34,"AAAAAG+/Zhc=")</f>
        <v>#VALUE!</v>
      </c>
      <c r="Y48" t="e">
        <f>AND('Drum - Prod.Crit'!C34,"AAAAAG+/Zhg=")</f>
        <v>#VALUE!</v>
      </c>
      <c r="Z48" t="e">
        <f>AND('Drum - Prod.Crit'!D34,"AAAAAG+/Zhk=")</f>
        <v>#VALUE!</v>
      </c>
      <c r="AA48" t="e">
        <f>AND('Drum - Prod.Crit'!E34,"AAAAAG+/Zho=")</f>
        <v>#VALUE!</v>
      </c>
      <c r="AB48" t="e">
        <f>AND('Drum - Prod.Crit'!F34,"AAAAAG+/Zhs=")</f>
        <v>#VALUE!</v>
      </c>
      <c r="AC48" t="e">
        <f>AND('Drum - Prod.Crit'!G34,"AAAAAG+/Zhw=")</f>
        <v>#VALUE!</v>
      </c>
      <c r="AD48" t="e">
        <f>AND('Drum - Prod.Crit'!H34,"AAAAAG+/Zh0=")</f>
        <v>#VALUE!</v>
      </c>
      <c r="AE48" t="e">
        <f>AND('Drum - Prod.Crit'!I34,"AAAAAG+/Zh4=")</f>
        <v>#VALUE!</v>
      </c>
      <c r="AF48" t="e">
        <f>AND('Drum - Prod.Crit'!#REF!,"AAAAAG+/Zh8=")</f>
        <v>#REF!</v>
      </c>
      <c r="AG48" t="e">
        <f>AND('Drum - Prod.Crit'!#REF!,"AAAAAG+/ZiA=")</f>
        <v>#REF!</v>
      </c>
      <c r="AH48" t="e">
        <f>AND('Drum - Prod.Crit'!#REF!,"AAAAAG+/ZiE=")</f>
        <v>#REF!</v>
      </c>
      <c r="AI48" t="e">
        <f>AND('Drum - Prod.Crit'!#REF!,"AAAAAG+/ZiI=")</f>
        <v>#REF!</v>
      </c>
      <c r="AJ48">
        <f>IF('Drum - Prod.Crit'!35:35,"AAAAAG+/ZiM=",0)</f>
        <v>0</v>
      </c>
      <c r="AK48" t="e">
        <f>AND('Drum - Prod.Crit'!A35,"AAAAAG+/ZiQ=")</f>
        <v>#VALUE!</v>
      </c>
      <c r="AL48" t="e">
        <f>AND('Drum - Prod.Crit'!#REF!,"AAAAAG+/ZiU=")</f>
        <v>#REF!</v>
      </c>
      <c r="AM48" t="e">
        <f>AND('Drum - Prod.Crit'!#REF!,"AAAAAG+/ZiY=")</f>
        <v>#REF!</v>
      </c>
      <c r="AN48" t="e">
        <f>AND('Drum - Prod.Crit'!#REF!,"AAAAAG+/Zic=")</f>
        <v>#REF!</v>
      </c>
      <c r="AO48" t="e">
        <f>AND('Drum - Prod.Crit'!#REF!,"AAAAAG+/Zig=")</f>
        <v>#REF!</v>
      </c>
      <c r="AP48" t="e">
        <f>AND('Drum - Prod.Crit'!#REF!,"AAAAAG+/Zik=")</f>
        <v>#REF!</v>
      </c>
      <c r="AQ48" t="e">
        <f>AND('Drum - Prod.Crit'!#REF!,"AAAAAG+/Zio=")</f>
        <v>#REF!</v>
      </c>
      <c r="AR48" t="e">
        <f>AND('Drum - Prod.Crit'!#REF!,"AAAAAG+/Zis=")</f>
        <v>#REF!</v>
      </c>
      <c r="AS48" t="e">
        <f>AND('Drum - Prod.Crit'!#REF!,"AAAAAG+/Ziw=")</f>
        <v>#REF!</v>
      </c>
      <c r="AT48" t="e">
        <f>AND('Drum - Prod.Crit'!#REF!,"AAAAAG+/Zi0=")</f>
        <v>#REF!</v>
      </c>
      <c r="AU48" t="e">
        <f>AND('Drum - Prod.Crit'!#REF!,"AAAAAG+/Zi4=")</f>
        <v>#REF!</v>
      </c>
      <c r="AV48" t="e">
        <f>AND('Drum - Prod.Crit'!#REF!,"AAAAAG+/Zi8=")</f>
        <v>#REF!</v>
      </c>
      <c r="AW48" t="e">
        <f>AND('Drum - Prod.Crit'!#REF!,"AAAAAG+/ZjA=")</f>
        <v>#REF!</v>
      </c>
      <c r="AX48" t="e">
        <f>AND('Drum - Prod.Crit'!B35,"AAAAAG+/ZjE=")</f>
        <v>#VALUE!</v>
      </c>
      <c r="AY48" t="e">
        <f>AND('Drum - Prod.Crit'!C35,"AAAAAG+/ZjI=")</f>
        <v>#VALUE!</v>
      </c>
      <c r="AZ48" t="e">
        <f>AND('Drum - Prod.Crit'!D35,"AAAAAG+/ZjM=")</f>
        <v>#VALUE!</v>
      </c>
      <c r="BA48" t="e">
        <f>AND('Drum - Prod.Crit'!E35,"AAAAAG+/ZjQ=")</f>
        <v>#VALUE!</v>
      </c>
      <c r="BB48" t="e">
        <f>AND('Drum - Prod.Crit'!F35,"AAAAAG+/ZjU=")</f>
        <v>#VALUE!</v>
      </c>
      <c r="BC48" t="e">
        <f>AND('Drum - Prod.Crit'!G35,"AAAAAG+/ZjY=")</f>
        <v>#VALUE!</v>
      </c>
      <c r="BD48" t="e">
        <f>AND('Drum - Prod.Crit'!H35,"AAAAAG+/Zjc=")</f>
        <v>#VALUE!</v>
      </c>
      <c r="BE48" t="e">
        <f>AND('Drum - Prod.Crit'!I35,"AAAAAG+/Zjg=")</f>
        <v>#VALUE!</v>
      </c>
      <c r="BF48" t="e">
        <f>AND('Drum - Prod.Crit'!#REF!,"AAAAAG+/Zjk=")</f>
        <v>#REF!</v>
      </c>
      <c r="BG48" t="e">
        <f>AND('Drum - Prod.Crit'!#REF!,"AAAAAG+/Zjo=")</f>
        <v>#REF!</v>
      </c>
      <c r="BH48" t="e">
        <f>AND('Drum - Prod.Crit'!#REF!,"AAAAAG+/Zjs=")</f>
        <v>#REF!</v>
      </c>
      <c r="BI48" t="e">
        <f>AND('Drum - Prod.Crit'!#REF!,"AAAAAG+/Zjw=")</f>
        <v>#REF!</v>
      </c>
      <c r="BJ48">
        <f>IF('Drum - Prod.Crit'!36:36,"AAAAAG+/Zj0=",0)</f>
        <v>0</v>
      </c>
      <c r="BK48" t="e">
        <f>AND('Drum - Prod.Crit'!A36,"AAAAAG+/Zj4=")</f>
        <v>#VALUE!</v>
      </c>
      <c r="BL48" t="e">
        <f>AND('Drum - Prod.Crit'!#REF!,"AAAAAG+/Zj8=")</f>
        <v>#REF!</v>
      </c>
      <c r="BM48" t="e">
        <f>AND('Drum - Prod.Crit'!#REF!,"AAAAAG+/ZkA=")</f>
        <v>#REF!</v>
      </c>
      <c r="BN48" t="e">
        <f>AND('Drum - Prod.Crit'!#REF!,"AAAAAG+/ZkE=")</f>
        <v>#REF!</v>
      </c>
      <c r="BO48" t="e">
        <f>AND('Drum - Prod.Crit'!#REF!,"AAAAAG+/ZkI=")</f>
        <v>#REF!</v>
      </c>
      <c r="BP48" t="e">
        <f>AND('Drum - Prod.Crit'!#REF!,"AAAAAG+/ZkM=")</f>
        <v>#REF!</v>
      </c>
      <c r="BQ48" t="e">
        <f>AND('Drum - Prod.Crit'!#REF!,"AAAAAG+/ZkQ=")</f>
        <v>#REF!</v>
      </c>
      <c r="BR48" t="e">
        <f>AND('Drum - Prod.Crit'!#REF!,"AAAAAG+/ZkU=")</f>
        <v>#REF!</v>
      </c>
      <c r="BS48" t="e">
        <f>AND('Drum - Prod.Crit'!#REF!,"AAAAAG+/ZkY=")</f>
        <v>#REF!</v>
      </c>
      <c r="BT48" t="e">
        <f>AND('Drum - Prod.Crit'!#REF!,"AAAAAG+/Zkc=")</f>
        <v>#REF!</v>
      </c>
      <c r="BU48" t="e">
        <f>AND('Drum - Prod.Crit'!#REF!,"AAAAAG+/Zkg=")</f>
        <v>#REF!</v>
      </c>
      <c r="BV48" t="e">
        <f>AND('Drum - Prod.Crit'!#REF!,"AAAAAG+/Zkk=")</f>
        <v>#REF!</v>
      </c>
      <c r="BW48" t="e">
        <f>AND('Drum - Prod.Crit'!#REF!,"AAAAAG+/Zko=")</f>
        <v>#REF!</v>
      </c>
      <c r="BX48" t="e">
        <f>AND('Drum - Prod.Crit'!B36,"AAAAAG+/Zks=")</f>
        <v>#VALUE!</v>
      </c>
      <c r="BY48" t="e">
        <f>AND('Drum - Prod.Crit'!C36,"AAAAAG+/Zkw=")</f>
        <v>#VALUE!</v>
      </c>
      <c r="BZ48" t="e">
        <f>AND('Drum - Prod.Crit'!D36,"AAAAAG+/Zk0=")</f>
        <v>#VALUE!</v>
      </c>
      <c r="CA48" t="e">
        <f>AND('Drum - Prod.Crit'!E36,"AAAAAG+/Zk4=")</f>
        <v>#VALUE!</v>
      </c>
      <c r="CB48" t="e">
        <f>AND('Drum - Prod.Crit'!F36,"AAAAAG+/Zk8=")</f>
        <v>#VALUE!</v>
      </c>
      <c r="CC48" t="e">
        <f>AND('Drum - Prod.Crit'!G36,"AAAAAG+/ZlA=")</f>
        <v>#VALUE!</v>
      </c>
      <c r="CD48" t="e">
        <f>AND('Drum - Prod.Crit'!H36,"AAAAAG+/ZlE=")</f>
        <v>#VALUE!</v>
      </c>
      <c r="CE48" t="e">
        <f>AND('Drum - Prod.Crit'!I36,"AAAAAG+/ZlI=")</f>
        <v>#VALUE!</v>
      </c>
      <c r="CF48" t="e">
        <f>AND('Drum - Prod.Crit'!#REF!,"AAAAAG+/ZlM=")</f>
        <v>#REF!</v>
      </c>
      <c r="CG48" t="e">
        <f>AND('Drum - Prod.Crit'!#REF!,"AAAAAG+/ZlQ=")</f>
        <v>#REF!</v>
      </c>
      <c r="CH48" t="e">
        <f>AND('Drum - Prod.Crit'!#REF!,"AAAAAG+/ZlU=")</f>
        <v>#REF!</v>
      </c>
      <c r="CI48" t="e">
        <f>AND('Drum - Prod.Crit'!#REF!,"AAAAAG+/ZlY=")</f>
        <v>#REF!</v>
      </c>
      <c r="CJ48">
        <f>IF('Drum - Prod.Crit'!37:37,"AAAAAG+/Zlc=",0)</f>
        <v>0</v>
      </c>
      <c r="CK48" t="e">
        <f>AND('Drum - Prod.Crit'!A37,"AAAAAG+/Zlg=")</f>
        <v>#VALUE!</v>
      </c>
      <c r="CL48" t="e">
        <f>AND('Drum - Prod.Crit'!#REF!,"AAAAAG+/Zlk=")</f>
        <v>#REF!</v>
      </c>
      <c r="CM48" t="e">
        <f>AND('Drum - Prod.Crit'!#REF!,"AAAAAG+/Zlo=")</f>
        <v>#REF!</v>
      </c>
      <c r="CN48" t="e">
        <f>AND('Drum - Prod.Crit'!#REF!,"AAAAAG+/Zls=")</f>
        <v>#REF!</v>
      </c>
      <c r="CO48" t="e">
        <f>AND('Drum - Prod.Crit'!#REF!,"AAAAAG+/Zlw=")</f>
        <v>#REF!</v>
      </c>
      <c r="CP48" t="e">
        <f>AND('Drum - Prod.Crit'!#REF!,"AAAAAG+/Zl0=")</f>
        <v>#REF!</v>
      </c>
      <c r="CQ48" t="e">
        <f>AND('Drum - Prod.Crit'!#REF!,"AAAAAG+/Zl4=")</f>
        <v>#REF!</v>
      </c>
      <c r="CR48" t="e">
        <f>AND('Drum - Prod.Crit'!#REF!,"AAAAAG+/Zl8=")</f>
        <v>#REF!</v>
      </c>
      <c r="CS48" t="e">
        <f>AND('Drum - Prod.Crit'!#REF!,"AAAAAG+/ZmA=")</f>
        <v>#REF!</v>
      </c>
      <c r="CT48" t="e">
        <f>AND('Drum - Prod.Crit'!#REF!,"AAAAAG+/ZmE=")</f>
        <v>#REF!</v>
      </c>
      <c r="CU48" t="e">
        <f>AND('Drum - Prod.Crit'!#REF!,"AAAAAG+/ZmI=")</f>
        <v>#REF!</v>
      </c>
      <c r="CV48" t="e">
        <f>AND('Drum - Prod.Crit'!#REF!,"AAAAAG+/ZmM=")</f>
        <v>#REF!</v>
      </c>
      <c r="CW48" t="e">
        <f>AND('Drum - Prod.Crit'!#REF!,"AAAAAG+/ZmQ=")</f>
        <v>#REF!</v>
      </c>
      <c r="CX48" t="e">
        <f>AND('Drum - Prod.Crit'!B37,"AAAAAG+/ZmU=")</f>
        <v>#VALUE!</v>
      </c>
      <c r="CY48" t="e">
        <f>AND('Drum - Prod.Crit'!C37,"AAAAAG+/ZmY=")</f>
        <v>#VALUE!</v>
      </c>
      <c r="CZ48" t="e">
        <f>AND('Drum - Prod.Crit'!D37,"AAAAAG+/Zmc=")</f>
        <v>#VALUE!</v>
      </c>
      <c r="DA48" t="e">
        <f>AND('Drum - Prod.Crit'!E37,"AAAAAG+/Zmg=")</f>
        <v>#VALUE!</v>
      </c>
      <c r="DB48" t="e">
        <f>AND('Drum - Prod.Crit'!F37,"AAAAAG+/Zmk=")</f>
        <v>#VALUE!</v>
      </c>
      <c r="DC48" t="e">
        <f>AND('Drum - Prod.Crit'!G37,"AAAAAG+/Zmo=")</f>
        <v>#VALUE!</v>
      </c>
      <c r="DD48" t="e">
        <f>AND('Drum - Prod.Crit'!H37,"AAAAAG+/Zms=")</f>
        <v>#VALUE!</v>
      </c>
      <c r="DE48" t="e">
        <f>AND('Drum - Prod.Crit'!I37,"AAAAAG+/Zmw=")</f>
        <v>#VALUE!</v>
      </c>
      <c r="DF48" t="e">
        <f>AND('Drum - Prod.Crit'!#REF!,"AAAAAG+/Zm0=")</f>
        <v>#REF!</v>
      </c>
      <c r="DG48" t="e">
        <f>AND('Drum - Prod.Crit'!#REF!,"AAAAAG+/Zm4=")</f>
        <v>#REF!</v>
      </c>
      <c r="DH48" t="e">
        <f>AND('Drum - Prod.Crit'!#REF!,"AAAAAG+/Zm8=")</f>
        <v>#REF!</v>
      </c>
      <c r="DI48" t="e">
        <f>AND('Drum - Prod.Crit'!#REF!,"AAAAAG+/ZnA=")</f>
        <v>#REF!</v>
      </c>
      <c r="DJ48">
        <f>IF('Drum - Prod.Crit'!38:38,"AAAAAG+/ZnE=",0)</f>
        <v>0</v>
      </c>
      <c r="DK48" t="e">
        <f>AND('Drum - Prod.Crit'!A38,"AAAAAG+/ZnI=")</f>
        <v>#VALUE!</v>
      </c>
      <c r="DL48" t="e">
        <f>AND('Drum - Prod.Crit'!#REF!,"AAAAAG+/ZnM=")</f>
        <v>#REF!</v>
      </c>
      <c r="DM48" t="e">
        <f>AND('Drum - Prod.Crit'!#REF!,"AAAAAG+/ZnQ=")</f>
        <v>#REF!</v>
      </c>
      <c r="DN48" t="e">
        <f>AND('Drum - Prod.Crit'!#REF!,"AAAAAG+/ZnU=")</f>
        <v>#REF!</v>
      </c>
      <c r="DO48" t="e">
        <f>AND('Drum - Prod.Crit'!#REF!,"AAAAAG+/ZnY=")</f>
        <v>#REF!</v>
      </c>
      <c r="DP48" t="e">
        <f>AND('Drum - Prod.Crit'!#REF!,"AAAAAG+/Znc=")</f>
        <v>#REF!</v>
      </c>
      <c r="DQ48" t="e">
        <f>AND('Drum - Prod.Crit'!#REF!,"AAAAAG+/Zng=")</f>
        <v>#REF!</v>
      </c>
      <c r="DR48" t="e">
        <f>AND('Drum - Prod.Crit'!#REF!,"AAAAAG+/Znk=")</f>
        <v>#REF!</v>
      </c>
      <c r="DS48" t="e">
        <f>AND('Drum - Prod.Crit'!#REF!,"AAAAAG+/Zno=")</f>
        <v>#REF!</v>
      </c>
      <c r="DT48" t="e">
        <f>AND('Drum - Prod.Crit'!#REF!,"AAAAAG+/Zns=")</f>
        <v>#REF!</v>
      </c>
      <c r="DU48" t="e">
        <f>AND('Drum - Prod.Crit'!#REF!,"AAAAAG+/Znw=")</f>
        <v>#REF!</v>
      </c>
      <c r="DV48" t="e">
        <f>AND('Drum - Prod.Crit'!#REF!,"AAAAAG+/Zn0=")</f>
        <v>#REF!</v>
      </c>
      <c r="DW48" t="e">
        <f>AND('Drum - Prod.Crit'!#REF!,"AAAAAG+/Zn4=")</f>
        <v>#REF!</v>
      </c>
      <c r="DX48" t="e">
        <f>AND('Drum - Prod.Crit'!B38,"AAAAAG+/Zn8=")</f>
        <v>#VALUE!</v>
      </c>
      <c r="DY48" t="e">
        <f>AND('Drum - Prod.Crit'!C38,"AAAAAG+/ZoA=")</f>
        <v>#VALUE!</v>
      </c>
      <c r="DZ48" t="e">
        <f>AND('Drum - Prod.Crit'!D38,"AAAAAG+/ZoE=")</f>
        <v>#VALUE!</v>
      </c>
      <c r="EA48" t="e">
        <f>AND('Drum - Prod.Crit'!E38,"AAAAAG+/ZoI=")</f>
        <v>#VALUE!</v>
      </c>
      <c r="EB48" t="e">
        <f>AND('Drum - Prod.Crit'!F38,"AAAAAG+/ZoM=")</f>
        <v>#VALUE!</v>
      </c>
      <c r="EC48" t="e">
        <f>AND('Drum - Prod.Crit'!G38,"AAAAAG+/ZoQ=")</f>
        <v>#VALUE!</v>
      </c>
      <c r="ED48" t="e">
        <f>AND('Drum - Prod.Crit'!H38,"AAAAAG+/ZoU=")</f>
        <v>#VALUE!</v>
      </c>
      <c r="EE48" t="e">
        <f>AND('Drum - Prod.Crit'!I38,"AAAAAG+/ZoY=")</f>
        <v>#VALUE!</v>
      </c>
      <c r="EF48" t="e">
        <f>AND('Drum - Prod.Crit'!#REF!,"AAAAAG+/Zoc=")</f>
        <v>#REF!</v>
      </c>
      <c r="EG48" t="e">
        <f>AND('Drum - Prod.Crit'!#REF!,"AAAAAG+/Zog=")</f>
        <v>#REF!</v>
      </c>
      <c r="EH48" t="e">
        <f>AND('Drum - Prod.Crit'!#REF!,"AAAAAG+/Zok=")</f>
        <v>#REF!</v>
      </c>
      <c r="EI48" t="e">
        <f>AND('Drum - Prod.Crit'!#REF!,"AAAAAG+/Zoo=")</f>
        <v>#REF!</v>
      </c>
      <c r="EJ48">
        <f>IF('Drum - Prod.Crit'!39:39,"AAAAAG+/Zos=",0)</f>
        <v>0</v>
      </c>
      <c r="EK48" t="e">
        <f>AND('Drum - Prod.Crit'!A39,"AAAAAG+/Zow=")</f>
        <v>#VALUE!</v>
      </c>
      <c r="EL48" t="e">
        <f>AND('Drum - Prod.Crit'!B39,"AAAAAG+/Zo0=")</f>
        <v>#VALUE!</v>
      </c>
      <c r="EM48" t="e">
        <f>AND('Drum - Prod.Crit'!C39,"AAAAAG+/Zo4=")</f>
        <v>#VALUE!</v>
      </c>
      <c r="EN48" t="e">
        <f>AND('Drum - Prod.Crit'!D39,"AAAAAG+/Zo8=")</f>
        <v>#VALUE!</v>
      </c>
      <c r="EO48" t="e">
        <f>AND('Drum - Prod.Crit'!E39,"AAAAAG+/ZpA=")</f>
        <v>#VALUE!</v>
      </c>
      <c r="EP48" t="e">
        <f>AND('Drum - Prod.Crit'!F39,"AAAAAG+/ZpE=")</f>
        <v>#VALUE!</v>
      </c>
      <c r="EQ48" t="e">
        <f>AND('Drum - Prod.Crit'!G39,"AAAAAG+/ZpI=")</f>
        <v>#VALUE!</v>
      </c>
      <c r="ER48" t="e">
        <f>AND('Drum - Prod.Crit'!H39,"AAAAAG+/ZpM=")</f>
        <v>#VALUE!</v>
      </c>
      <c r="ES48" t="e">
        <f>AND('Drum - Prod.Crit'!I39,"AAAAAG+/ZpQ=")</f>
        <v>#VALUE!</v>
      </c>
      <c r="ET48" t="e">
        <f>AND('Drum - Prod.Crit'!J39,"AAAAAG+/ZpU=")</f>
        <v>#VALUE!</v>
      </c>
      <c r="EU48" t="e">
        <f>AND('Drum - Prod.Crit'!K39,"AAAAAG+/ZpY=")</f>
        <v>#VALUE!</v>
      </c>
      <c r="EV48" t="e">
        <f>AND('Drum - Prod.Crit'!L39,"AAAAAG+/Zpc=")</f>
        <v>#VALUE!</v>
      </c>
      <c r="EW48" t="e">
        <f>AND('Drum - Prod.Crit'!M39,"AAAAAG+/Zpg=")</f>
        <v>#VALUE!</v>
      </c>
      <c r="EX48" t="e">
        <f>AND('Drum - Prod.Crit'!N39,"AAAAAG+/Zpk=")</f>
        <v>#VALUE!</v>
      </c>
      <c r="EY48" t="e">
        <f>AND('Drum - Prod.Crit'!O39,"AAAAAG+/Zpo=")</f>
        <v>#VALUE!</v>
      </c>
      <c r="EZ48" t="e">
        <f>AND('Drum - Prod.Crit'!P39,"AAAAAG+/Zps=")</f>
        <v>#VALUE!</v>
      </c>
      <c r="FA48" t="e">
        <f>AND('Drum - Prod.Crit'!Q39,"AAAAAG+/Zpw=")</f>
        <v>#VALUE!</v>
      </c>
      <c r="FB48" t="e">
        <f>AND('Drum - Prod.Crit'!#REF!,"AAAAAG+/Zp0=")</f>
        <v>#REF!</v>
      </c>
      <c r="FC48" t="e">
        <f>AND('Drum - Prod.Crit'!#REF!,"AAAAAG+/Zp4=")</f>
        <v>#REF!</v>
      </c>
      <c r="FD48" t="e">
        <f>AND('Drum - Prod.Crit'!#REF!,"AAAAAG+/Zp8=")</f>
        <v>#REF!</v>
      </c>
      <c r="FE48" t="e">
        <f>AND('Drum - Prod.Crit'!#REF!,"AAAAAG+/ZqA=")</f>
        <v>#REF!</v>
      </c>
      <c r="FF48" t="e">
        <f>AND('Drum - Prod.Crit'!R39,"AAAAAG+/ZqE=")</f>
        <v>#VALUE!</v>
      </c>
      <c r="FG48" t="e">
        <f>AND('Drum - Prod.Crit'!S39,"AAAAAG+/ZqI=")</f>
        <v>#VALUE!</v>
      </c>
      <c r="FH48" t="e">
        <f>AND('Drum - Prod.Crit'!T39,"AAAAAG+/ZqM=")</f>
        <v>#VALUE!</v>
      </c>
      <c r="FI48" t="e">
        <f>AND('Drum - Prod.Crit'!U39,"AAAAAG+/ZqQ=")</f>
        <v>#VALUE!</v>
      </c>
      <c r="FJ48">
        <f>IF('Drum - Prod.Crit'!40:40,"AAAAAG+/ZqU=",0)</f>
        <v>0</v>
      </c>
      <c r="FK48" t="e">
        <f>AND('Drum - Prod.Crit'!A40,"AAAAAG+/ZqY=")</f>
        <v>#VALUE!</v>
      </c>
      <c r="FL48" t="e">
        <f>AND('Drum - Prod.Crit'!B40,"AAAAAG+/Zqc=")</f>
        <v>#VALUE!</v>
      </c>
      <c r="FM48" t="e">
        <f>AND('Drum - Prod.Crit'!C40,"AAAAAG+/Zqg=")</f>
        <v>#VALUE!</v>
      </c>
      <c r="FN48" t="e">
        <f>AND('Drum - Prod.Crit'!D40,"AAAAAG+/Zqk=")</f>
        <v>#VALUE!</v>
      </c>
      <c r="FO48" t="e">
        <f>AND('Drum - Prod.Crit'!E40,"AAAAAG+/Zqo=")</f>
        <v>#VALUE!</v>
      </c>
      <c r="FP48" t="e">
        <f>AND('Drum - Prod.Crit'!F40,"AAAAAG+/Zqs=")</f>
        <v>#VALUE!</v>
      </c>
      <c r="FQ48" t="e">
        <f>AND('Drum - Prod.Crit'!G40,"AAAAAG+/Zqw=")</f>
        <v>#VALUE!</v>
      </c>
      <c r="FR48" t="e">
        <f>AND('Drum - Prod.Crit'!H40,"AAAAAG+/Zq0=")</f>
        <v>#VALUE!</v>
      </c>
      <c r="FS48" t="e">
        <f>AND('Drum - Prod.Crit'!I40,"AAAAAG+/Zq4=")</f>
        <v>#VALUE!</v>
      </c>
      <c r="FT48" t="e">
        <f>AND('Drum - Prod.Crit'!J40,"AAAAAG+/Zq8=")</f>
        <v>#VALUE!</v>
      </c>
      <c r="FU48" t="e">
        <f>AND('Drum - Prod.Crit'!K40,"AAAAAG+/ZrA=")</f>
        <v>#VALUE!</v>
      </c>
      <c r="FV48" t="e">
        <f>AND('Drum - Prod.Crit'!L40,"AAAAAG+/ZrE=")</f>
        <v>#VALUE!</v>
      </c>
      <c r="FW48" t="e">
        <f>AND('Drum - Prod.Crit'!M40,"AAAAAG+/ZrI=")</f>
        <v>#VALUE!</v>
      </c>
      <c r="FX48" t="e">
        <f>AND('Drum - Prod.Crit'!N40,"AAAAAG+/ZrM=")</f>
        <v>#VALUE!</v>
      </c>
      <c r="FY48" t="e">
        <f>AND('Drum - Prod.Crit'!O40,"AAAAAG+/ZrQ=")</f>
        <v>#VALUE!</v>
      </c>
      <c r="FZ48" t="e">
        <f>AND('Drum - Prod.Crit'!P40,"AAAAAG+/ZrU=")</f>
        <v>#VALUE!</v>
      </c>
      <c r="GA48" t="e">
        <f>AND('Drum - Prod.Crit'!Q40,"AAAAAG+/ZrY=")</f>
        <v>#VALUE!</v>
      </c>
      <c r="GB48" t="e">
        <f>AND('Drum - Prod.Crit'!R40,"AAAAAG+/Zrc=")</f>
        <v>#VALUE!</v>
      </c>
      <c r="GC48" t="e">
        <f>AND('Drum - Prod.Crit'!S40,"AAAAAG+/Zrg=")</f>
        <v>#VALUE!</v>
      </c>
      <c r="GD48" t="e">
        <f>AND('Drum - Prod.Crit'!T40,"AAAAAG+/Zrk=")</f>
        <v>#VALUE!</v>
      </c>
      <c r="GE48" t="e">
        <f>AND('Drum - Prod.Crit'!U40,"AAAAAG+/Zro=")</f>
        <v>#VALUE!</v>
      </c>
      <c r="GF48" t="e">
        <f>AND('Drum - Prod.Crit'!V40,"AAAAAG+/Zrs=")</f>
        <v>#VALUE!</v>
      </c>
      <c r="GG48" t="e">
        <f>AND('Drum - Prod.Crit'!W40,"AAAAAG+/Zrw=")</f>
        <v>#VALUE!</v>
      </c>
      <c r="GH48" t="e">
        <f>AND('Drum - Prod.Crit'!X40,"AAAAAG+/Zr0=")</f>
        <v>#VALUE!</v>
      </c>
      <c r="GI48" t="e">
        <f>AND('Drum - Prod.Crit'!Y40,"AAAAAG+/Zr4=")</f>
        <v>#VALUE!</v>
      </c>
      <c r="GJ48" t="e">
        <f>IF('Drum - Prod.Crit'!#REF!,"AAAAAG+/Zr8=",0)</f>
        <v>#REF!</v>
      </c>
      <c r="GK48" t="e">
        <f>AND('Drum - Prod.Crit'!#REF!,"AAAAAG+/ZsA=")</f>
        <v>#REF!</v>
      </c>
      <c r="GL48" t="e">
        <f>AND('Drum - Prod.Crit'!#REF!,"AAAAAG+/ZsE=")</f>
        <v>#REF!</v>
      </c>
      <c r="GM48" t="e">
        <f>AND('Drum - Prod.Crit'!#REF!,"AAAAAG+/ZsI=")</f>
        <v>#REF!</v>
      </c>
      <c r="GN48" t="e">
        <f>AND('Drum - Prod.Crit'!#REF!,"AAAAAG+/ZsM=")</f>
        <v>#REF!</v>
      </c>
      <c r="GO48" t="e">
        <f>AND('Drum - Prod.Crit'!#REF!,"AAAAAG+/ZsQ=")</f>
        <v>#REF!</v>
      </c>
      <c r="GP48" t="e">
        <f>AND('Drum - Prod.Crit'!#REF!,"AAAAAG+/ZsU=")</f>
        <v>#REF!</v>
      </c>
      <c r="GQ48" t="e">
        <f>AND('Drum - Prod.Crit'!#REF!,"AAAAAG+/ZsY=")</f>
        <v>#REF!</v>
      </c>
      <c r="GR48" t="e">
        <f>AND('Drum - Prod.Crit'!#REF!,"AAAAAG+/Zsc=")</f>
        <v>#REF!</v>
      </c>
      <c r="GS48" t="e">
        <f>AND('Drum - Prod.Crit'!#REF!,"AAAAAG+/Zsg=")</f>
        <v>#REF!</v>
      </c>
      <c r="GT48" t="e">
        <f>AND('Drum - Prod.Crit'!#REF!,"AAAAAG+/Zsk=")</f>
        <v>#REF!</v>
      </c>
      <c r="GU48" t="e">
        <f>AND('Drum - Prod.Crit'!#REF!,"AAAAAG+/Zso=")</f>
        <v>#REF!</v>
      </c>
      <c r="GV48" t="e">
        <f>AND('Drum - Prod.Crit'!#REF!,"AAAAAG+/Zss=")</f>
        <v>#REF!</v>
      </c>
      <c r="GW48" t="e">
        <f>AND('Drum - Prod.Crit'!#REF!,"AAAAAG+/Zsw=")</f>
        <v>#REF!</v>
      </c>
      <c r="GX48" t="e">
        <f>AND('Drum - Prod.Crit'!#REF!,"AAAAAG+/Zs0=")</f>
        <v>#REF!</v>
      </c>
      <c r="GY48" t="e">
        <f>AND('Drum - Prod.Crit'!#REF!,"AAAAAG+/Zs4=")</f>
        <v>#REF!</v>
      </c>
      <c r="GZ48" t="e">
        <f>AND('Drum - Prod.Crit'!#REF!,"AAAAAG+/Zs8=")</f>
        <v>#REF!</v>
      </c>
      <c r="HA48" t="e">
        <f>AND('Drum - Prod.Crit'!#REF!,"AAAAAG+/ZtA=")</f>
        <v>#REF!</v>
      </c>
      <c r="HB48" t="e">
        <f>AND('Drum - Prod.Crit'!#REF!,"AAAAAG+/ZtE=")</f>
        <v>#REF!</v>
      </c>
      <c r="HC48" t="e">
        <f>AND('Drum - Prod.Crit'!#REF!,"AAAAAG+/ZtI=")</f>
        <v>#REF!</v>
      </c>
      <c r="HD48" t="e">
        <f>AND('Drum - Prod.Crit'!#REF!,"AAAAAG+/ZtM=")</f>
        <v>#REF!</v>
      </c>
      <c r="HE48" t="e">
        <f>AND('Drum - Prod.Crit'!#REF!,"AAAAAG+/ZtQ=")</f>
        <v>#REF!</v>
      </c>
      <c r="HF48" t="e">
        <f>AND('Drum - Prod.Crit'!#REF!,"AAAAAG+/ZtU=")</f>
        <v>#REF!</v>
      </c>
      <c r="HG48" t="e">
        <f>AND('Drum - Prod.Crit'!#REF!,"AAAAAG+/ZtY=")</f>
        <v>#REF!</v>
      </c>
      <c r="HH48" t="e">
        <f>AND('Drum - Prod.Crit'!#REF!,"AAAAAG+/Ztc=")</f>
        <v>#REF!</v>
      </c>
      <c r="HI48" t="e">
        <f>AND('Drum - Prod.Crit'!#REF!,"AAAAAG+/Ztg=")</f>
        <v>#REF!</v>
      </c>
      <c r="HJ48" t="e">
        <f>IF('Drum - Prod.Crit'!#REF!,"AAAAAG+/Ztk=",0)</f>
        <v>#REF!</v>
      </c>
      <c r="HK48" t="e">
        <f>AND('Drum - Prod.Crit'!#REF!,"AAAAAG+/Zto=")</f>
        <v>#REF!</v>
      </c>
      <c r="HL48" t="e">
        <f>AND('Drum - Prod.Crit'!#REF!,"AAAAAG+/Zts=")</f>
        <v>#REF!</v>
      </c>
      <c r="HM48" t="e">
        <f>AND('Drum - Prod.Crit'!#REF!,"AAAAAG+/Ztw=")</f>
        <v>#REF!</v>
      </c>
      <c r="HN48" t="e">
        <f>AND('Drum - Prod.Crit'!#REF!,"AAAAAG+/Zt0=")</f>
        <v>#REF!</v>
      </c>
      <c r="HO48" t="e">
        <f>AND('Drum - Prod.Crit'!#REF!,"AAAAAG+/Zt4=")</f>
        <v>#REF!</v>
      </c>
      <c r="HP48" t="e">
        <f>AND('Drum - Prod.Crit'!#REF!,"AAAAAG+/Zt8=")</f>
        <v>#REF!</v>
      </c>
      <c r="HQ48" t="e">
        <f>AND('Drum - Prod.Crit'!#REF!,"AAAAAG+/ZuA=")</f>
        <v>#REF!</v>
      </c>
      <c r="HR48" t="e">
        <f>AND('Drum - Prod.Crit'!#REF!,"AAAAAG+/ZuE=")</f>
        <v>#REF!</v>
      </c>
      <c r="HS48" t="e">
        <f>AND('Drum - Prod.Crit'!#REF!,"AAAAAG+/ZuI=")</f>
        <v>#REF!</v>
      </c>
      <c r="HT48" t="e">
        <f>AND('Drum - Prod.Crit'!#REF!,"AAAAAG+/ZuM=")</f>
        <v>#REF!</v>
      </c>
      <c r="HU48" t="e">
        <f>AND('Drum - Prod.Crit'!#REF!,"AAAAAG+/ZuQ=")</f>
        <v>#REF!</v>
      </c>
      <c r="HV48" t="e">
        <f>AND('Drum - Prod.Crit'!#REF!,"AAAAAG+/ZuU=")</f>
        <v>#REF!</v>
      </c>
      <c r="HW48" t="e">
        <f>AND('Drum - Prod.Crit'!#REF!,"AAAAAG+/ZuY=")</f>
        <v>#REF!</v>
      </c>
      <c r="HX48" t="e">
        <f>AND('Drum - Prod.Crit'!#REF!,"AAAAAG+/Zuc=")</f>
        <v>#REF!</v>
      </c>
      <c r="HY48" t="e">
        <f>AND('Drum - Prod.Crit'!#REF!,"AAAAAG+/Zug=")</f>
        <v>#REF!</v>
      </c>
      <c r="HZ48" t="e">
        <f>AND('Drum - Prod.Crit'!#REF!,"AAAAAG+/Zuk=")</f>
        <v>#REF!</v>
      </c>
      <c r="IA48" t="e">
        <f>AND('Drum - Prod.Crit'!#REF!,"AAAAAG+/Zuo=")</f>
        <v>#REF!</v>
      </c>
      <c r="IB48" t="e">
        <f>AND('Drum - Prod.Crit'!#REF!,"AAAAAG+/Zus=")</f>
        <v>#REF!</v>
      </c>
      <c r="IC48" t="e">
        <f>AND('Drum - Prod.Crit'!#REF!,"AAAAAG+/Zuw=")</f>
        <v>#REF!</v>
      </c>
      <c r="ID48" t="e">
        <f>AND('Drum - Prod.Crit'!#REF!,"AAAAAG+/Zu0=")</f>
        <v>#REF!</v>
      </c>
      <c r="IE48" t="e">
        <f>AND('Drum - Prod.Crit'!#REF!,"AAAAAG+/Zu4=")</f>
        <v>#REF!</v>
      </c>
      <c r="IF48" t="e">
        <f>AND('Drum - Prod.Crit'!#REF!,"AAAAAG+/Zu8=")</f>
        <v>#REF!</v>
      </c>
      <c r="IG48" t="e">
        <f>AND('Drum - Prod.Crit'!#REF!,"AAAAAG+/ZvA=")</f>
        <v>#REF!</v>
      </c>
      <c r="IH48" t="e">
        <f>AND('Drum - Prod.Crit'!#REF!,"AAAAAG+/ZvE=")</f>
        <v>#REF!</v>
      </c>
      <c r="II48" t="e">
        <f>AND('Drum - Prod.Crit'!#REF!,"AAAAAG+/ZvI=")</f>
        <v>#REF!</v>
      </c>
      <c r="IJ48" t="e">
        <f>IF('Drum - Prod.Crit'!#REF!,"AAAAAG+/ZvM=",0)</f>
        <v>#REF!</v>
      </c>
      <c r="IK48" t="e">
        <f>AND('Drum - Prod.Crit'!#REF!,"AAAAAG+/ZvQ=")</f>
        <v>#REF!</v>
      </c>
      <c r="IL48" t="e">
        <f>AND('Drum - Prod.Crit'!#REF!,"AAAAAG+/ZvU=")</f>
        <v>#REF!</v>
      </c>
      <c r="IM48" t="e">
        <f>AND('Drum - Prod.Crit'!#REF!,"AAAAAG+/ZvY=")</f>
        <v>#REF!</v>
      </c>
      <c r="IN48" t="e">
        <f>AND('Drum - Prod.Crit'!#REF!,"AAAAAG+/Zvc=")</f>
        <v>#REF!</v>
      </c>
      <c r="IO48" t="e">
        <f>AND('Drum - Prod.Crit'!#REF!,"AAAAAG+/Zvg=")</f>
        <v>#REF!</v>
      </c>
      <c r="IP48" t="e">
        <f>AND('Drum - Prod.Crit'!#REF!,"AAAAAG+/Zvk=")</f>
        <v>#REF!</v>
      </c>
      <c r="IQ48" t="e">
        <f>AND('Drum - Prod.Crit'!#REF!,"AAAAAG+/Zvo=")</f>
        <v>#REF!</v>
      </c>
      <c r="IR48" t="e">
        <f>AND('Drum - Prod.Crit'!#REF!,"AAAAAG+/Zvs=")</f>
        <v>#REF!</v>
      </c>
      <c r="IS48" t="e">
        <f>AND('Drum - Prod.Crit'!#REF!,"AAAAAG+/Zvw=")</f>
        <v>#REF!</v>
      </c>
      <c r="IT48" t="e">
        <f>AND('Drum - Prod.Crit'!#REF!,"AAAAAG+/Zv0=")</f>
        <v>#REF!</v>
      </c>
      <c r="IU48" t="e">
        <f>AND('Drum - Prod.Crit'!#REF!,"AAAAAG+/Zv4=")</f>
        <v>#REF!</v>
      </c>
      <c r="IV48" t="e">
        <f>AND('Drum - Prod.Crit'!#REF!,"AAAAAG+/Zv8=")</f>
        <v>#REF!</v>
      </c>
    </row>
    <row r="49" spans="1:256">
      <c r="A49" t="e">
        <f>AND('Drum - Prod.Crit'!#REF!,"AAAAAGX/fgA=")</f>
        <v>#REF!</v>
      </c>
      <c r="B49" t="e">
        <f>AND('Drum - Prod.Crit'!#REF!,"AAAAAGX/fgE=")</f>
        <v>#REF!</v>
      </c>
      <c r="C49" t="e">
        <f>AND('Drum - Prod.Crit'!#REF!,"AAAAAGX/fgI=")</f>
        <v>#REF!</v>
      </c>
      <c r="D49" t="e">
        <f>AND('Drum - Prod.Crit'!#REF!,"AAAAAGX/fgM=")</f>
        <v>#REF!</v>
      </c>
      <c r="E49" t="e">
        <f>AND('Drum - Prod.Crit'!#REF!,"AAAAAGX/fgQ=")</f>
        <v>#REF!</v>
      </c>
      <c r="F49" t="e">
        <f>AND('Drum - Prod.Crit'!#REF!,"AAAAAGX/fgU=")</f>
        <v>#REF!</v>
      </c>
      <c r="G49" t="e">
        <f>AND('Drum - Prod.Crit'!#REF!,"AAAAAGX/fgY=")</f>
        <v>#REF!</v>
      </c>
      <c r="H49" t="e">
        <f>AND('Drum - Prod.Crit'!#REF!,"AAAAAGX/fgc=")</f>
        <v>#REF!</v>
      </c>
      <c r="I49" t="e">
        <f>AND('Drum - Prod.Crit'!#REF!,"AAAAAGX/fgg=")</f>
        <v>#REF!</v>
      </c>
      <c r="J49" t="e">
        <f>AND('Drum - Prod.Crit'!#REF!,"AAAAAGX/fgk=")</f>
        <v>#REF!</v>
      </c>
      <c r="K49" t="e">
        <f>AND('Drum - Prod.Crit'!#REF!,"AAAAAGX/fgo=")</f>
        <v>#REF!</v>
      </c>
      <c r="L49" t="e">
        <f>AND('Drum - Prod.Crit'!#REF!,"AAAAAGX/fgs=")</f>
        <v>#REF!</v>
      </c>
      <c r="M49" t="e">
        <f>AND('Drum - Prod.Crit'!#REF!,"AAAAAGX/fgw=")</f>
        <v>#REF!</v>
      </c>
      <c r="N49" t="e">
        <f>IF('Drum - Prod.Crit'!#REF!,"AAAAAGX/fg0=",0)</f>
        <v>#REF!</v>
      </c>
      <c r="O49" t="e">
        <f>AND('Drum - Prod.Crit'!#REF!,"AAAAAGX/fg4=")</f>
        <v>#REF!</v>
      </c>
      <c r="P49" t="e">
        <f>AND('Drum - Prod.Crit'!#REF!,"AAAAAGX/fg8=")</f>
        <v>#REF!</v>
      </c>
      <c r="Q49" t="e">
        <f>AND('Drum - Prod.Crit'!#REF!,"AAAAAGX/fhA=")</f>
        <v>#REF!</v>
      </c>
      <c r="R49" t="e">
        <f>AND('Drum - Prod.Crit'!#REF!,"AAAAAGX/fhE=")</f>
        <v>#REF!</v>
      </c>
      <c r="S49" t="e">
        <f>AND('Drum - Prod.Crit'!#REF!,"AAAAAGX/fhI=")</f>
        <v>#REF!</v>
      </c>
      <c r="T49" t="e">
        <f>AND('Drum - Prod.Crit'!#REF!,"AAAAAGX/fhM=")</f>
        <v>#REF!</v>
      </c>
      <c r="U49" t="e">
        <f>AND('Drum - Prod.Crit'!#REF!,"AAAAAGX/fhQ=")</f>
        <v>#REF!</v>
      </c>
      <c r="V49" t="e">
        <f>AND('Drum - Prod.Crit'!#REF!,"AAAAAGX/fhU=")</f>
        <v>#REF!</v>
      </c>
      <c r="W49" t="e">
        <f>AND('Drum - Prod.Crit'!#REF!,"AAAAAGX/fhY=")</f>
        <v>#REF!</v>
      </c>
      <c r="X49" t="e">
        <f>AND('Drum - Prod.Crit'!#REF!,"AAAAAGX/fhc=")</f>
        <v>#REF!</v>
      </c>
      <c r="Y49" t="e">
        <f>AND('Drum - Prod.Crit'!#REF!,"AAAAAGX/fhg=")</f>
        <v>#REF!</v>
      </c>
      <c r="Z49" t="e">
        <f>AND('Drum - Prod.Crit'!#REF!,"AAAAAGX/fhk=")</f>
        <v>#REF!</v>
      </c>
      <c r="AA49" t="e">
        <f>AND('Drum - Prod.Crit'!#REF!,"AAAAAGX/fho=")</f>
        <v>#REF!</v>
      </c>
      <c r="AB49" t="e">
        <f>AND('Drum - Prod.Crit'!#REF!,"AAAAAGX/fhs=")</f>
        <v>#REF!</v>
      </c>
      <c r="AC49" t="e">
        <f>AND('Drum - Prod.Crit'!#REF!,"AAAAAGX/fhw=")</f>
        <v>#REF!</v>
      </c>
      <c r="AD49" t="e">
        <f>AND('Drum - Prod.Crit'!#REF!,"AAAAAGX/fh0=")</f>
        <v>#REF!</v>
      </c>
      <c r="AE49" t="e">
        <f>AND('Drum - Prod.Crit'!#REF!,"AAAAAGX/fh4=")</f>
        <v>#REF!</v>
      </c>
      <c r="AF49" t="e">
        <f>AND('Drum - Prod.Crit'!#REF!,"AAAAAGX/fh8=")</f>
        <v>#REF!</v>
      </c>
      <c r="AG49" t="e">
        <f>AND('Drum - Prod.Crit'!#REF!,"AAAAAGX/fiA=")</f>
        <v>#REF!</v>
      </c>
      <c r="AH49" t="e">
        <f>AND('Drum - Prod.Crit'!#REF!,"AAAAAGX/fiE=")</f>
        <v>#REF!</v>
      </c>
      <c r="AI49" t="e">
        <f>AND('Drum - Prod.Crit'!#REF!,"AAAAAGX/fiI=")</f>
        <v>#REF!</v>
      </c>
      <c r="AJ49" t="e">
        <f>AND('Drum - Prod.Crit'!#REF!,"AAAAAGX/fiM=")</f>
        <v>#REF!</v>
      </c>
      <c r="AK49" t="e">
        <f>AND('Drum - Prod.Crit'!#REF!,"AAAAAGX/fiQ=")</f>
        <v>#REF!</v>
      </c>
      <c r="AL49" t="e">
        <f>AND('Drum - Prod.Crit'!#REF!,"AAAAAGX/fiU=")</f>
        <v>#REF!</v>
      </c>
      <c r="AM49" t="e">
        <f>AND('Drum - Prod.Crit'!#REF!,"AAAAAGX/fiY=")</f>
        <v>#REF!</v>
      </c>
      <c r="AN49" t="e">
        <f>IF('Drum - Prod.Crit'!#REF!,"AAAAAGX/fic=",0)</f>
        <v>#REF!</v>
      </c>
      <c r="AO49" t="e">
        <f>AND('Drum - Prod.Crit'!#REF!,"AAAAAGX/fig=")</f>
        <v>#REF!</v>
      </c>
      <c r="AP49" t="e">
        <f>AND('Drum - Prod.Crit'!#REF!,"AAAAAGX/fik=")</f>
        <v>#REF!</v>
      </c>
      <c r="AQ49" t="e">
        <f>AND('Drum - Prod.Crit'!#REF!,"AAAAAGX/fio=")</f>
        <v>#REF!</v>
      </c>
      <c r="AR49" t="e">
        <f>AND('Drum - Prod.Crit'!#REF!,"AAAAAGX/fis=")</f>
        <v>#REF!</v>
      </c>
      <c r="AS49" t="e">
        <f>AND('Drum - Prod.Crit'!#REF!,"AAAAAGX/fiw=")</f>
        <v>#REF!</v>
      </c>
      <c r="AT49" t="e">
        <f>AND('Drum - Prod.Crit'!#REF!,"AAAAAGX/fi0=")</f>
        <v>#REF!</v>
      </c>
      <c r="AU49" t="e">
        <f>AND('Drum - Prod.Crit'!#REF!,"AAAAAGX/fi4=")</f>
        <v>#REF!</v>
      </c>
      <c r="AV49" t="e">
        <f>AND('Drum - Prod.Crit'!#REF!,"AAAAAGX/fi8=")</f>
        <v>#REF!</v>
      </c>
      <c r="AW49" t="e">
        <f>AND('Drum - Prod.Crit'!#REF!,"AAAAAGX/fjA=")</f>
        <v>#REF!</v>
      </c>
      <c r="AX49" t="e">
        <f>AND('Drum - Prod.Crit'!#REF!,"AAAAAGX/fjE=")</f>
        <v>#REF!</v>
      </c>
      <c r="AY49" t="e">
        <f>AND('Drum - Prod.Crit'!#REF!,"AAAAAGX/fjI=")</f>
        <v>#REF!</v>
      </c>
      <c r="AZ49" t="e">
        <f>AND('Drum - Prod.Crit'!#REF!,"AAAAAGX/fjM=")</f>
        <v>#REF!</v>
      </c>
      <c r="BA49" t="e">
        <f>AND('Drum - Prod.Crit'!#REF!,"AAAAAGX/fjQ=")</f>
        <v>#REF!</v>
      </c>
      <c r="BB49" t="e">
        <f>AND('Drum - Prod.Crit'!#REF!,"AAAAAGX/fjU=")</f>
        <v>#REF!</v>
      </c>
      <c r="BC49" t="e">
        <f>AND('Drum - Prod.Crit'!#REF!,"AAAAAGX/fjY=")</f>
        <v>#REF!</v>
      </c>
      <c r="BD49" t="e">
        <f>AND('Drum - Prod.Crit'!#REF!,"AAAAAGX/fjc=")</f>
        <v>#REF!</v>
      </c>
      <c r="BE49" t="e">
        <f>AND('Drum - Prod.Crit'!#REF!,"AAAAAGX/fjg=")</f>
        <v>#REF!</v>
      </c>
      <c r="BF49" t="e">
        <f>AND('Drum - Prod.Crit'!#REF!,"AAAAAGX/fjk=")</f>
        <v>#REF!</v>
      </c>
      <c r="BG49" t="e">
        <f>AND('Drum - Prod.Crit'!#REF!,"AAAAAGX/fjo=")</f>
        <v>#REF!</v>
      </c>
      <c r="BH49" t="e">
        <f>AND('Drum - Prod.Crit'!#REF!,"AAAAAGX/fjs=")</f>
        <v>#REF!</v>
      </c>
      <c r="BI49" t="e">
        <f>AND('Drum - Prod.Crit'!#REF!,"AAAAAGX/fjw=")</f>
        <v>#REF!</v>
      </c>
      <c r="BJ49" t="e">
        <f>AND('Drum - Prod.Crit'!#REF!,"AAAAAGX/fj0=")</f>
        <v>#REF!</v>
      </c>
      <c r="BK49" t="e">
        <f>AND('Drum - Prod.Crit'!#REF!,"AAAAAGX/fj4=")</f>
        <v>#REF!</v>
      </c>
      <c r="BL49" t="e">
        <f>AND('Drum - Prod.Crit'!#REF!,"AAAAAGX/fj8=")</f>
        <v>#REF!</v>
      </c>
      <c r="BM49" t="e">
        <f>AND('Drum - Prod.Crit'!#REF!,"AAAAAGX/fkA=")</f>
        <v>#REF!</v>
      </c>
      <c r="BN49" t="e">
        <f>IF('Drum - Prod.Crit'!#REF!,"AAAAAGX/fkE=",0)</f>
        <v>#REF!</v>
      </c>
      <c r="BO49" t="e">
        <f>AND('Drum - Prod.Crit'!#REF!,"AAAAAGX/fkI=")</f>
        <v>#REF!</v>
      </c>
      <c r="BP49" t="e">
        <f>AND('Drum - Prod.Crit'!#REF!,"AAAAAGX/fkM=")</f>
        <v>#REF!</v>
      </c>
      <c r="BQ49" t="e">
        <f>AND('Drum - Prod.Crit'!#REF!,"AAAAAGX/fkQ=")</f>
        <v>#REF!</v>
      </c>
      <c r="BR49" t="e">
        <f>AND('Drum - Prod.Crit'!#REF!,"AAAAAGX/fkU=")</f>
        <v>#REF!</v>
      </c>
      <c r="BS49" t="e">
        <f>AND('Drum - Prod.Crit'!#REF!,"AAAAAGX/fkY=")</f>
        <v>#REF!</v>
      </c>
      <c r="BT49" t="e">
        <f>AND('Drum - Prod.Crit'!#REF!,"AAAAAGX/fkc=")</f>
        <v>#REF!</v>
      </c>
      <c r="BU49" t="e">
        <f>AND('Drum - Prod.Crit'!#REF!,"AAAAAGX/fkg=")</f>
        <v>#REF!</v>
      </c>
      <c r="BV49" t="e">
        <f>AND('Drum - Prod.Crit'!#REF!,"AAAAAGX/fkk=")</f>
        <v>#REF!</v>
      </c>
      <c r="BW49" t="e">
        <f>AND('Drum - Prod.Crit'!#REF!,"AAAAAGX/fko=")</f>
        <v>#REF!</v>
      </c>
      <c r="BX49" t="e">
        <f>AND('Drum - Prod.Crit'!#REF!,"AAAAAGX/fks=")</f>
        <v>#REF!</v>
      </c>
      <c r="BY49" t="e">
        <f>AND('Drum - Prod.Crit'!#REF!,"AAAAAGX/fkw=")</f>
        <v>#REF!</v>
      </c>
      <c r="BZ49" t="e">
        <f>AND('Drum - Prod.Crit'!#REF!,"AAAAAGX/fk0=")</f>
        <v>#REF!</v>
      </c>
      <c r="CA49" t="e">
        <f>AND('Drum - Prod.Crit'!#REF!,"AAAAAGX/fk4=")</f>
        <v>#REF!</v>
      </c>
      <c r="CB49" t="e">
        <f>AND('Drum - Prod.Crit'!#REF!,"AAAAAGX/fk8=")</f>
        <v>#REF!</v>
      </c>
      <c r="CC49" t="e">
        <f>AND('Drum - Prod.Crit'!#REF!,"AAAAAGX/flA=")</f>
        <v>#REF!</v>
      </c>
      <c r="CD49" t="e">
        <f>AND('Drum - Prod.Crit'!#REF!,"AAAAAGX/flE=")</f>
        <v>#REF!</v>
      </c>
      <c r="CE49" t="e">
        <f>AND('Drum - Prod.Crit'!#REF!,"AAAAAGX/flI=")</f>
        <v>#REF!</v>
      </c>
      <c r="CF49" t="e">
        <f>AND('Drum - Prod.Crit'!#REF!,"AAAAAGX/flM=")</f>
        <v>#REF!</v>
      </c>
      <c r="CG49" t="e">
        <f>AND('Drum - Prod.Crit'!#REF!,"AAAAAGX/flQ=")</f>
        <v>#REF!</v>
      </c>
      <c r="CH49" t="e">
        <f>AND('Drum - Prod.Crit'!#REF!,"AAAAAGX/flU=")</f>
        <v>#REF!</v>
      </c>
      <c r="CI49" t="e">
        <f>AND('Drum - Prod.Crit'!#REF!,"AAAAAGX/flY=")</f>
        <v>#REF!</v>
      </c>
      <c r="CJ49" t="e">
        <f>AND('Drum - Prod.Crit'!#REF!,"AAAAAGX/flc=")</f>
        <v>#REF!</v>
      </c>
      <c r="CK49" t="e">
        <f>AND('Drum - Prod.Crit'!#REF!,"AAAAAGX/flg=")</f>
        <v>#REF!</v>
      </c>
      <c r="CL49" t="e">
        <f>AND('Drum - Prod.Crit'!#REF!,"AAAAAGX/flk=")</f>
        <v>#REF!</v>
      </c>
      <c r="CM49" t="e">
        <f>AND('Drum - Prod.Crit'!#REF!,"AAAAAGX/flo=")</f>
        <v>#REF!</v>
      </c>
      <c r="CN49">
        <f>IF('Drum - Prod.Crit'!41:41,"AAAAAGX/fls=",0)</f>
        <v>0</v>
      </c>
      <c r="CO49" t="e">
        <f>AND('Drum - Prod.Crit'!A41,"AAAAAGX/flw=")</f>
        <v>#VALUE!</v>
      </c>
      <c r="CP49" t="e">
        <f>AND('Drum - Prod.Crit'!#REF!,"AAAAAGX/fl0=")</f>
        <v>#REF!</v>
      </c>
      <c r="CQ49" t="e">
        <f>AND('Drum - Prod.Crit'!#REF!,"AAAAAGX/fl4=")</f>
        <v>#REF!</v>
      </c>
      <c r="CR49" t="e">
        <f>AND('Drum - Prod.Crit'!#REF!,"AAAAAGX/fl8=")</f>
        <v>#REF!</v>
      </c>
      <c r="CS49" t="e">
        <f>AND('Drum - Prod.Crit'!#REF!,"AAAAAGX/fmA=")</f>
        <v>#REF!</v>
      </c>
      <c r="CT49" t="e">
        <f>AND('Drum - Prod.Crit'!B41,"AAAAAGX/fmE=")</f>
        <v>#VALUE!</v>
      </c>
      <c r="CU49" t="e">
        <f>AND('Drum - Prod.Crit'!C41,"AAAAAGX/fmI=")</f>
        <v>#VALUE!</v>
      </c>
      <c r="CV49" t="e">
        <f>AND('Drum - Prod.Crit'!D41,"AAAAAGX/fmM=")</f>
        <v>#VALUE!</v>
      </c>
      <c r="CW49" t="e">
        <f>AND('Drum - Prod.Crit'!E41,"AAAAAGX/fmQ=")</f>
        <v>#VALUE!</v>
      </c>
      <c r="CX49" t="e">
        <f>AND('Drum - Prod.Crit'!F41,"AAAAAGX/fmU=")</f>
        <v>#VALUE!</v>
      </c>
      <c r="CY49" t="e">
        <f>AND('Drum - Prod.Crit'!G41,"AAAAAGX/fmY=")</f>
        <v>#VALUE!</v>
      </c>
      <c r="CZ49" t="e">
        <f>AND('Drum - Prod.Crit'!H41,"AAAAAGX/fmc=")</f>
        <v>#VALUE!</v>
      </c>
      <c r="DA49" t="e">
        <f>AND('Drum - Prod.Crit'!I41,"AAAAAGX/fmg=")</f>
        <v>#VALUE!</v>
      </c>
      <c r="DB49" t="e">
        <f>AND('Drum - Prod.Crit'!J41,"AAAAAGX/fmk=")</f>
        <v>#VALUE!</v>
      </c>
      <c r="DC49" t="e">
        <f>AND('Drum - Prod.Crit'!K41,"AAAAAGX/fmo=")</f>
        <v>#VALUE!</v>
      </c>
      <c r="DD49" t="e">
        <f>AND('Drum - Prod.Crit'!L41,"AAAAAGX/fms=")</f>
        <v>#VALUE!</v>
      </c>
      <c r="DE49" t="e">
        <f>AND('Drum - Prod.Crit'!M41,"AAAAAGX/fmw=")</f>
        <v>#VALUE!</v>
      </c>
      <c r="DF49" t="e">
        <f>AND('Drum - Prod.Crit'!N41,"AAAAAGX/fm0=")</f>
        <v>#VALUE!</v>
      </c>
      <c r="DG49" t="e">
        <f>AND('Drum - Prod.Crit'!O41,"AAAAAGX/fm4=")</f>
        <v>#VALUE!</v>
      </c>
      <c r="DH49" t="e">
        <f>AND('Drum - Prod.Crit'!P41,"AAAAAGX/fm8=")</f>
        <v>#VALUE!</v>
      </c>
      <c r="DI49" t="e">
        <f>AND('Drum - Prod.Crit'!Q41,"AAAAAGX/fnA=")</f>
        <v>#VALUE!</v>
      </c>
      <c r="DJ49" t="e">
        <f>AND('Drum - Prod.Crit'!R41,"AAAAAGX/fnE=")</f>
        <v>#VALUE!</v>
      </c>
      <c r="DK49" t="e">
        <f>AND('Drum - Prod.Crit'!S41,"AAAAAGX/fnI=")</f>
        <v>#VALUE!</v>
      </c>
      <c r="DL49" t="e">
        <f>AND('Drum - Prod.Crit'!T41,"AAAAAGX/fnM=")</f>
        <v>#VALUE!</v>
      </c>
      <c r="DM49" t="e">
        <f>AND('Drum - Prod.Crit'!U41,"AAAAAGX/fnQ=")</f>
        <v>#VALUE!</v>
      </c>
      <c r="DN49">
        <f>IF('Drum - Prod.Crit'!42:42,"AAAAAGX/fnU=",0)</f>
        <v>0</v>
      </c>
      <c r="DO49" t="e">
        <f>AND('Drum - Prod.Crit'!A42,"AAAAAGX/fnY=")</f>
        <v>#VALUE!</v>
      </c>
      <c r="DP49" t="e">
        <f>AND('Drum - Prod.Crit'!#REF!,"AAAAAGX/fnc=")</f>
        <v>#REF!</v>
      </c>
      <c r="DQ49" t="e">
        <f>AND('Drum - Prod.Crit'!#REF!,"AAAAAGX/fng=")</f>
        <v>#REF!</v>
      </c>
      <c r="DR49" t="e">
        <f>AND('Drum - Prod.Crit'!#REF!,"AAAAAGX/fnk=")</f>
        <v>#REF!</v>
      </c>
      <c r="DS49" t="e">
        <f>AND('Drum - Prod.Crit'!#REF!,"AAAAAGX/fno=")</f>
        <v>#REF!</v>
      </c>
      <c r="DT49" t="e">
        <f>AND('Drum - Prod.Crit'!B42,"AAAAAGX/fns=")</f>
        <v>#VALUE!</v>
      </c>
      <c r="DU49" t="e">
        <f>AND('Drum - Prod.Crit'!C42,"AAAAAGX/fnw=")</f>
        <v>#VALUE!</v>
      </c>
      <c r="DV49" t="e">
        <f>AND('Drum - Prod.Crit'!D42,"AAAAAGX/fn0=")</f>
        <v>#VALUE!</v>
      </c>
      <c r="DW49" t="e">
        <f>AND('Drum - Prod.Crit'!E42,"AAAAAGX/fn4=")</f>
        <v>#VALUE!</v>
      </c>
      <c r="DX49" t="e">
        <f>AND('Drum - Prod.Crit'!F42,"AAAAAGX/fn8=")</f>
        <v>#VALUE!</v>
      </c>
      <c r="DY49" t="e">
        <f>AND('Drum - Prod.Crit'!G42,"AAAAAGX/foA=")</f>
        <v>#VALUE!</v>
      </c>
      <c r="DZ49" t="e">
        <f>AND('Drum - Prod.Crit'!H42,"AAAAAGX/foE=")</f>
        <v>#VALUE!</v>
      </c>
      <c r="EA49" t="e">
        <f>AND('Drum - Prod.Crit'!I42,"AAAAAGX/foI=")</f>
        <v>#VALUE!</v>
      </c>
      <c r="EB49" t="e">
        <f>AND('Drum - Prod.Crit'!J42,"AAAAAGX/foM=")</f>
        <v>#VALUE!</v>
      </c>
      <c r="EC49" t="e">
        <f>AND('Drum - Prod.Crit'!K42,"AAAAAGX/foQ=")</f>
        <v>#VALUE!</v>
      </c>
      <c r="ED49" t="e">
        <f>AND('Drum - Prod.Crit'!L42,"AAAAAGX/foU=")</f>
        <v>#VALUE!</v>
      </c>
      <c r="EE49" t="e">
        <f>AND('Drum - Prod.Crit'!M42,"AAAAAGX/foY=")</f>
        <v>#VALUE!</v>
      </c>
      <c r="EF49" t="e">
        <f>AND('Drum - Prod.Crit'!N42,"AAAAAGX/foc=")</f>
        <v>#VALUE!</v>
      </c>
      <c r="EG49" t="e">
        <f>AND('Drum - Prod.Crit'!O42,"AAAAAGX/fog=")</f>
        <v>#VALUE!</v>
      </c>
      <c r="EH49" t="e">
        <f>AND('Drum - Prod.Crit'!P42,"AAAAAGX/fok=")</f>
        <v>#VALUE!</v>
      </c>
      <c r="EI49" t="e">
        <f>AND('Drum - Prod.Crit'!Q42,"AAAAAGX/foo=")</f>
        <v>#VALUE!</v>
      </c>
      <c r="EJ49" t="e">
        <f>AND('Drum - Prod.Crit'!R42,"AAAAAGX/fos=")</f>
        <v>#VALUE!</v>
      </c>
      <c r="EK49" t="e">
        <f>AND('Drum - Prod.Crit'!S42,"AAAAAGX/fow=")</f>
        <v>#VALUE!</v>
      </c>
      <c r="EL49" t="e">
        <f>AND('Drum - Prod.Crit'!T42,"AAAAAGX/fo0=")</f>
        <v>#VALUE!</v>
      </c>
      <c r="EM49" t="e">
        <f>AND('Drum - Prod.Crit'!U42,"AAAAAGX/fo4=")</f>
        <v>#VALUE!</v>
      </c>
      <c r="EN49">
        <f>IF('Drum - Prod.Crit'!43:43,"AAAAAGX/fo8=",0)</f>
        <v>0</v>
      </c>
      <c r="EO49" t="e">
        <f>AND('Drum - Prod.Crit'!A43,"AAAAAGX/fpA=")</f>
        <v>#VALUE!</v>
      </c>
      <c r="EP49" t="e">
        <f>AND('Drum - Prod.Crit'!#REF!,"AAAAAGX/fpE=")</f>
        <v>#REF!</v>
      </c>
      <c r="EQ49" t="e">
        <f>AND('Drum - Prod.Crit'!#REF!,"AAAAAGX/fpI=")</f>
        <v>#REF!</v>
      </c>
      <c r="ER49" t="e">
        <f>AND('Drum - Prod.Crit'!#REF!,"AAAAAGX/fpM=")</f>
        <v>#REF!</v>
      </c>
      <c r="ES49" t="e">
        <f>AND('Drum - Prod.Crit'!#REF!,"AAAAAGX/fpQ=")</f>
        <v>#REF!</v>
      </c>
      <c r="ET49" t="e">
        <f>AND('Drum - Prod.Crit'!B43,"AAAAAGX/fpU=")</f>
        <v>#VALUE!</v>
      </c>
      <c r="EU49" t="e">
        <f>AND('Drum - Prod.Crit'!C43,"AAAAAGX/fpY=")</f>
        <v>#VALUE!</v>
      </c>
      <c r="EV49" t="e">
        <f>AND('Drum - Prod.Crit'!D43,"AAAAAGX/fpc=")</f>
        <v>#VALUE!</v>
      </c>
      <c r="EW49" t="e">
        <f>AND('Drum - Prod.Crit'!E43,"AAAAAGX/fpg=")</f>
        <v>#VALUE!</v>
      </c>
      <c r="EX49" t="e">
        <f>AND('Drum - Prod.Crit'!F43,"AAAAAGX/fpk=")</f>
        <v>#VALUE!</v>
      </c>
      <c r="EY49" t="e">
        <f>AND('Drum - Prod.Crit'!G43,"AAAAAGX/fpo=")</f>
        <v>#VALUE!</v>
      </c>
      <c r="EZ49" t="e">
        <f>AND('Drum - Prod.Crit'!H43,"AAAAAGX/fps=")</f>
        <v>#VALUE!</v>
      </c>
      <c r="FA49" t="e">
        <f>AND('Drum - Prod.Crit'!I43,"AAAAAGX/fpw=")</f>
        <v>#VALUE!</v>
      </c>
      <c r="FB49" t="e">
        <f>AND('Drum - Prod.Crit'!J43,"AAAAAGX/fp0=")</f>
        <v>#VALUE!</v>
      </c>
      <c r="FC49" t="e">
        <f>AND('Drum - Prod.Crit'!K43,"AAAAAGX/fp4=")</f>
        <v>#VALUE!</v>
      </c>
      <c r="FD49" t="e">
        <f>AND('Drum - Prod.Crit'!L43,"AAAAAGX/fp8=")</f>
        <v>#VALUE!</v>
      </c>
      <c r="FE49" t="e">
        <f>AND('Drum - Prod.Crit'!M43,"AAAAAGX/fqA=")</f>
        <v>#VALUE!</v>
      </c>
      <c r="FF49" t="e">
        <f>AND('Drum - Prod.Crit'!N43,"AAAAAGX/fqE=")</f>
        <v>#VALUE!</v>
      </c>
      <c r="FG49" t="e">
        <f>AND('Drum - Prod.Crit'!O43,"AAAAAGX/fqI=")</f>
        <v>#VALUE!</v>
      </c>
      <c r="FH49" t="e">
        <f>AND('Drum - Prod.Crit'!P43,"AAAAAGX/fqM=")</f>
        <v>#VALUE!</v>
      </c>
      <c r="FI49" t="e">
        <f>AND('Drum - Prod.Crit'!Q43,"AAAAAGX/fqQ=")</f>
        <v>#VALUE!</v>
      </c>
      <c r="FJ49" t="e">
        <f>AND('Drum - Prod.Crit'!R43,"AAAAAGX/fqU=")</f>
        <v>#VALUE!</v>
      </c>
      <c r="FK49" t="e">
        <f>AND('Drum - Prod.Crit'!S43,"AAAAAGX/fqY=")</f>
        <v>#VALUE!</v>
      </c>
      <c r="FL49" t="e">
        <f>AND('Drum - Prod.Crit'!T43,"AAAAAGX/fqc=")</f>
        <v>#VALUE!</v>
      </c>
      <c r="FM49" t="e">
        <f>AND('Drum - Prod.Crit'!U43,"AAAAAGX/fqg=")</f>
        <v>#VALUE!</v>
      </c>
      <c r="FN49">
        <f>IF('Drum - Prod.Crit'!44:44,"AAAAAGX/fqk=",0)</f>
        <v>0</v>
      </c>
      <c r="FO49" t="e">
        <f>AND('Drum - Prod.Crit'!A44,"AAAAAGX/fqo=")</f>
        <v>#VALUE!</v>
      </c>
      <c r="FP49" t="e">
        <f>AND('Drum - Prod.Crit'!#REF!,"AAAAAGX/fqs=")</f>
        <v>#REF!</v>
      </c>
      <c r="FQ49" t="e">
        <f>AND('Drum - Prod.Crit'!#REF!,"AAAAAGX/fqw=")</f>
        <v>#REF!</v>
      </c>
      <c r="FR49" t="e">
        <f>AND('Drum - Prod.Crit'!#REF!,"AAAAAGX/fq0=")</f>
        <v>#REF!</v>
      </c>
      <c r="FS49" t="e">
        <f>AND('Drum - Prod.Crit'!#REF!,"AAAAAGX/fq4=")</f>
        <v>#REF!</v>
      </c>
      <c r="FT49" t="e">
        <f>AND('Drum - Prod.Crit'!B44,"AAAAAGX/fq8=")</f>
        <v>#VALUE!</v>
      </c>
      <c r="FU49" t="e">
        <f>AND('Drum - Prod.Crit'!C44,"AAAAAGX/frA=")</f>
        <v>#VALUE!</v>
      </c>
      <c r="FV49" t="e">
        <f>AND('Drum - Prod.Crit'!D44,"AAAAAGX/frE=")</f>
        <v>#VALUE!</v>
      </c>
      <c r="FW49" t="e">
        <f>AND('Drum - Prod.Crit'!E44,"AAAAAGX/frI=")</f>
        <v>#VALUE!</v>
      </c>
      <c r="FX49" t="e">
        <f>AND('Drum - Prod.Crit'!F44,"AAAAAGX/frM=")</f>
        <v>#VALUE!</v>
      </c>
      <c r="FY49" t="e">
        <f>AND('Drum - Prod.Crit'!G44,"AAAAAGX/frQ=")</f>
        <v>#VALUE!</v>
      </c>
      <c r="FZ49" t="e">
        <f>AND('Drum - Prod.Crit'!H44,"AAAAAGX/frU=")</f>
        <v>#VALUE!</v>
      </c>
      <c r="GA49" t="e">
        <f>AND('Drum - Prod.Crit'!I44,"AAAAAGX/frY=")</f>
        <v>#VALUE!</v>
      </c>
      <c r="GB49" t="e">
        <f>AND('Drum - Prod.Crit'!J44,"AAAAAGX/frc=")</f>
        <v>#VALUE!</v>
      </c>
      <c r="GC49" t="e">
        <f>AND('Drum - Prod.Crit'!K44,"AAAAAGX/frg=")</f>
        <v>#VALUE!</v>
      </c>
      <c r="GD49" t="e">
        <f>AND('Drum - Prod.Crit'!L44,"AAAAAGX/frk=")</f>
        <v>#VALUE!</v>
      </c>
      <c r="GE49" t="e">
        <f>AND('Drum - Prod.Crit'!M44,"AAAAAGX/fro=")</f>
        <v>#VALUE!</v>
      </c>
      <c r="GF49" t="e">
        <f>AND('Drum - Prod.Crit'!N44,"AAAAAGX/frs=")</f>
        <v>#VALUE!</v>
      </c>
      <c r="GG49" t="e">
        <f>AND('Drum - Prod.Crit'!O44,"AAAAAGX/frw=")</f>
        <v>#VALUE!</v>
      </c>
      <c r="GH49" t="e">
        <f>AND('Drum - Prod.Crit'!P44,"AAAAAGX/fr0=")</f>
        <v>#VALUE!</v>
      </c>
      <c r="GI49" t="e">
        <f>AND('Drum - Prod.Crit'!Q44,"AAAAAGX/fr4=")</f>
        <v>#VALUE!</v>
      </c>
      <c r="GJ49" t="e">
        <f>AND('Drum - Prod.Crit'!R44,"AAAAAGX/fr8=")</f>
        <v>#VALUE!</v>
      </c>
      <c r="GK49" t="e">
        <f>AND('Drum - Prod.Crit'!S44,"AAAAAGX/fsA=")</f>
        <v>#VALUE!</v>
      </c>
      <c r="GL49" t="e">
        <f>AND('Drum - Prod.Crit'!T44,"AAAAAGX/fsE=")</f>
        <v>#VALUE!</v>
      </c>
      <c r="GM49" t="e">
        <f>AND('Drum - Prod.Crit'!U44,"AAAAAGX/fsI=")</f>
        <v>#VALUE!</v>
      </c>
      <c r="GN49">
        <f>IF('Drum - Prod.Crit'!45:45,"AAAAAGX/fsM=",0)</f>
        <v>0</v>
      </c>
      <c r="GO49" t="e">
        <f>AND('Drum - Prod.Crit'!A45,"AAAAAGX/fsQ=")</f>
        <v>#VALUE!</v>
      </c>
      <c r="GP49" t="e">
        <f>AND('Drum - Prod.Crit'!B45,"AAAAAGX/fsU=")</f>
        <v>#VALUE!</v>
      </c>
      <c r="GQ49" t="e">
        <f>AND('Drum - Prod.Crit'!C45,"AAAAAGX/fsY=")</f>
        <v>#VALUE!</v>
      </c>
      <c r="GR49" t="e">
        <f>AND('Drum - Prod.Crit'!D45,"AAAAAGX/fsc=")</f>
        <v>#VALUE!</v>
      </c>
      <c r="GS49" t="e">
        <f>AND('Drum - Prod.Crit'!E45,"AAAAAGX/fsg=")</f>
        <v>#VALUE!</v>
      </c>
      <c r="GT49" t="e">
        <f>AND('Drum - Prod.Crit'!F45,"AAAAAGX/fsk=")</f>
        <v>#VALUE!</v>
      </c>
      <c r="GU49" t="e">
        <f>AND('Drum - Prod.Crit'!G45,"AAAAAGX/fso=")</f>
        <v>#VALUE!</v>
      </c>
      <c r="GV49" t="e">
        <f>AND('Drum - Prod.Crit'!H45,"AAAAAGX/fss=")</f>
        <v>#VALUE!</v>
      </c>
      <c r="GW49" t="e">
        <f>AND('Drum - Prod.Crit'!I45,"AAAAAGX/fsw=")</f>
        <v>#VALUE!</v>
      </c>
      <c r="GX49" t="e">
        <f>AND('Drum - Prod.Crit'!J45,"AAAAAGX/fs0=")</f>
        <v>#VALUE!</v>
      </c>
      <c r="GY49" t="e">
        <f>AND('Drum - Prod.Crit'!K45,"AAAAAGX/fs4=")</f>
        <v>#VALUE!</v>
      </c>
      <c r="GZ49" t="e">
        <f>AND('Drum - Prod.Crit'!L45,"AAAAAGX/fs8=")</f>
        <v>#VALUE!</v>
      </c>
      <c r="HA49" t="e">
        <f>AND('Drum - Prod.Crit'!M45,"AAAAAGX/ftA=")</f>
        <v>#VALUE!</v>
      </c>
      <c r="HB49" t="e">
        <f>AND('Drum - Prod.Crit'!N45,"AAAAAGX/ftE=")</f>
        <v>#VALUE!</v>
      </c>
      <c r="HC49" t="e">
        <f>AND('Drum - Prod.Crit'!O45,"AAAAAGX/ftI=")</f>
        <v>#VALUE!</v>
      </c>
      <c r="HD49" t="e">
        <f>AND('Drum - Prod.Crit'!P45,"AAAAAGX/ftM=")</f>
        <v>#VALUE!</v>
      </c>
      <c r="HE49" t="e">
        <f>AND('Drum - Prod.Crit'!Q45,"AAAAAGX/ftQ=")</f>
        <v>#VALUE!</v>
      </c>
      <c r="HF49" t="e">
        <f>AND('Drum - Prod.Crit'!R45,"AAAAAGX/ftU=")</f>
        <v>#VALUE!</v>
      </c>
      <c r="HG49" t="e">
        <f>AND('Drum - Prod.Crit'!S45,"AAAAAGX/ftY=")</f>
        <v>#VALUE!</v>
      </c>
      <c r="HH49" t="e">
        <f>AND('Drum - Prod.Crit'!T45,"AAAAAGX/ftc=")</f>
        <v>#VALUE!</v>
      </c>
      <c r="HI49" t="e">
        <f>AND('Drum - Prod.Crit'!U45,"AAAAAGX/ftg=")</f>
        <v>#VALUE!</v>
      </c>
      <c r="HJ49" t="e">
        <f>AND('Drum - Prod.Crit'!V45,"AAAAAGX/ftk=")</f>
        <v>#VALUE!</v>
      </c>
      <c r="HK49" t="e">
        <f>AND('Drum - Prod.Crit'!W45,"AAAAAGX/fto=")</f>
        <v>#VALUE!</v>
      </c>
      <c r="HL49" t="e">
        <f>AND('Drum - Prod.Crit'!X45,"AAAAAGX/fts=")</f>
        <v>#VALUE!</v>
      </c>
      <c r="HM49" t="e">
        <f>AND('Drum - Prod.Crit'!Y45,"AAAAAGX/ftw=")</f>
        <v>#VALUE!</v>
      </c>
      <c r="HN49" t="e">
        <f>IF('Drum - Prod.Crit'!#REF!,"AAAAAGX/ft0=",0)</f>
        <v>#REF!</v>
      </c>
      <c r="HO49" t="e">
        <f>AND('Drum - Prod.Crit'!#REF!,"AAAAAGX/ft4=")</f>
        <v>#REF!</v>
      </c>
      <c r="HP49" t="e">
        <f>AND('Drum - Prod.Crit'!#REF!,"AAAAAGX/ft8=")</f>
        <v>#REF!</v>
      </c>
      <c r="HQ49" t="e">
        <f>AND('Drum - Prod.Crit'!#REF!,"AAAAAGX/fuA=")</f>
        <v>#REF!</v>
      </c>
      <c r="HR49" t="e">
        <f>AND('Drum - Prod.Crit'!#REF!,"AAAAAGX/fuE=")</f>
        <v>#REF!</v>
      </c>
      <c r="HS49" t="e">
        <f>AND('Drum - Prod.Crit'!#REF!,"AAAAAGX/fuI=")</f>
        <v>#REF!</v>
      </c>
      <c r="HT49" t="e">
        <f>AND('Drum - Prod.Crit'!#REF!,"AAAAAGX/fuM=")</f>
        <v>#REF!</v>
      </c>
      <c r="HU49" t="e">
        <f>AND('Drum - Prod.Crit'!#REF!,"AAAAAGX/fuQ=")</f>
        <v>#REF!</v>
      </c>
      <c r="HV49" t="e">
        <f>AND('Drum - Prod.Crit'!#REF!,"AAAAAGX/fuU=")</f>
        <v>#REF!</v>
      </c>
      <c r="HW49" t="e">
        <f>AND('Drum - Prod.Crit'!#REF!,"AAAAAGX/fuY=")</f>
        <v>#REF!</v>
      </c>
      <c r="HX49" t="e">
        <f>AND('Drum - Prod.Crit'!#REF!,"AAAAAGX/fuc=")</f>
        <v>#REF!</v>
      </c>
      <c r="HY49" t="e">
        <f>AND('Drum - Prod.Crit'!#REF!,"AAAAAGX/fug=")</f>
        <v>#REF!</v>
      </c>
      <c r="HZ49" t="e">
        <f>AND('Drum - Prod.Crit'!#REF!,"AAAAAGX/fuk=")</f>
        <v>#REF!</v>
      </c>
      <c r="IA49" t="e">
        <f>AND('Drum - Prod.Crit'!#REF!,"AAAAAGX/fuo=")</f>
        <v>#REF!</v>
      </c>
      <c r="IB49" t="e">
        <f>AND('Drum - Prod.Crit'!#REF!,"AAAAAGX/fus=")</f>
        <v>#REF!</v>
      </c>
      <c r="IC49" t="e">
        <f>AND('Drum - Prod.Crit'!#REF!,"AAAAAGX/fuw=")</f>
        <v>#REF!</v>
      </c>
      <c r="ID49" t="e">
        <f>AND('Drum - Prod.Crit'!#REF!,"AAAAAGX/fu0=")</f>
        <v>#REF!</v>
      </c>
      <c r="IE49" t="e">
        <f>AND('Drum - Prod.Crit'!#REF!,"AAAAAGX/fu4=")</f>
        <v>#REF!</v>
      </c>
      <c r="IF49" t="e">
        <f>AND('Drum - Prod.Crit'!#REF!,"AAAAAGX/fu8=")</f>
        <v>#REF!</v>
      </c>
      <c r="IG49" t="e">
        <f>AND('Drum - Prod.Crit'!#REF!,"AAAAAGX/fvA=")</f>
        <v>#REF!</v>
      </c>
      <c r="IH49" t="e">
        <f>AND('Drum - Prod.Crit'!#REF!,"AAAAAGX/fvE=")</f>
        <v>#REF!</v>
      </c>
      <c r="II49" t="e">
        <f>AND('Drum - Prod.Crit'!#REF!,"AAAAAGX/fvI=")</f>
        <v>#REF!</v>
      </c>
      <c r="IJ49" t="e">
        <f>AND('Drum - Prod.Crit'!#REF!,"AAAAAGX/fvM=")</f>
        <v>#REF!</v>
      </c>
      <c r="IK49" t="e">
        <f>AND('Drum - Prod.Crit'!#REF!,"AAAAAGX/fvQ=")</f>
        <v>#REF!</v>
      </c>
      <c r="IL49" t="e">
        <f>AND('Drum - Prod.Crit'!#REF!,"AAAAAGX/fvU=")</f>
        <v>#REF!</v>
      </c>
      <c r="IM49" t="e">
        <f>AND('Drum - Prod.Crit'!#REF!,"AAAAAGX/fvY=")</f>
        <v>#REF!</v>
      </c>
      <c r="IN49" t="e">
        <f>IF('Drum - Prod.Crit'!#REF!,"AAAAAGX/fvc=",0)</f>
        <v>#REF!</v>
      </c>
      <c r="IO49" t="e">
        <f>AND('Drum - Prod.Crit'!#REF!,"AAAAAGX/fvg=")</f>
        <v>#REF!</v>
      </c>
      <c r="IP49" t="e">
        <f>AND('Drum - Prod.Crit'!#REF!,"AAAAAGX/fvk=")</f>
        <v>#REF!</v>
      </c>
      <c r="IQ49" t="e">
        <f>AND('Drum - Prod.Crit'!#REF!,"AAAAAGX/fvo=")</f>
        <v>#REF!</v>
      </c>
      <c r="IR49" t="e">
        <f>AND('Drum - Prod.Crit'!#REF!,"AAAAAGX/fvs=")</f>
        <v>#REF!</v>
      </c>
      <c r="IS49" t="e">
        <f>AND('Drum - Prod.Crit'!#REF!,"AAAAAGX/fvw=")</f>
        <v>#REF!</v>
      </c>
      <c r="IT49" t="e">
        <f>AND('Drum - Prod.Crit'!#REF!,"AAAAAGX/fv0=")</f>
        <v>#REF!</v>
      </c>
      <c r="IU49" t="e">
        <f>AND('Drum - Prod.Crit'!#REF!,"AAAAAGX/fv4=")</f>
        <v>#REF!</v>
      </c>
      <c r="IV49" t="e">
        <f>AND('Drum - Prod.Crit'!#REF!,"AAAAAGX/fv8=")</f>
        <v>#REF!</v>
      </c>
    </row>
    <row r="50" spans="1:256">
      <c r="A50" t="e">
        <f>AND('Drum - Prod.Crit'!#REF!,"AAAAAH/frgA=")</f>
        <v>#REF!</v>
      </c>
      <c r="B50" t="e">
        <f>AND('Drum - Prod.Crit'!#REF!,"AAAAAH/frgE=")</f>
        <v>#REF!</v>
      </c>
      <c r="C50" t="e">
        <f>AND('Drum - Prod.Crit'!#REF!,"AAAAAH/frgI=")</f>
        <v>#REF!</v>
      </c>
      <c r="D50" t="e">
        <f>AND('Drum - Prod.Crit'!#REF!,"AAAAAH/frgM=")</f>
        <v>#REF!</v>
      </c>
      <c r="E50" t="e">
        <f>AND('Drum - Prod.Crit'!#REF!,"AAAAAH/frgQ=")</f>
        <v>#REF!</v>
      </c>
      <c r="F50" t="e">
        <f>AND('Drum - Prod.Crit'!#REF!,"AAAAAH/frgU=")</f>
        <v>#REF!</v>
      </c>
      <c r="G50" t="e">
        <f>AND('Drum - Prod.Crit'!#REF!,"AAAAAH/frgY=")</f>
        <v>#REF!</v>
      </c>
      <c r="H50" t="e">
        <f>AND('Drum - Prod.Crit'!#REF!,"AAAAAH/frgc=")</f>
        <v>#REF!</v>
      </c>
      <c r="I50" t="e">
        <f>AND('Drum - Prod.Crit'!#REF!,"AAAAAH/frgg=")</f>
        <v>#REF!</v>
      </c>
      <c r="J50" t="e">
        <f>AND('Drum - Prod.Crit'!#REF!,"AAAAAH/frgk=")</f>
        <v>#REF!</v>
      </c>
      <c r="K50" t="e">
        <f>AND('Drum - Prod.Crit'!#REF!,"AAAAAH/frgo=")</f>
        <v>#REF!</v>
      </c>
      <c r="L50" t="e">
        <f>AND('Drum - Prod.Crit'!#REF!,"AAAAAH/frgs=")</f>
        <v>#REF!</v>
      </c>
      <c r="M50" t="e">
        <f>AND('Drum - Prod.Crit'!#REF!,"AAAAAH/frgw=")</f>
        <v>#REF!</v>
      </c>
      <c r="N50" t="e">
        <f>AND('Drum - Prod.Crit'!#REF!,"AAAAAH/frg0=")</f>
        <v>#REF!</v>
      </c>
      <c r="O50" t="e">
        <f>AND('Drum - Prod.Crit'!#REF!,"AAAAAH/frg4=")</f>
        <v>#REF!</v>
      </c>
      <c r="P50" t="e">
        <f>AND('Drum - Prod.Crit'!#REF!,"AAAAAH/frg8=")</f>
        <v>#REF!</v>
      </c>
      <c r="Q50" t="e">
        <f>AND('Drum - Prod.Crit'!#REF!,"AAAAAH/frhA=")</f>
        <v>#REF!</v>
      </c>
      <c r="R50" t="e">
        <f>IF('Drum - Prod.Crit'!#REF!,"AAAAAH/frhE=",0)</f>
        <v>#REF!</v>
      </c>
      <c r="S50" t="e">
        <f>AND('Drum - Prod.Crit'!#REF!,"AAAAAH/frhI=")</f>
        <v>#REF!</v>
      </c>
      <c r="T50" t="e">
        <f>AND('Drum - Prod.Crit'!#REF!,"AAAAAH/frhM=")</f>
        <v>#REF!</v>
      </c>
      <c r="U50" t="e">
        <f>AND('Drum - Prod.Crit'!#REF!,"AAAAAH/frhQ=")</f>
        <v>#REF!</v>
      </c>
      <c r="V50" t="e">
        <f>AND('Drum - Prod.Crit'!#REF!,"AAAAAH/frhU=")</f>
        <v>#REF!</v>
      </c>
      <c r="W50" t="e">
        <f>AND('Drum - Prod.Crit'!#REF!,"AAAAAH/frhY=")</f>
        <v>#REF!</v>
      </c>
      <c r="X50" t="e">
        <f>AND('Drum - Prod.Crit'!#REF!,"AAAAAH/frhc=")</f>
        <v>#REF!</v>
      </c>
      <c r="Y50" t="e">
        <f>AND('Drum - Prod.Crit'!#REF!,"AAAAAH/frhg=")</f>
        <v>#REF!</v>
      </c>
      <c r="Z50" t="e">
        <f>AND('Drum - Prod.Crit'!#REF!,"AAAAAH/frhk=")</f>
        <v>#REF!</v>
      </c>
      <c r="AA50" t="e">
        <f>AND('Drum - Prod.Crit'!#REF!,"AAAAAH/frho=")</f>
        <v>#REF!</v>
      </c>
      <c r="AB50" t="e">
        <f>AND('Drum - Prod.Crit'!#REF!,"AAAAAH/frhs=")</f>
        <v>#REF!</v>
      </c>
      <c r="AC50" t="e">
        <f>AND('Drum - Prod.Crit'!#REF!,"AAAAAH/frhw=")</f>
        <v>#REF!</v>
      </c>
      <c r="AD50" t="e">
        <f>AND('Drum - Prod.Crit'!#REF!,"AAAAAH/frh0=")</f>
        <v>#REF!</v>
      </c>
      <c r="AE50" t="e">
        <f>AND('Drum - Prod.Crit'!#REF!,"AAAAAH/frh4=")</f>
        <v>#REF!</v>
      </c>
      <c r="AF50" t="e">
        <f>AND('Drum - Prod.Crit'!#REF!,"AAAAAH/frh8=")</f>
        <v>#REF!</v>
      </c>
      <c r="AG50" t="e">
        <f>AND('Drum - Prod.Crit'!#REF!,"AAAAAH/friA=")</f>
        <v>#REF!</v>
      </c>
      <c r="AH50" t="e">
        <f>AND('Drum - Prod.Crit'!#REF!,"AAAAAH/friE=")</f>
        <v>#REF!</v>
      </c>
      <c r="AI50" t="e">
        <f>AND('Drum - Prod.Crit'!#REF!,"AAAAAH/friI=")</f>
        <v>#REF!</v>
      </c>
      <c r="AJ50" t="e">
        <f>AND('Drum - Prod.Crit'!#REF!,"AAAAAH/friM=")</f>
        <v>#REF!</v>
      </c>
      <c r="AK50" t="e">
        <f>AND('Drum - Prod.Crit'!#REF!,"AAAAAH/friQ=")</f>
        <v>#REF!</v>
      </c>
      <c r="AL50" t="e">
        <f>AND('Drum - Prod.Crit'!#REF!,"AAAAAH/friU=")</f>
        <v>#REF!</v>
      </c>
      <c r="AM50" t="e">
        <f>AND('Drum - Prod.Crit'!#REF!,"AAAAAH/friY=")</f>
        <v>#REF!</v>
      </c>
      <c r="AN50" t="e">
        <f>AND('Drum - Prod.Crit'!#REF!,"AAAAAH/fric=")</f>
        <v>#REF!</v>
      </c>
      <c r="AO50" t="e">
        <f>AND('Drum - Prod.Crit'!#REF!,"AAAAAH/frig=")</f>
        <v>#REF!</v>
      </c>
      <c r="AP50" t="e">
        <f>AND('Drum - Prod.Crit'!#REF!,"AAAAAH/frik=")</f>
        <v>#REF!</v>
      </c>
      <c r="AQ50" t="e">
        <f>AND('Drum - Prod.Crit'!#REF!,"AAAAAH/frio=")</f>
        <v>#REF!</v>
      </c>
      <c r="AR50" t="e">
        <f>IF('Drum - Prod.Crit'!#REF!,"AAAAAH/fris=",0)</f>
        <v>#REF!</v>
      </c>
      <c r="AS50" t="e">
        <f>AND('Drum - Prod.Crit'!#REF!,"AAAAAH/friw=")</f>
        <v>#REF!</v>
      </c>
      <c r="AT50" t="e">
        <f>AND('Drum - Prod.Crit'!#REF!,"AAAAAH/fri0=")</f>
        <v>#REF!</v>
      </c>
      <c r="AU50" t="e">
        <f>AND('Drum - Prod.Crit'!#REF!,"AAAAAH/fri4=")</f>
        <v>#REF!</v>
      </c>
      <c r="AV50" t="e">
        <f>AND('Drum - Prod.Crit'!#REF!,"AAAAAH/fri8=")</f>
        <v>#REF!</v>
      </c>
      <c r="AW50" t="e">
        <f>AND('Drum - Prod.Crit'!#REF!,"AAAAAH/frjA=")</f>
        <v>#REF!</v>
      </c>
      <c r="AX50" t="e">
        <f>AND('Drum - Prod.Crit'!#REF!,"AAAAAH/frjE=")</f>
        <v>#REF!</v>
      </c>
      <c r="AY50" t="e">
        <f>AND('Drum - Prod.Crit'!#REF!,"AAAAAH/frjI=")</f>
        <v>#REF!</v>
      </c>
      <c r="AZ50" t="e">
        <f>AND('Drum - Prod.Crit'!#REF!,"AAAAAH/frjM=")</f>
        <v>#REF!</v>
      </c>
      <c r="BA50" t="e">
        <f>AND('Drum - Prod.Crit'!#REF!,"AAAAAH/frjQ=")</f>
        <v>#REF!</v>
      </c>
      <c r="BB50" t="e">
        <f>AND('Drum - Prod.Crit'!#REF!,"AAAAAH/frjU=")</f>
        <v>#REF!</v>
      </c>
      <c r="BC50" t="e">
        <f>AND('Drum - Prod.Crit'!#REF!,"AAAAAH/frjY=")</f>
        <v>#REF!</v>
      </c>
      <c r="BD50" t="e">
        <f>AND('Drum - Prod.Crit'!#REF!,"AAAAAH/frjc=")</f>
        <v>#REF!</v>
      </c>
      <c r="BE50" t="e">
        <f>AND('Drum - Prod.Crit'!#REF!,"AAAAAH/frjg=")</f>
        <v>#REF!</v>
      </c>
      <c r="BF50" t="e">
        <f>AND('Drum - Prod.Crit'!#REF!,"AAAAAH/frjk=")</f>
        <v>#REF!</v>
      </c>
      <c r="BG50" t="e">
        <f>AND('Drum - Prod.Crit'!#REF!,"AAAAAH/frjo=")</f>
        <v>#REF!</v>
      </c>
      <c r="BH50" t="e">
        <f>AND('Drum - Prod.Crit'!#REF!,"AAAAAH/frjs=")</f>
        <v>#REF!</v>
      </c>
      <c r="BI50" t="e">
        <f>AND('Drum - Prod.Crit'!#REF!,"AAAAAH/frjw=")</f>
        <v>#REF!</v>
      </c>
      <c r="BJ50" t="e">
        <f>AND('Drum - Prod.Crit'!#REF!,"AAAAAH/frj0=")</f>
        <v>#REF!</v>
      </c>
      <c r="BK50" t="e">
        <f>AND('Drum - Prod.Crit'!#REF!,"AAAAAH/frj4=")</f>
        <v>#REF!</v>
      </c>
      <c r="BL50" t="e">
        <f>AND('Drum - Prod.Crit'!#REF!,"AAAAAH/frj8=")</f>
        <v>#REF!</v>
      </c>
      <c r="BM50" t="e">
        <f>AND('Drum - Prod.Crit'!#REF!,"AAAAAH/frkA=")</f>
        <v>#REF!</v>
      </c>
      <c r="BN50" t="e">
        <f>AND('Drum - Prod.Crit'!#REF!,"AAAAAH/frkE=")</f>
        <v>#REF!</v>
      </c>
      <c r="BO50" t="e">
        <f>AND('Drum - Prod.Crit'!#REF!,"AAAAAH/frkI=")</f>
        <v>#REF!</v>
      </c>
      <c r="BP50" t="e">
        <f>AND('Drum - Prod.Crit'!#REF!,"AAAAAH/frkM=")</f>
        <v>#REF!</v>
      </c>
      <c r="BQ50" t="e">
        <f>AND('Drum - Prod.Crit'!#REF!,"AAAAAH/frkQ=")</f>
        <v>#REF!</v>
      </c>
      <c r="BR50" t="e">
        <f>IF('Drum - Prod.Crit'!#REF!,"AAAAAH/frkU=",0)</f>
        <v>#REF!</v>
      </c>
      <c r="BS50" t="e">
        <f>AND('Drum - Prod.Crit'!#REF!,"AAAAAH/frkY=")</f>
        <v>#REF!</v>
      </c>
      <c r="BT50" t="e">
        <f>AND('Drum - Prod.Crit'!#REF!,"AAAAAH/frkc=")</f>
        <v>#REF!</v>
      </c>
      <c r="BU50" t="e">
        <f>AND('Drum - Prod.Crit'!#REF!,"AAAAAH/frkg=")</f>
        <v>#REF!</v>
      </c>
      <c r="BV50" t="e">
        <f>AND('Drum - Prod.Crit'!#REF!,"AAAAAH/frkk=")</f>
        <v>#REF!</v>
      </c>
      <c r="BW50" t="e">
        <f>AND('Drum - Prod.Crit'!#REF!,"AAAAAH/frko=")</f>
        <v>#REF!</v>
      </c>
      <c r="BX50" t="e">
        <f>AND('Drum - Prod.Crit'!#REF!,"AAAAAH/frks=")</f>
        <v>#REF!</v>
      </c>
      <c r="BY50" t="e">
        <f>AND('Drum - Prod.Crit'!#REF!,"AAAAAH/frkw=")</f>
        <v>#REF!</v>
      </c>
      <c r="BZ50" t="e">
        <f>AND('Drum - Prod.Crit'!#REF!,"AAAAAH/frk0=")</f>
        <v>#REF!</v>
      </c>
      <c r="CA50" t="e">
        <f>AND('Drum - Prod.Crit'!#REF!,"AAAAAH/frk4=")</f>
        <v>#REF!</v>
      </c>
      <c r="CB50" t="e">
        <f>AND('Drum - Prod.Crit'!#REF!,"AAAAAH/frk8=")</f>
        <v>#REF!</v>
      </c>
      <c r="CC50" t="e">
        <f>AND('Drum - Prod.Crit'!#REF!,"AAAAAH/frlA=")</f>
        <v>#REF!</v>
      </c>
      <c r="CD50" t="e">
        <f>AND('Drum - Prod.Crit'!#REF!,"AAAAAH/frlE=")</f>
        <v>#REF!</v>
      </c>
      <c r="CE50" t="e">
        <f>AND('Drum - Prod.Crit'!#REF!,"AAAAAH/frlI=")</f>
        <v>#REF!</v>
      </c>
      <c r="CF50" t="e">
        <f>AND('Drum - Prod.Crit'!#REF!,"AAAAAH/frlM=")</f>
        <v>#REF!</v>
      </c>
      <c r="CG50" t="e">
        <f>AND('Drum - Prod.Crit'!#REF!,"AAAAAH/frlQ=")</f>
        <v>#REF!</v>
      </c>
      <c r="CH50" t="e">
        <f>AND('Drum - Prod.Crit'!#REF!,"AAAAAH/frlU=")</f>
        <v>#REF!</v>
      </c>
      <c r="CI50" t="e">
        <f>AND('Drum - Prod.Crit'!#REF!,"AAAAAH/frlY=")</f>
        <v>#REF!</v>
      </c>
      <c r="CJ50" t="e">
        <f>AND('Drum - Prod.Crit'!#REF!,"AAAAAH/frlc=")</f>
        <v>#REF!</v>
      </c>
      <c r="CK50" t="e">
        <f>AND('Drum - Prod.Crit'!#REF!,"AAAAAH/frlg=")</f>
        <v>#REF!</v>
      </c>
      <c r="CL50" t="e">
        <f>AND('Drum - Prod.Crit'!#REF!,"AAAAAH/frlk=")</f>
        <v>#REF!</v>
      </c>
      <c r="CM50" t="e">
        <f>AND('Drum - Prod.Crit'!#REF!,"AAAAAH/frlo=")</f>
        <v>#REF!</v>
      </c>
      <c r="CN50" t="e">
        <f>AND('Drum - Prod.Crit'!#REF!,"AAAAAH/frls=")</f>
        <v>#REF!</v>
      </c>
      <c r="CO50" t="e">
        <f>AND('Drum - Prod.Crit'!#REF!,"AAAAAH/frlw=")</f>
        <v>#REF!</v>
      </c>
      <c r="CP50" t="e">
        <f>AND('Drum - Prod.Crit'!#REF!,"AAAAAH/frl0=")</f>
        <v>#REF!</v>
      </c>
      <c r="CQ50" t="e">
        <f>AND('Drum - Prod.Crit'!#REF!,"AAAAAH/frl4=")</f>
        <v>#REF!</v>
      </c>
      <c r="CR50" t="e">
        <f>IF('Drum - Prod.Crit'!#REF!,"AAAAAH/frl8=",0)</f>
        <v>#REF!</v>
      </c>
      <c r="CS50" t="e">
        <f>AND('Drum - Prod.Crit'!#REF!,"AAAAAH/frmA=")</f>
        <v>#REF!</v>
      </c>
      <c r="CT50" t="e">
        <f>AND('Drum - Prod.Crit'!#REF!,"AAAAAH/frmE=")</f>
        <v>#REF!</v>
      </c>
      <c r="CU50" t="e">
        <f>AND('Drum - Prod.Crit'!#REF!,"AAAAAH/frmI=")</f>
        <v>#REF!</v>
      </c>
      <c r="CV50" t="e">
        <f>AND('Drum - Prod.Crit'!#REF!,"AAAAAH/frmM=")</f>
        <v>#REF!</v>
      </c>
      <c r="CW50" t="e">
        <f>AND('Drum - Prod.Crit'!#REF!,"AAAAAH/frmQ=")</f>
        <v>#REF!</v>
      </c>
      <c r="CX50" t="e">
        <f>AND('Drum - Prod.Crit'!#REF!,"AAAAAH/frmU=")</f>
        <v>#REF!</v>
      </c>
      <c r="CY50" t="e">
        <f>AND('Drum - Prod.Crit'!#REF!,"AAAAAH/frmY=")</f>
        <v>#REF!</v>
      </c>
      <c r="CZ50" t="e">
        <f>AND('Drum - Prod.Crit'!#REF!,"AAAAAH/frmc=")</f>
        <v>#REF!</v>
      </c>
      <c r="DA50" t="e">
        <f>AND('Drum - Prod.Crit'!#REF!,"AAAAAH/frmg=")</f>
        <v>#REF!</v>
      </c>
      <c r="DB50" t="e">
        <f>AND('Drum - Prod.Crit'!#REF!,"AAAAAH/frmk=")</f>
        <v>#REF!</v>
      </c>
      <c r="DC50" t="e">
        <f>AND('Drum - Prod.Crit'!#REF!,"AAAAAH/frmo=")</f>
        <v>#REF!</v>
      </c>
      <c r="DD50" t="e">
        <f>AND('Drum - Prod.Crit'!#REF!,"AAAAAH/frms=")</f>
        <v>#REF!</v>
      </c>
      <c r="DE50" t="e">
        <f>AND('Drum - Prod.Crit'!#REF!,"AAAAAH/frmw=")</f>
        <v>#REF!</v>
      </c>
      <c r="DF50" t="e">
        <f>AND('Drum - Prod.Crit'!#REF!,"AAAAAH/frm0=")</f>
        <v>#REF!</v>
      </c>
      <c r="DG50" t="e">
        <f>AND('Drum - Prod.Crit'!#REF!,"AAAAAH/frm4=")</f>
        <v>#REF!</v>
      </c>
      <c r="DH50" t="e">
        <f>AND('Drum - Prod.Crit'!#REF!,"AAAAAH/frm8=")</f>
        <v>#REF!</v>
      </c>
      <c r="DI50" t="e">
        <f>AND('Drum - Prod.Crit'!#REF!,"AAAAAH/frnA=")</f>
        <v>#REF!</v>
      </c>
      <c r="DJ50" t="e">
        <f>AND('Drum - Prod.Crit'!#REF!,"AAAAAH/frnE=")</f>
        <v>#REF!</v>
      </c>
      <c r="DK50" t="e">
        <f>AND('Drum - Prod.Crit'!#REF!,"AAAAAH/frnI=")</f>
        <v>#REF!</v>
      </c>
      <c r="DL50" t="e">
        <f>AND('Drum - Prod.Crit'!#REF!,"AAAAAH/frnM=")</f>
        <v>#REF!</v>
      </c>
      <c r="DM50" t="e">
        <f>AND('Drum - Prod.Crit'!#REF!,"AAAAAH/frnQ=")</f>
        <v>#REF!</v>
      </c>
      <c r="DN50" t="e">
        <f>AND('Drum - Prod.Crit'!#REF!,"AAAAAH/frnU=")</f>
        <v>#REF!</v>
      </c>
      <c r="DO50" t="e">
        <f>AND('Drum - Prod.Crit'!#REF!,"AAAAAH/frnY=")</f>
        <v>#REF!</v>
      </c>
      <c r="DP50" t="e">
        <f>AND('Drum - Prod.Crit'!#REF!,"AAAAAH/frnc=")</f>
        <v>#REF!</v>
      </c>
      <c r="DQ50" t="e">
        <f>AND('Drum - Prod.Crit'!#REF!,"AAAAAH/frng=")</f>
        <v>#REF!</v>
      </c>
      <c r="DR50" t="e">
        <f>IF('Drum - Prod.Crit'!#REF!,"AAAAAH/frnk=",0)</f>
        <v>#REF!</v>
      </c>
      <c r="DS50">
        <f>IF('Drum - Prod.Crit'!46:46,"AAAAAH/frno=",0)</f>
        <v>0</v>
      </c>
      <c r="DT50">
        <f>IF('Drum - Prod.Crit'!47:47,"AAAAAH/frns=",0)</f>
        <v>0</v>
      </c>
      <c r="DU50">
        <f>IF('Drum - Prod.Crit'!A:A,"AAAAAH/frnw=",0)</f>
        <v>0</v>
      </c>
      <c r="DV50">
        <f>IF('Drum - Prod.Crit'!B:B,"AAAAAH/frn0=",0)</f>
        <v>0</v>
      </c>
      <c r="DW50">
        <f>IF('Drum - Prod.Crit'!C:C,"AAAAAH/frn4=",0)</f>
        <v>0</v>
      </c>
      <c r="DX50">
        <f>IF('Drum - Prod.Crit'!D:D,"AAAAAH/frn8=",0)</f>
        <v>0</v>
      </c>
      <c r="DY50">
        <f>IF('Drum - Prod.Crit'!E:E,"AAAAAH/froA=",0)</f>
        <v>0</v>
      </c>
      <c r="DZ50">
        <f>IF('Drum - Prod.Crit'!F:F,"AAAAAH/froE=",0)</f>
        <v>0</v>
      </c>
      <c r="EA50">
        <f>IF('Drum - Prod.Crit'!G:G,"AAAAAH/froI=",0)</f>
        <v>0</v>
      </c>
      <c r="EB50">
        <f>IF('Drum - Prod.Crit'!H:H,"AAAAAH/froM=",0)</f>
        <v>0</v>
      </c>
      <c r="EC50">
        <f>IF('Drum - Prod.Crit'!I:I,"AAAAAH/froQ=",0)</f>
        <v>0</v>
      </c>
      <c r="ED50">
        <f>IF('Drum - Prod.Crit'!J:J,"AAAAAH/froU=",0)</f>
        <v>0</v>
      </c>
      <c r="EE50">
        <f>IF('Drum - Prod.Crit'!K:K,"AAAAAH/froY=",0)</f>
        <v>0</v>
      </c>
      <c r="EF50">
        <f>IF('Drum - Prod.Crit'!L:L,"AAAAAH/froc=",0)</f>
        <v>0</v>
      </c>
      <c r="EG50">
        <f>IF('Drum - Prod.Crit'!M:M,"AAAAAH/frog=",0)</f>
        <v>0</v>
      </c>
      <c r="EH50">
        <f>IF('Drum - Prod.Crit'!N:N,"AAAAAH/frok=",0)</f>
        <v>0</v>
      </c>
      <c r="EI50">
        <f>IF('Drum - Prod.Crit'!O:O,"AAAAAH/froo=",0)</f>
        <v>0</v>
      </c>
      <c r="EJ50">
        <f>IF('Drum - Prod.Crit'!P:P,"AAAAAH/fros=",0)</f>
        <v>0</v>
      </c>
      <c r="EK50">
        <f>IF('Drum - Prod.Crit'!Q:Q,"AAAAAH/frow=",0)</f>
        <v>0</v>
      </c>
      <c r="EL50">
        <f>IF('Drum - Prod.Crit'!R:R,"AAAAAH/fro0=",0)</f>
        <v>0</v>
      </c>
      <c r="EM50">
        <f>IF('Drum - Prod.Crit'!S:S,"AAAAAH/fro4=",0)</f>
        <v>0</v>
      </c>
      <c r="EN50">
        <f>IF('Drum - Prod.Crit'!T:T,"AAAAAH/fro8=",0)</f>
        <v>0</v>
      </c>
      <c r="EO50">
        <f>IF('Drum - Prod.Crit'!U:U,"AAAAAH/frpA=",0)</f>
        <v>0</v>
      </c>
      <c r="EP50">
        <f>IF('Drum - Prod.Crit'!V:V,"AAAAAH/frpE=",0)</f>
        <v>0</v>
      </c>
      <c r="EQ50">
        <f>IF('Drum - Prod.Crit'!W:W,"AAAAAH/frpI=",0)</f>
        <v>0</v>
      </c>
      <c r="ER50">
        <f>IF('Drum - Prod.Crit'!X:X,"AAAAAH/frpM=",0)</f>
        <v>0</v>
      </c>
      <c r="ES50">
        <f>IF('Drum - Prod.Crit'!Y:Y,"AAAAAH/frpQ=",0)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61</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Inputs</vt:lpstr>
      <vt:lpstr>Output - Criteria</vt:lpstr>
      <vt:lpstr>Drum - Prod.Crit</vt:lpstr>
      <vt:lpstr>Batch - Prod.Crit</vt:lpstr>
      <vt:lpstr>LOSF.Crit</vt:lpstr>
      <vt:lpstr>Aggregates Handling</vt:lpstr>
      <vt:lpstr>Storage Piles</vt:lpstr>
      <vt:lpstr>Lime Silo</vt:lpstr>
      <vt:lpstr>Auxiliary Heater</vt:lpstr>
      <vt:lpstr>Engine</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2013-04-16T19:19:21Z</cp:lastPrinted>
  <dcterms:created xsi:type="dcterms:W3CDTF">2007-09-11T16:38:45Z</dcterms:created>
  <dcterms:modified xsi:type="dcterms:W3CDTF">2016-06-02T17:34:40Z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