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a.ad.epa.gov\ord\RTP\Users\A-D\bwrigh02\Net MyDocuments\EPA Protocol Gases\2016 Protocol\"/>
    </mc:Choice>
  </mc:AlternateContent>
  <bookViews>
    <workbookView xWindow="165" yWindow="-75" windowWidth="21120" windowHeight="15480" tabRatio="500"/>
  </bookViews>
  <sheets>
    <sheet name="ReadMe" sheetId="31" r:id="rId1"/>
    <sheet name="Day of Use" sheetId="30" r:id="rId2"/>
    <sheet name="Monthly Flow Check" sheetId="29" r:id="rId3"/>
    <sheet name="Annual Gas Check" sheetId="28" r:id="rId4"/>
    <sheet name="Pollutant Annual Calibration" sheetId="3" r:id="rId5"/>
    <sheet name="Zero Gas Annual Calibration" sheetId="14" r:id="rId6"/>
    <sheet name="Curves 1 Zero" sheetId="15" r:id="rId7"/>
    <sheet name="Residuals 1 Zero" sheetId="16" r:id="rId8"/>
    <sheet name="Curves 2 Zero" sheetId="17" r:id="rId9"/>
    <sheet name="Residuals 2 Zero" sheetId="18" r:id="rId10"/>
    <sheet name="Curves 1 Pollutant" sheetId="4" r:id="rId11"/>
    <sheet name=" Residuals 1 Pollutant" sheetId="5" r:id="rId12"/>
    <sheet name="Curves 2 Pollutant" sheetId="6" r:id="rId13"/>
    <sheet name="Residuals 2 Pollutant" sheetId="7" r:id="rId14"/>
    <sheet name="Chart Data Pollutant" sheetId="12" r:id="rId15"/>
    <sheet name="Chart Data Zero Gas" sheetId="23" r:id="rId16"/>
  </sheets>
  <definedNames>
    <definedName name="_Matinvers_ln_new" hidden="1">#REF!</definedName>
    <definedName name="_Matinvers_Out_new" hidden="1">'Zero Gas Annual Calibration'!$Y$20:$Y$20</definedName>
    <definedName name="_MatInverse_In" hidden="1">'Pollutant Annual Calibration'!$U$12:$W$14</definedName>
    <definedName name="_Matinverse_ln_new" hidden="1">'Zero Gas Annual Calibration'!$U$12:$W$14</definedName>
    <definedName name="_MatInverse_Out" hidden="1">'Pollutant Annual Calibration'!$Y$20:$Y$20</definedName>
    <definedName name="_MatInverse_Out_new" hidden="1">#REF!</definedName>
    <definedName name="_MatMult_A" localSheetId="0" hidden="1">'Pollutant Annual Calibration'!#REF!</definedName>
    <definedName name="_MatMult_A" hidden="1">'Pollutant Annual Calibration'!#REF!</definedName>
    <definedName name="_MatMult_A_new" localSheetId="0" hidden="1">'Zero Gas Annual Calibration'!#REF!</definedName>
    <definedName name="_MatMult_A_new" hidden="1">'Zero Gas Annual Calibration'!#REF!</definedName>
    <definedName name="_MatMult_AxB" localSheetId="0" hidden="1">'Pollutant Annual Calibration'!#REF!</definedName>
    <definedName name="_MatMult_AxB" hidden="1">'Pollutant Annual Calibration'!#REF!</definedName>
    <definedName name="_MatMult_AxB_new" localSheetId="0" hidden="1">'Zero Gas Annual Calibration'!#REF!</definedName>
    <definedName name="_MatMult_AxB_new" hidden="1">'Zero Gas Annual Calibration'!#REF!</definedName>
    <definedName name="_MatMult_B" localSheetId="0" hidden="1">'Pollutant Annual Calibration'!#REF!</definedName>
    <definedName name="_MatMult_B" hidden="1">'Pollutant Annual Calibration'!#REF!</definedName>
    <definedName name="_MatMult_B_new" localSheetId="0" hidden="1">'Zero Gas Annual Calibration'!#REF!</definedName>
    <definedName name="_MatMult_B_new" hidden="1">'Zero Gas Annual Calibration'!#REF!</definedName>
    <definedName name="df">'Pollutant Annual Calibration'!$K$34</definedName>
    <definedName name="df_new">'Zero Gas Annual Calibration'!$K$34</definedName>
    <definedName name="n">'Pollutant Annual Calibration'!$K$56</definedName>
    <definedName name="n_new">'Zero Gas Annual Calibration'!$K$56</definedName>
    <definedName name="p">'Pollutant Annual Calibration'!$U$56</definedName>
    <definedName name="p_new">'Zero Gas Annual Calibration'!$U$56</definedName>
    <definedName name="_xlnm.Print_Area" localSheetId="4">'Pollutant Annual Calibration'!$A$2:$J$160</definedName>
    <definedName name="_xlnm.Print_Area" localSheetId="5">'Zero Gas Annual Calibration'!$A$2:$J$160</definedName>
    <definedName name="t">'Pollutant Annual Calibration'!$K$37</definedName>
    <definedName name="t_new">'Zero Gas Annual Calibration'!$K$37</definedName>
    <definedName name="X">'Pollutant Annual Calibration'!$C$12:$C$61</definedName>
    <definedName name="X_new">'Zero Gas Annual Calibration'!$C$12:$C$61</definedName>
    <definedName name="xcubed">'Pollutant Annual Calibration'!$AB$12:$AB$61</definedName>
    <definedName name="xcubed_new">'Zero Gas Annual Calibration'!$AB$12:$AB$61</definedName>
    <definedName name="xsquared">'Pollutant Annual Calibration'!$S$12:$S$61</definedName>
    <definedName name="xsquared_new">'Zero Gas Annual Calibration'!$S$12:$S$61</definedName>
    <definedName name="Y">'Pollutant Annual Calibration'!$D$12:$D$61</definedName>
    <definedName name="Y_new">'Zero Gas Annual Calibration'!$D$12:$D$61</definedName>
  </definedNames>
  <calcPr calcId="152511"/>
</workbook>
</file>

<file path=xl/calcChain.xml><?xml version="1.0" encoding="utf-8"?>
<calcChain xmlns="http://schemas.openxmlformats.org/spreadsheetml/2006/main">
  <c r="K31" i="14" l="1"/>
  <c r="K31" i="3"/>
  <c r="C96" i="28"/>
  <c r="C93" i="28"/>
  <c r="C69" i="28" s="1"/>
  <c r="F70" i="28" s="1"/>
  <c r="C43" i="29"/>
  <c r="B50" i="30"/>
  <c r="D34" i="30" s="1"/>
  <c r="H38" i="30"/>
  <c r="B38" i="30"/>
  <c r="H43" i="29"/>
  <c r="H90" i="28"/>
  <c r="C90" i="28"/>
  <c r="I23" i="29"/>
  <c r="I51" i="28"/>
  <c r="C84" i="28"/>
  <c r="H84" i="28"/>
  <c r="H96" i="28"/>
  <c r="H93" i="28"/>
  <c r="I69" i="28" s="1"/>
  <c r="K25" i="28"/>
  <c r="K45" i="28"/>
  <c r="K47" i="28"/>
  <c r="K37" i="28"/>
  <c r="E2" i="30"/>
  <c r="E2" i="29"/>
  <c r="A6" i="23"/>
  <c r="B63" i="23" s="1"/>
  <c r="A7" i="23"/>
  <c r="K56" i="14"/>
  <c r="C30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C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K34" i="14"/>
  <c r="H9" i="23" s="1"/>
  <c r="H8" i="23"/>
  <c r="A8" i="23"/>
  <c r="H7" i="23"/>
  <c r="K24" i="14"/>
  <c r="U26" i="14"/>
  <c r="AD26" i="14" s="1"/>
  <c r="BG27" i="14" s="1"/>
  <c r="K23" i="14"/>
  <c r="U25" i="14"/>
  <c r="U12" i="14"/>
  <c r="AD12" i="14"/>
  <c r="L13" i="14"/>
  <c r="V13" i="14"/>
  <c r="AE13" i="14" s="1"/>
  <c r="BH13" i="14" s="1"/>
  <c r="K13" i="14"/>
  <c r="U13" i="14"/>
  <c r="S12" i="14"/>
  <c r="S13" i="14"/>
  <c r="V14" i="14" s="1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K12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AB12" i="14"/>
  <c r="AE15" i="14" s="1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BG50" i="14"/>
  <c r="C129" i="14"/>
  <c r="BG35" i="14"/>
  <c r="C125" i="14"/>
  <c r="C124" i="14"/>
  <c r="AD50" i="14"/>
  <c r="C111" i="14" s="1"/>
  <c r="AD35" i="14"/>
  <c r="C107" i="14" s="1"/>
  <c r="C106" i="14"/>
  <c r="U50" i="14"/>
  <c r="C90" i="14"/>
  <c r="U35" i="14"/>
  <c r="C86" i="14"/>
  <c r="C85" i="14"/>
  <c r="K37" i="14"/>
  <c r="C76" i="14" s="1"/>
  <c r="C75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15" i="14"/>
  <c r="B16" i="14" s="1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A6" i="12"/>
  <c r="B63" i="12" s="1"/>
  <c r="A7" i="12"/>
  <c r="K56" i="3"/>
  <c r="C58" i="12" s="1"/>
  <c r="C60" i="12"/>
  <c r="C54" i="12"/>
  <c r="C50" i="12"/>
  <c r="C46" i="12"/>
  <c r="C44" i="12"/>
  <c r="C42" i="12"/>
  <c r="C40" i="12"/>
  <c r="C38" i="12"/>
  <c r="C36" i="12"/>
  <c r="C34" i="12"/>
  <c r="C32" i="12"/>
  <c r="B30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A8" i="12"/>
  <c r="K24" i="3"/>
  <c r="U26" i="3"/>
  <c r="AD26" i="3" s="1"/>
  <c r="BG27" i="3" s="1"/>
  <c r="K23" i="3"/>
  <c r="U25" i="3"/>
  <c r="AD25" i="3" s="1"/>
  <c r="BG26" i="3" s="1"/>
  <c r="L13" i="3"/>
  <c r="V13" i="3"/>
  <c r="K13" i="3"/>
  <c r="U13" i="3"/>
  <c r="S12" i="3"/>
  <c r="U14" i="3" s="1"/>
  <c r="S13" i="3"/>
  <c r="S14" i="3"/>
  <c r="S15" i="3"/>
  <c r="U27" i="3" s="1"/>
  <c r="AD27" i="3" s="1"/>
  <c r="BG28" i="3" s="1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V14" i="3" s="1"/>
  <c r="S55" i="3"/>
  <c r="S56" i="3"/>
  <c r="S57" i="3"/>
  <c r="S58" i="3"/>
  <c r="S59" i="3"/>
  <c r="S60" i="3"/>
  <c r="S61" i="3"/>
  <c r="W14" i="3"/>
  <c r="AF14" i="3" s="1"/>
  <c r="BI14" i="3" s="1"/>
  <c r="K12" i="3"/>
  <c r="BE12" i="3"/>
  <c r="BK16" i="3" s="1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AB12" i="3"/>
  <c r="AB13" i="3"/>
  <c r="AE15" i="3" s="1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C124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AF15" i="3"/>
  <c r="AG14" i="3" s="1"/>
  <c r="BJ14" i="3" s="1"/>
  <c r="BI16" i="3"/>
  <c r="BG30" i="3"/>
  <c r="AF15" i="14"/>
  <c r="AG14" i="14"/>
  <c r="BJ14" i="14" s="1"/>
  <c r="U27" i="14"/>
  <c r="AD27" i="14" s="1"/>
  <c r="BG28" i="14" s="1"/>
  <c r="BJ16" i="14"/>
  <c r="BK15" i="14"/>
  <c r="BH16" i="14"/>
  <c r="BI16" i="14"/>
  <c r="BK16" i="14"/>
  <c r="AD28" i="14"/>
  <c r="BG29" i="14" s="1"/>
  <c r="BG30" i="14"/>
  <c r="AG15" i="14"/>
  <c r="BJ15" i="14"/>
  <c r="BK14" i="14" s="1"/>
  <c r="BG16" i="14"/>
  <c r="U14" i="14"/>
  <c r="W12" i="14"/>
  <c r="L12" i="14"/>
  <c r="H6" i="23"/>
  <c r="B29" i="23"/>
  <c r="B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AD14" i="14"/>
  <c r="BG14" i="14"/>
  <c r="AD15" i="14"/>
  <c r="BG15" i="14"/>
  <c r="W14" i="14"/>
  <c r="AF14" i="14"/>
  <c r="BI14" i="14" s="1"/>
  <c r="C61" i="23"/>
  <c r="BI15" i="14"/>
  <c r="BK13" i="14"/>
  <c r="B61" i="12"/>
  <c r="B59" i="12"/>
  <c r="B57" i="12"/>
  <c r="B55" i="12"/>
  <c r="B53" i="12"/>
  <c r="B51" i="12"/>
  <c r="B49" i="12"/>
  <c r="B47" i="12"/>
  <c r="AG12" i="14"/>
  <c r="BJ12" i="14"/>
  <c r="AD13" i="14"/>
  <c r="BG13" i="14"/>
  <c r="C28" i="12"/>
  <c r="B31" i="12"/>
  <c r="B33" i="12"/>
  <c r="B35" i="12"/>
  <c r="B37" i="12"/>
  <c r="B39" i="12"/>
  <c r="B41" i="12"/>
  <c r="B43" i="12"/>
  <c r="B45" i="12"/>
  <c r="C47" i="12"/>
  <c r="C51" i="12"/>
  <c r="C55" i="12"/>
  <c r="C59" i="12"/>
  <c r="B61" i="23"/>
  <c r="V12" i="14"/>
  <c r="AE12" i="14"/>
  <c r="K16" i="14"/>
  <c r="K20" i="14" s="1"/>
  <c r="L19" i="14" s="1"/>
  <c r="L20" i="14"/>
  <c r="K19" i="14"/>
  <c r="BG12" i="14"/>
  <c r="AD13" i="3"/>
  <c r="BG13" i="3" s="1"/>
  <c r="AD25" i="14"/>
  <c r="C61" i="12"/>
  <c r="C57" i="12"/>
  <c r="C53" i="12"/>
  <c r="C49" i="12"/>
  <c r="B46" i="12"/>
  <c r="B44" i="12"/>
  <c r="B42" i="12"/>
  <c r="B40" i="12"/>
  <c r="B38" i="12"/>
  <c r="B36" i="12"/>
  <c r="B34" i="12"/>
  <c r="B32" i="12"/>
  <c r="C29" i="12"/>
  <c r="B48" i="12"/>
  <c r="B50" i="12"/>
  <c r="B52" i="12"/>
  <c r="B54" i="12"/>
  <c r="B56" i="12"/>
  <c r="B58" i="12"/>
  <c r="B60" i="12"/>
  <c r="C30" i="12"/>
  <c r="L12" i="3"/>
  <c r="V12" i="3" s="1"/>
  <c r="AE12" i="3" s="1"/>
  <c r="C106" i="3"/>
  <c r="U12" i="3"/>
  <c r="K34" i="3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B29" i="12"/>
  <c r="C31" i="12"/>
  <c r="C33" i="12"/>
  <c r="C35" i="12"/>
  <c r="C37" i="12"/>
  <c r="C39" i="12"/>
  <c r="C41" i="12"/>
  <c r="C43" i="12"/>
  <c r="C45" i="12"/>
  <c r="C48" i="12"/>
  <c r="C52" i="12"/>
  <c r="C56" i="12"/>
  <c r="H9" i="12"/>
  <c r="H6" i="12"/>
  <c r="BG50" i="3"/>
  <c r="C129" i="3" s="1"/>
  <c r="BG35" i="3"/>
  <c r="C125" i="3"/>
  <c r="U50" i="3"/>
  <c r="C90" i="3" s="1"/>
  <c r="U35" i="3"/>
  <c r="C86" i="3"/>
  <c r="C85" i="3"/>
  <c r="H8" i="12"/>
  <c r="H7" i="12"/>
  <c r="AD50" i="3"/>
  <c r="C111" i="3"/>
  <c r="AD35" i="3"/>
  <c r="C107" i="3"/>
  <c r="K37" i="3"/>
  <c r="C76" i="3"/>
  <c r="C75" i="3"/>
  <c r="K27" i="14"/>
  <c r="K16" i="3"/>
  <c r="L20" i="3" s="1"/>
  <c r="K20" i="3"/>
  <c r="L19" i="3"/>
  <c r="K28" i="3" s="1"/>
  <c r="K19" i="3"/>
  <c r="K27" i="3"/>
  <c r="M27" i="3" s="1"/>
  <c r="BH12" i="14"/>
  <c r="AE13" i="3"/>
  <c r="BH13" i="3" s="1"/>
  <c r="D63" i="12"/>
  <c r="E63" i="12"/>
  <c r="BH12" i="3"/>
  <c r="C63" i="23"/>
  <c r="E63" i="23"/>
  <c r="K40" i="3"/>
  <c r="K43" i="3" s="1"/>
  <c r="K46" i="3"/>
  <c r="K49" i="3" s="1"/>
  <c r="K53" i="3" l="1"/>
  <c r="L52" i="3"/>
  <c r="C73" i="3"/>
  <c r="L53" i="3"/>
  <c r="K52" i="3"/>
  <c r="C72" i="3"/>
  <c r="N27" i="3"/>
  <c r="C71" i="14"/>
  <c r="M27" i="14"/>
  <c r="I14" i="12"/>
  <c r="BG26" i="14"/>
  <c r="W12" i="3"/>
  <c r="AD14" i="3"/>
  <c r="BG14" i="3" s="1"/>
  <c r="BH15" i="14"/>
  <c r="BK12" i="14" s="1"/>
  <c r="AG13" i="14"/>
  <c r="BJ13" i="14" s="1"/>
  <c r="AE14" i="14"/>
  <c r="BH14" i="14" s="1"/>
  <c r="W13" i="14"/>
  <c r="D63" i="23"/>
  <c r="B64" i="23"/>
  <c r="I15" i="12"/>
  <c r="I16" i="12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I44" i="12" s="1"/>
  <c r="I45" i="12" s="1"/>
  <c r="I46" i="12" s="1"/>
  <c r="I47" i="12" s="1"/>
  <c r="I48" i="12" s="1"/>
  <c r="I49" i="12" s="1"/>
  <c r="I50" i="12" s="1"/>
  <c r="I51" i="12" s="1"/>
  <c r="I52" i="12" s="1"/>
  <c r="I53" i="12" s="1"/>
  <c r="I54" i="12" s="1"/>
  <c r="I55" i="12" s="1"/>
  <c r="I56" i="12" s="1"/>
  <c r="I57" i="12" s="1"/>
  <c r="I58" i="12" s="1"/>
  <c r="I59" i="12" s="1"/>
  <c r="I60" i="12" s="1"/>
  <c r="I61" i="12" s="1"/>
  <c r="I13" i="12"/>
  <c r="I12" i="12"/>
  <c r="C71" i="3"/>
  <c r="AG13" i="3"/>
  <c r="BJ13" i="3" s="1"/>
  <c r="BH15" i="3"/>
  <c r="BK12" i="3" s="1"/>
  <c r="C63" i="12"/>
  <c r="B64" i="12"/>
  <c r="F63" i="12"/>
  <c r="I15" i="23"/>
  <c r="AD12" i="3"/>
  <c r="K28" i="14"/>
  <c r="AF12" i="14"/>
  <c r="W13" i="3"/>
  <c r="AE14" i="3"/>
  <c r="BH14" i="3" s="1"/>
  <c r="BH16" i="3"/>
  <c r="AG15" i="3"/>
  <c r="BJ15" i="3" s="1"/>
  <c r="BK14" i="3" s="1"/>
  <c r="AD28" i="3"/>
  <c r="BG29" i="3" s="1"/>
  <c r="BG16" i="3"/>
  <c r="BI15" i="3"/>
  <c r="BK13" i="3" s="1"/>
  <c r="AD15" i="3"/>
  <c r="BJ16" i="3"/>
  <c r="BK15" i="3" s="1"/>
  <c r="AG12" i="3" l="1"/>
  <c r="BJ12" i="3" s="1"/>
  <c r="BG15" i="3"/>
  <c r="D64" i="12"/>
  <c r="E64" i="12"/>
  <c r="B65" i="12"/>
  <c r="C64" i="12"/>
  <c r="F64" i="12"/>
  <c r="C72" i="14"/>
  <c r="N27" i="14"/>
  <c r="F64" i="23"/>
  <c r="K40" i="14"/>
  <c r="I14" i="23"/>
  <c r="E64" i="23"/>
  <c r="B65" i="23"/>
  <c r="C64" i="23"/>
  <c r="D64" i="23"/>
  <c r="C74" i="3"/>
  <c r="E73" i="3"/>
  <c r="E74" i="3" s="1"/>
  <c r="D73" i="3"/>
  <c r="D74" i="3" s="1"/>
  <c r="AF13" i="3"/>
  <c r="BI13" i="3" s="1"/>
  <c r="BG12" i="3"/>
  <c r="F65" i="23"/>
  <c r="AF12" i="3"/>
  <c r="BI12" i="3" s="1"/>
  <c r="D72" i="3"/>
  <c r="E72" i="3"/>
  <c r="F63" i="23"/>
  <c r="I12" i="23"/>
  <c r="V65" i="12"/>
  <c r="V64" i="12"/>
  <c r="V63" i="12"/>
  <c r="W63" i="12"/>
  <c r="W65" i="12"/>
  <c r="W64" i="12"/>
  <c r="AD23" i="14"/>
  <c r="AF21" i="14"/>
  <c r="BI12" i="14"/>
  <c r="AF22" i="14"/>
  <c r="AG23" i="14"/>
  <c r="AF23" i="14"/>
  <c r="AD20" i="14"/>
  <c r="AE22" i="14"/>
  <c r="AG20" i="14"/>
  <c r="AD21" i="14"/>
  <c r="G63" i="12"/>
  <c r="H63" i="12" s="1"/>
  <c r="E71" i="3"/>
  <c r="D71" i="3"/>
  <c r="AF13" i="14"/>
  <c r="BI13" i="14" s="1"/>
  <c r="U17" i="14"/>
  <c r="U22" i="14"/>
  <c r="W20" i="14" s="1"/>
  <c r="U17" i="3"/>
  <c r="W22" i="3" s="1"/>
  <c r="I13" i="23"/>
  <c r="I16" i="23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36" i="23" s="1"/>
  <c r="I37" i="23" s="1"/>
  <c r="I38" i="23" s="1"/>
  <c r="I39" i="23" s="1"/>
  <c r="I40" i="23" s="1"/>
  <c r="I41" i="23" s="1"/>
  <c r="I42" i="23" s="1"/>
  <c r="I43" i="23" s="1"/>
  <c r="I44" i="23" s="1"/>
  <c r="I45" i="23" s="1"/>
  <c r="I46" i="23" s="1"/>
  <c r="I47" i="23" s="1"/>
  <c r="I48" i="23" s="1"/>
  <c r="I49" i="23" s="1"/>
  <c r="I50" i="23" s="1"/>
  <c r="I51" i="23" s="1"/>
  <c r="I52" i="23" s="1"/>
  <c r="I53" i="23" s="1"/>
  <c r="I54" i="23" s="1"/>
  <c r="I55" i="23" s="1"/>
  <c r="I56" i="23" s="1"/>
  <c r="I57" i="23" s="1"/>
  <c r="I58" i="23" s="1"/>
  <c r="I59" i="23" s="1"/>
  <c r="I60" i="23" s="1"/>
  <c r="I61" i="23" s="1"/>
  <c r="V22" i="3" l="1"/>
  <c r="W21" i="3" s="1"/>
  <c r="AD22" i="3"/>
  <c r="AE23" i="3"/>
  <c r="AE20" i="3"/>
  <c r="AD21" i="3"/>
  <c r="AG21" i="3"/>
  <c r="K46" i="14"/>
  <c r="K49" i="14" s="1"/>
  <c r="K43" i="14"/>
  <c r="H64" i="12"/>
  <c r="G64" i="12"/>
  <c r="D65" i="23"/>
  <c r="E65" i="23"/>
  <c r="C65" i="23"/>
  <c r="B66" i="23"/>
  <c r="BH20" i="14"/>
  <c r="BJ21" i="14"/>
  <c r="BG19" i="14"/>
  <c r="BG21" i="14"/>
  <c r="BI21" i="14"/>
  <c r="BG20" i="14"/>
  <c r="BH22" i="14"/>
  <c r="BI19" i="14"/>
  <c r="BJ19" i="14"/>
  <c r="BH23" i="14"/>
  <c r="BI20" i="14"/>
  <c r="BI22" i="14"/>
  <c r="BJ22" i="14"/>
  <c r="BJ20" i="14"/>
  <c r="BI23" i="14"/>
  <c r="BH19" i="14"/>
  <c r="BK19" i="14"/>
  <c r="BG23" i="14"/>
  <c r="BK22" i="14"/>
  <c r="BG22" i="14"/>
  <c r="BH21" i="14"/>
  <c r="BK23" i="14"/>
  <c r="BK21" i="14"/>
  <c r="BJ23" i="14"/>
  <c r="BK20" i="14"/>
  <c r="V21" i="14"/>
  <c r="W22" i="14"/>
  <c r="V22" i="14"/>
  <c r="W21" i="14" s="1"/>
  <c r="U21" i="14"/>
  <c r="V20" i="14" s="1"/>
  <c r="AE21" i="14"/>
  <c r="AD17" i="14"/>
  <c r="AE23" i="14"/>
  <c r="AG22" i="14"/>
  <c r="V21" i="3"/>
  <c r="AG22" i="3"/>
  <c r="AF23" i="3"/>
  <c r="AD20" i="3"/>
  <c r="AF22" i="3"/>
  <c r="B66" i="12"/>
  <c r="C65" i="12"/>
  <c r="D65" i="12"/>
  <c r="E65" i="12"/>
  <c r="F65" i="12"/>
  <c r="U32" i="14"/>
  <c r="AF21" i="3"/>
  <c r="AE21" i="3"/>
  <c r="AF20" i="3"/>
  <c r="BI20" i="3"/>
  <c r="BG21" i="3"/>
  <c r="BI19" i="3"/>
  <c r="BK21" i="3"/>
  <c r="BG22" i="3"/>
  <c r="BH21" i="3"/>
  <c r="BK23" i="3"/>
  <c r="BI23" i="3"/>
  <c r="BH23" i="3"/>
  <c r="BK19" i="3"/>
  <c r="BJ19" i="3"/>
  <c r="BG20" i="3"/>
  <c r="BH19" i="3"/>
  <c r="BJ23" i="3"/>
  <c r="BK22" i="3"/>
  <c r="BJ21" i="3"/>
  <c r="BH22" i="3"/>
  <c r="BK20" i="3"/>
  <c r="BI22" i="3"/>
  <c r="BH20" i="3"/>
  <c r="BJ22" i="3"/>
  <c r="BG23" i="3"/>
  <c r="BG19" i="3"/>
  <c r="BI21" i="3"/>
  <c r="BJ20" i="3"/>
  <c r="U20" i="3"/>
  <c r="U30" i="3" s="1"/>
  <c r="AF20" i="14"/>
  <c r="AD32" i="14" s="1"/>
  <c r="AE20" i="14"/>
  <c r="AG21" i="14"/>
  <c r="AD33" i="14" s="1"/>
  <c r="AD22" i="14"/>
  <c r="AD30" i="14" s="1"/>
  <c r="U21" i="3"/>
  <c r="V20" i="3" s="1"/>
  <c r="AG23" i="3"/>
  <c r="AE22" i="3"/>
  <c r="AG20" i="3"/>
  <c r="AD33" i="3" s="1"/>
  <c r="AD23" i="3"/>
  <c r="AD17" i="3"/>
  <c r="U22" i="3"/>
  <c r="W20" i="3" s="1"/>
  <c r="U32" i="3" s="1"/>
  <c r="U20" i="14"/>
  <c r="U30" i="14" s="1"/>
  <c r="C103" i="14" l="1"/>
  <c r="AI43" i="14"/>
  <c r="C100" i="14"/>
  <c r="AF43" i="14"/>
  <c r="AI43" i="3"/>
  <c r="C103" i="3"/>
  <c r="U38" i="3"/>
  <c r="C80" i="3"/>
  <c r="J67" i="12"/>
  <c r="W30" i="3"/>
  <c r="J66" i="12"/>
  <c r="M12" i="12"/>
  <c r="U31" i="3"/>
  <c r="AH43" i="14"/>
  <c r="C102" i="14"/>
  <c r="BI26" i="3"/>
  <c r="BI29" i="3"/>
  <c r="BI28" i="3"/>
  <c r="AD30" i="3"/>
  <c r="BI26" i="14"/>
  <c r="E66" i="23"/>
  <c r="D66" i="23"/>
  <c r="B67" i="23"/>
  <c r="N67" i="23" s="1"/>
  <c r="C66" i="23"/>
  <c r="F66" i="23"/>
  <c r="AD31" i="3"/>
  <c r="BI30" i="3"/>
  <c r="Y30" i="14"/>
  <c r="C82" i="14"/>
  <c r="Y30" i="3"/>
  <c r="C82" i="3"/>
  <c r="BI27" i="3"/>
  <c r="G65" i="12"/>
  <c r="H65" i="12" s="1"/>
  <c r="E66" i="12"/>
  <c r="B67" i="12"/>
  <c r="C66" i="12"/>
  <c r="F66" i="12"/>
  <c r="D66" i="12"/>
  <c r="V66" i="12"/>
  <c r="W66" i="12"/>
  <c r="U31" i="14"/>
  <c r="BI30" i="14"/>
  <c r="BI29" i="14"/>
  <c r="C73" i="14"/>
  <c r="K53" i="14"/>
  <c r="K52" i="14"/>
  <c r="L53" i="14"/>
  <c r="L52" i="14"/>
  <c r="M15" i="23"/>
  <c r="W30" i="14"/>
  <c r="C80" i="14"/>
  <c r="M12" i="23"/>
  <c r="J64" i="23"/>
  <c r="AD31" i="14"/>
  <c r="Q15" i="23" s="1"/>
  <c r="AD32" i="3"/>
  <c r="BI27" i="14"/>
  <c r="BI28" i="14"/>
  <c r="X30" i="14" l="1"/>
  <c r="C81" i="14"/>
  <c r="C119" i="3"/>
  <c r="BK43" i="3"/>
  <c r="J65" i="23"/>
  <c r="J66" i="23"/>
  <c r="E72" i="14"/>
  <c r="D72" i="14"/>
  <c r="C120" i="3"/>
  <c r="BL43" i="3"/>
  <c r="C81" i="3"/>
  <c r="X30" i="3"/>
  <c r="J63" i="12"/>
  <c r="M15" i="12"/>
  <c r="AD38" i="14"/>
  <c r="N65" i="23"/>
  <c r="Q16" i="23"/>
  <c r="Q17" i="23" s="1"/>
  <c r="Q18" i="23" s="1"/>
  <c r="Q19" i="23" s="1"/>
  <c r="Q20" i="23" s="1"/>
  <c r="Q21" i="23" s="1"/>
  <c r="Q22" i="23" s="1"/>
  <c r="Q23" i="23" s="1"/>
  <c r="Q24" i="23" s="1"/>
  <c r="Q25" i="23" s="1"/>
  <c r="Q26" i="23" s="1"/>
  <c r="Q27" i="23" s="1"/>
  <c r="Q28" i="23" s="1"/>
  <c r="Q29" i="23" s="1"/>
  <c r="Q30" i="23" s="1"/>
  <c r="Q31" i="23" s="1"/>
  <c r="Q32" i="23" s="1"/>
  <c r="Q33" i="23" s="1"/>
  <c r="Q34" i="23" s="1"/>
  <c r="Q35" i="23" s="1"/>
  <c r="Q36" i="23" s="1"/>
  <c r="Q37" i="23" s="1"/>
  <c r="Q38" i="23" s="1"/>
  <c r="Q39" i="23" s="1"/>
  <c r="Q40" i="23" s="1"/>
  <c r="Q41" i="23" s="1"/>
  <c r="Q42" i="23" s="1"/>
  <c r="Q43" i="23" s="1"/>
  <c r="Q44" i="23" s="1"/>
  <c r="Q45" i="23" s="1"/>
  <c r="Q46" i="23" s="1"/>
  <c r="Q47" i="23" s="1"/>
  <c r="Q48" i="23" s="1"/>
  <c r="Q49" i="23" s="1"/>
  <c r="Q50" i="23" s="1"/>
  <c r="Q51" i="23" s="1"/>
  <c r="Q52" i="23" s="1"/>
  <c r="Q53" i="23" s="1"/>
  <c r="Q54" i="23" s="1"/>
  <c r="Q55" i="23" s="1"/>
  <c r="Q56" i="23" s="1"/>
  <c r="Q57" i="23" s="1"/>
  <c r="Q58" i="23" s="1"/>
  <c r="Q59" i="23" s="1"/>
  <c r="Q60" i="23" s="1"/>
  <c r="Q61" i="23" s="1"/>
  <c r="U41" i="3"/>
  <c r="U44" i="3"/>
  <c r="U47" i="3" s="1"/>
  <c r="C118" i="14"/>
  <c r="BJ43" i="14"/>
  <c r="U38" i="14"/>
  <c r="M16" i="23"/>
  <c r="M17" i="23" s="1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M28" i="23" s="1"/>
  <c r="M29" i="23" s="1"/>
  <c r="M30" i="23" s="1"/>
  <c r="M31" i="23" s="1"/>
  <c r="M32" i="23" s="1"/>
  <c r="M33" i="23" s="1"/>
  <c r="M34" i="23" s="1"/>
  <c r="M35" i="23" s="1"/>
  <c r="M36" i="23" s="1"/>
  <c r="M37" i="23" s="1"/>
  <c r="M38" i="23" s="1"/>
  <c r="M39" i="23" s="1"/>
  <c r="M40" i="23" s="1"/>
  <c r="M41" i="23" s="1"/>
  <c r="M42" i="23" s="1"/>
  <c r="M43" i="23" s="1"/>
  <c r="M44" i="23" s="1"/>
  <c r="M45" i="23" s="1"/>
  <c r="M46" i="23" s="1"/>
  <c r="M47" i="23" s="1"/>
  <c r="M48" i="23" s="1"/>
  <c r="M49" i="23" s="1"/>
  <c r="M50" i="23" s="1"/>
  <c r="M51" i="23" s="1"/>
  <c r="M52" i="23" s="1"/>
  <c r="M53" i="23" s="1"/>
  <c r="M54" i="23" s="1"/>
  <c r="M55" i="23" s="1"/>
  <c r="M56" i="23" s="1"/>
  <c r="M57" i="23" s="1"/>
  <c r="M58" i="23" s="1"/>
  <c r="M59" i="23" s="1"/>
  <c r="M60" i="23" s="1"/>
  <c r="M61" i="23" s="1"/>
  <c r="M14" i="23"/>
  <c r="V65" i="23"/>
  <c r="V66" i="23"/>
  <c r="G66" i="23" s="1"/>
  <c r="H66" i="23" s="1"/>
  <c r="V67" i="23"/>
  <c r="V63" i="23"/>
  <c r="G63" i="23" s="1"/>
  <c r="H63" i="23" s="1"/>
  <c r="V64" i="23"/>
  <c r="G64" i="23" s="1"/>
  <c r="H64" i="23" s="1"/>
  <c r="E71" i="14"/>
  <c r="D71" i="14"/>
  <c r="BL43" i="14"/>
  <c r="C120" i="14"/>
  <c r="D67" i="12"/>
  <c r="F67" i="12"/>
  <c r="B68" i="12"/>
  <c r="C67" i="12"/>
  <c r="E67" i="12"/>
  <c r="V67" i="12"/>
  <c r="W67" i="12"/>
  <c r="BJ43" i="3"/>
  <c r="C118" i="3"/>
  <c r="U16" i="23"/>
  <c r="U17" i="23" s="1"/>
  <c r="U18" i="23" s="1"/>
  <c r="U19" i="23" s="1"/>
  <c r="U20" i="23" s="1"/>
  <c r="U21" i="23" s="1"/>
  <c r="U22" i="23" s="1"/>
  <c r="U23" i="23" s="1"/>
  <c r="U24" i="23" s="1"/>
  <c r="U25" i="23" s="1"/>
  <c r="U26" i="23" s="1"/>
  <c r="U27" i="23" s="1"/>
  <c r="U28" i="23" s="1"/>
  <c r="U29" i="23" s="1"/>
  <c r="U30" i="23" s="1"/>
  <c r="U31" i="23" s="1"/>
  <c r="U32" i="23" s="1"/>
  <c r="U33" i="23" s="1"/>
  <c r="U34" i="23" s="1"/>
  <c r="U35" i="23" s="1"/>
  <c r="U36" i="23" s="1"/>
  <c r="U37" i="23" s="1"/>
  <c r="U38" i="23" s="1"/>
  <c r="U39" i="23" s="1"/>
  <c r="U40" i="23" s="1"/>
  <c r="U41" i="23" s="1"/>
  <c r="U42" i="23" s="1"/>
  <c r="U43" i="23" s="1"/>
  <c r="U44" i="23" s="1"/>
  <c r="U45" i="23" s="1"/>
  <c r="U46" i="23" s="1"/>
  <c r="U47" i="23" s="1"/>
  <c r="U48" i="23" s="1"/>
  <c r="U49" i="23" s="1"/>
  <c r="U50" i="23" s="1"/>
  <c r="U51" i="23" s="1"/>
  <c r="U52" i="23" s="1"/>
  <c r="U53" i="23" s="1"/>
  <c r="U54" i="23" s="1"/>
  <c r="U55" i="23" s="1"/>
  <c r="U56" i="23" s="1"/>
  <c r="U57" i="23" s="1"/>
  <c r="U58" i="23" s="1"/>
  <c r="U59" i="23" s="1"/>
  <c r="U60" i="23" s="1"/>
  <c r="U61" i="23" s="1"/>
  <c r="BG38" i="14"/>
  <c r="U12" i="23"/>
  <c r="C117" i="14"/>
  <c r="BI43" i="14"/>
  <c r="U14" i="23"/>
  <c r="U13" i="23"/>
  <c r="U15" i="23"/>
  <c r="C117" i="3"/>
  <c r="U16" i="12"/>
  <c r="U17" i="12" s="1"/>
  <c r="U18" i="12" s="1"/>
  <c r="U19" i="12" s="1"/>
  <c r="U20" i="12" s="1"/>
  <c r="U21" i="12" s="1"/>
  <c r="U22" i="12" s="1"/>
  <c r="U23" i="12" s="1"/>
  <c r="U24" i="12" s="1"/>
  <c r="U25" i="12" s="1"/>
  <c r="U26" i="12" s="1"/>
  <c r="U27" i="12" s="1"/>
  <c r="U28" i="12" s="1"/>
  <c r="U29" i="12" s="1"/>
  <c r="U30" i="12" s="1"/>
  <c r="U31" i="12" s="1"/>
  <c r="U32" i="12" s="1"/>
  <c r="U33" i="12" s="1"/>
  <c r="U34" i="12" s="1"/>
  <c r="U35" i="12" s="1"/>
  <c r="U36" i="12" s="1"/>
  <c r="U37" i="12" s="1"/>
  <c r="U38" i="12" s="1"/>
  <c r="U39" i="12" s="1"/>
  <c r="U40" i="12" s="1"/>
  <c r="U41" i="12" s="1"/>
  <c r="U42" i="12" s="1"/>
  <c r="U43" i="12" s="1"/>
  <c r="U44" i="12" s="1"/>
  <c r="U45" i="12" s="1"/>
  <c r="U46" i="12" s="1"/>
  <c r="U47" i="12" s="1"/>
  <c r="U48" i="12" s="1"/>
  <c r="U49" i="12" s="1"/>
  <c r="U50" i="12" s="1"/>
  <c r="U51" i="12" s="1"/>
  <c r="U52" i="12" s="1"/>
  <c r="U53" i="12" s="1"/>
  <c r="U54" i="12" s="1"/>
  <c r="U55" i="12" s="1"/>
  <c r="U56" i="12" s="1"/>
  <c r="U57" i="12" s="1"/>
  <c r="U58" i="12" s="1"/>
  <c r="U59" i="12" s="1"/>
  <c r="U60" i="12" s="1"/>
  <c r="U61" i="12" s="1"/>
  <c r="BI43" i="3"/>
  <c r="U14" i="12"/>
  <c r="U12" i="12"/>
  <c r="U13" i="12"/>
  <c r="BG38" i="3"/>
  <c r="U15" i="12"/>
  <c r="J64" i="12"/>
  <c r="N66" i="23"/>
  <c r="Q12" i="23"/>
  <c r="C101" i="14"/>
  <c r="AG43" i="14"/>
  <c r="C74" i="14"/>
  <c r="D73" i="14"/>
  <c r="D74" i="14" s="1"/>
  <c r="E73" i="14"/>
  <c r="E74" i="14" s="1"/>
  <c r="G66" i="12"/>
  <c r="H66" i="12" s="1"/>
  <c r="AG43" i="3"/>
  <c r="C101" i="3"/>
  <c r="N64" i="23"/>
  <c r="C119" i="14"/>
  <c r="BK43" i="14"/>
  <c r="AH43" i="3"/>
  <c r="C102" i="3"/>
  <c r="J67" i="23"/>
  <c r="J63" i="23"/>
  <c r="M13" i="23"/>
  <c r="W63" i="23"/>
  <c r="W66" i="23"/>
  <c r="W64" i="23"/>
  <c r="W65" i="23"/>
  <c r="W67" i="23"/>
  <c r="C121" i="14"/>
  <c r="BM43" i="14"/>
  <c r="BM43" i="3"/>
  <c r="C121" i="3"/>
  <c r="E67" i="23"/>
  <c r="D67" i="23"/>
  <c r="B68" i="23"/>
  <c r="C67" i="23"/>
  <c r="F67" i="23"/>
  <c r="N65" i="12"/>
  <c r="Q15" i="12"/>
  <c r="AD38" i="3"/>
  <c r="N66" i="12"/>
  <c r="Q13" i="12"/>
  <c r="Q12" i="12"/>
  <c r="N67" i="12"/>
  <c r="N64" i="12"/>
  <c r="N63" i="12"/>
  <c r="C100" i="3"/>
  <c r="AF43" i="3"/>
  <c r="Q16" i="12"/>
  <c r="Q17" i="12" s="1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Q35" i="12" s="1"/>
  <c r="Q36" i="12" s="1"/>
  <c r="Q37" i="12" s="1"/>
  <c r="Q38" i="12" s="1"/>
  <c r="Q39" i="12" s="1"/>
  <c r="Q40" i="12" s="1"/>
  <c r="Q41" i="12" s="1"/>
  <c r="Q42" i="12" s="1"/>
  <c r="Q43" i="12" s="1"/>
  <c r="Q44" i="12" s="1"/>
  <c r="Q45" i="12" s="1"/>
  <c r="Q46" i="12" s="1"/>
  <c r="Q47" i="12" s="1"/>
  <c r="Q48" i="12" s="1"/>
  <c r="Q49" i="12" s="1"/>
  <c r="Q50" i="12" s="1"/>
  <c r="Q51" i="12" s="1"/>
  <c r="Q52" i="12" s="1"/>
  <c r="Q53" i="12" s="1"/>
  <c r="Q54" i="12" s="1"/>
  <c r="Q55" i="12" s="1"/>
  <c r="Q56" i="12" s="1"/>
  <c r="Q57" i="12" s="1"/>
  <c r="Q58" i="12" s="1"/>
  <c r="Q59" i="12" s="1"/>
  <c r="Q60" i="12" s="1"/>
  <c r="Q61" i="12" s="1"/>
  <c r="N68" i="12"/>
  <c r="Q14" i="12"/>
  <c r="M16" i="12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J65" i="12"/>
  <c r="M13" i="12"/>
  <c r="M14" i="12"/>
  <c r="N63" i="23"/>
  <c r="Q13" i="23"/>
  <c r="Q14" i="23"/>
  <c r="BG41" i="3" l="1"/>
  <c r="BG44" i="3"/>
  <c r="BG47" i="3" s="1"/>
  <c r="BG44" i="14"/>
  <c r="BG47" i="14" s="1"/>
  <c r="BG41" i="14"/>
  <c r="D68" i="12"/>
  <c r="F68" i="12"/>
  <c r="C68" i="12"/>
  <c r="B69" i="12"/>
  <c r="E68" i="12"/>
  <c r="V68" i="12"/>
  <c r="W68" i="12"/>
  <c r="J68" i="12"/>
  <c r="U41" i="14"/>
  <c r="U44" i="14"/>
  <c r="U47" i="14" s="1"/>
  <c r="E68" i="23"/>
  <c r="D68" i="23"/>
  <c r="B69" i="23"/>
  <c r="C68" i="23"/>
  <c r="R68" i="23" s="1"/>
  <c r="F68" i="23"/>
  <c r="J68" i="23"/>
  <c r="N68" i="23"/>
  <c r="W68" i="23"/>
  <c r="R63" i="12"/>
  <c r="R66" i="12"/>
  <c r="R65" i="12"/>
  <c r="R67" i="12"/>
  <c r="R64" i="12"/>
  <c r="R68" i="12"/>
  <c r="AD44" i="14"/>
  <c r="AD47" i="14" s="1"/>
  <c r="AD41" i="14"/>
  <c r="G67" i="23"/>
  <c r="H67" i="23" s="1"/>
  <c r="AD44" i="3"/>
  <c r="AD47" i="3" s="1"/>
  <c r="AD41" i="3"/>
  <c r="R66" i="23"/>
  <c r="R63" i="23"/>
  <c r="R64" i="23"/>
  <c r="R65" i="23"/>
  <c r="R67" i="23"/>
  <c r="G67" i="12"/>
  <c r="H67" i="12"/>
  <c r="V68" i="23"/>
  <c r="G65" i="23"/>
  <c r="H65" i="23" s="1"/>
  <c r="AG61" i="3"/>
  <c r="AF62" i="3"/>
  <c r="AF60" i="3"/>
  <c r="AD62" i="3"/>
  <c r="V60" i="3"/>
  <c r="E81" i="3" s="1"/>
  <c r="U60" i="3"/>
  <c r="AG60" i="3"/>
  <c r="U59" i="3"/>
  <c r="AE61" i="3"/>
  <c r="AE60" i="3"/>
  <c r="D101" i="3" s="1"/>
  <c r="E101" i="3" s="1"/>
  <c r="W60" i="3"/>
  <c r="AD59" i="3"/>
  <c r="D100" i="3" s="1"/>
  <c r="E100" i="3" s="1"/>
  <c r="V59" i="3"/>
  <c r="AE62" i="3"/>
  <c r="W59" i="3"/>
  <c r="W61" i="3"/>
  <c r="V61" i="3"/>
  <c r="AF61" i="3"/>
  <c r="D102" i="3" s="1"/>
  <c r="E102" i="3" s="1"/>
  <c r="AD60" i="3"/>
  <c r="AF59" i="3"/>
  <c r="U61" i="3"/>
  <c r="AG59" i="3"/>
  <c r="C83" i="3"/>
  <c r="AG62" i="3"/>
  <c r="D103" i="3" s="1"/>
  <c r="E103" i="3" s="1"/>
  <c r="AE59" i="3"/>
  <c r="AD61" i="3"/>
  <c r="U53" i="3"/>
  <c r="D81" i="3"/>
  <c r="D69" i="23" l="1"/>
  <c r="C69" i="23"/>
  <c r="E69" i="23"/>
  <c r="B70" i="23"/>
  <c r="F69" i="23"/>
  <c r="N69" i="23"/>
  <c r="J69" i="23"/>
  <c r="W69" i="23"/>
  <c r="V69" i="23"/>
  <c r="BG53" i="3"/>
  <c r="BG56" i="3" s="1"/>
  <c r="C104" i="3"/>
  <c r="AD61" i="14"/>
  <c r="AG61" i="14"/>
  <c r="AD53" i="14"/>
  <c r="AD56" i="14" s="1"/>
  <c r="AD62" i="14"/>
  <c r="U61" i="14"/>
  <c r="C83" i="14"/>
  <c r="AE61" i="14"/>
  <c r="AE59" i="14"/>
  <c r="W60" i="14"/>
  <c r="AF59" i="14"/>
  <c r="W61" i="14"/>
  <c r="U60" i="14"/>
  <c r="V61" i="14"/>
  <c r="AF60" i="14"/>
  <c r="AD60" i="14"/>
  <c r="AG62" i="14"/>
  <c r="D103" i="14" s="1"/>
  <c r="E103" i="14" s="1"/>
  <c r="W59" i="14"/>
  <c r="V59" i="14"/>
  <c r="AG59" i="14"/>
  <c r="AF61" i="14"/>
  <c r="D102" i="14" s="1"/>
  <c r="E102" i="14" s="1"/>
  <c r="AG60" i="14"/>
  <c r="AF62" i="14"/>
  <c r="AD59" i="14"/>
  <c r="AE60" i="14"/>
  <c r="D101" i="14" s="1"/>
  <c r="E101" i="14" s="1"/>
  <c r="V60" i="14"/>
  <c r="U59" i="14"/>
  <c r="AE62" i="14"/>
  <c r="U53" i="14"/>
  <c r="BJ62" i="3"/>
  <c r="D120" i="3" s="1"/>
  <c r="E120" i="3" s="1"/>
  <c r="BK61" i="3"/>
  <c r="BG62" i="3"/>
  <c r="BJ59" i="3"/>
  <c r="BH61" i="3"/>
  <c r="BG63" i="3"/>
  <c r="BK63" i="3"/>
  <c r="D121" i="3" s="1"/>
  <c r="E121" i="3" s="1"/>
  <c r="BH63" i="3"/>
  <c r="BI61" i="3"/>
  <c r="D119" i="3" s="1"/>
  <c r="E119" i="3" s="1"/>
  <c r="BH62" i="3"/>
  <c r="BK60" i="3"/>
  <c r="BI62" i="3"/>
  <c r="BH59" i="3"/>
  <c r="BI59" i="3"/>
  <c r="C122" i="3"/>
  <c r="BG59" i="3"/>
  <c r="BJ63" i="3"/>
  <c r="BI60" i="3"/>
  <c r="BJ61" i="3"/>
  <c r="BJ60" i="3"/>
  <c r="BI63" i="3"/>
  <c r="BG60" i="3"/>
  <c r="BK59" i="3"/>
  <c r="BH60" i="3"/>
  <c r="D118" i="3" s="1"/>
  <c r="E118" i="3" s="1"/>
  <c r="BK62" i="3"/>
  <c r="BG61" i="3"/>
  <c r="D82" i="3"/>
  <c r="E82" i="3"/>
  <c r="X67" i="12"/>
  <c r="X68" i="12"/>
  <c r="X63" i="12"/>
  <c r="X64" i="12"/>
  <c r="X66" i="12"/>
  <c r="X65" i="12"/>
  <c r="E80" i="3"/>
  <c r="D80" i="3"/>
  <c r="C150" i="3"/>
  <c r="F150" i="3" s="1"/>
  <c r="B153" i="3"/>
  <c r="B92" i="3" s="1"/>
  <c r="U56" i="3"/>
  <c r="B152" i="3"/>
  <c r="B91" i="3" s="1"/>
  <c r="C89" i="3"/>
  <c r="D83" i="3"/>
  <c r="D84" i="3" s="1"/>
  <c r="C84" i="3"/>
  <c r="E83" i="3"/>
  <c r="E84" i="3" s="1"/>
  <c r="C110" i="3"/>
  <c r="AB66" i="12"/>
  <c r="AB65" i="12"/>
  <c r="AB68" i="12"/>
  <c r="AB67" i="12"/>
  <c r="AB64" i="12"/>
  <c r="AB63" i="12"/>
  <c r="AD53" i="3"/>
  <c r="AD56" i="3" s="1"/>
  <c r="BG53" i="14"/>
  <c r="BG56" i="14" s="1"/>
  <c r="C104" i="14"/>
  <c r="F69" i="12"/>
  <c r="C69" i="12"/>
  <c r="X69" i="12" s="1"/>
  <c r="D69" i="12"/>
  <c r="B70" i="12"/>
  <c r="E69" i="12"/>
  <c r="V69" i="12"/>
  <c r="W69" i="12"/>
  <c r="J69" i="12"/>
  <c r="N69" i="12"/>
  <c r="Z66" i="12"/>
  <c r="Z68" i="12"/>
  <c r="Z65" i="12"/>
  <c r="Z63" i="12"/>
  <c r="Z64" i="12"/>
  <c r="Z69" i="12"/>
  <c r="Z67" i="12"/>
  <c r="G68" i="12"/>
  <c r="H68" i="12" s="1"/>
  <c r="AA68" i="12"/>
  <c r="AA63" i="12"/>
  <c r="AA66" i="12"/>
  <c r="AA69" i="12"/>
  <c r="AA64" i="12"/>
  <c r="AA67" i="12"/>
  <c r="AA65" i="12"/>
  <c r="AD64" i="12"/>
  <c r="AD67" i="12"/>
  <c r="AD66" i="12"/>
  <c r="AD63" i="12"/>
  <c r="AD69" i="12"/>
  <c r="AD65" i="12"/>
  <c r="AD68" i="12"/>
  <c r="AC66" i="12"/>
  <c r="AC68" i="12"/>
  <c r="AC64" i="12"/>
  <c r="AC67" i="12"/>
  <c r="AC65" i="12"/>
  <c r="AC63" i="12"/>
  <c r="AC69" i="12"/>
  <c r="Y64" i="12"/>
  <c r="Y63" i="12"/>
  <c r="Y68" i="12"/>
  <c r="K68" i="12" s="1"/>
  <c r="L68" i="12" s="1"/>
  <c r="Y65" i="12"/>
  <c r="Y69" i="12"/>
  <c r="Y66" i="12"/>
  <c r="Y67" i="12"/>
  <c r="G68" i="23"/>
  <c r="H68" i="23" s="1"/>
  <c r="BG60" i="14"/>
  <c r="BI62" i="14"/>
  <c r="BJ59" i="14"/>
  <c r="BH59" i="14"/>
  <c r="BH60" i="14"/>
  <c r="D118" i="14" s="1"/>
  <c r="E118" i="14" s="1"/>
  <c r="BK62" i="14"/>
  <c r="BH63" i="14"/>
  <c r="BJ63" i="14"/>
  <c r="BK60" i="14"/>
  <c r="BH62" i="14"/>
  <c r="BH61" i="14"/>
  <c r="C122" i="14"/>
  <c r="BI60" i="14"/>
  <c r="BK63" i="14"/>
  <c r="D121" i="14" s="1"/>
  <c r="E121" i="14" s="1"/>
  <c r="BI59" i="14"/>
  <c r="BI61" i="14"/>
  <c r="D119" i="14" s="1"/>
  <c r="E119" i="14" s="1"/>
  <c r="BJ62" i="14"/>
  <c r="D120" i="14" s="1"/>
  <c r="E120" i="14" s="1"/>
  <c r="BJ61" i="14"/>
  <c r="BG59" i="14"/>
  <c r="BK59" i="14"/>
  <c r="BG63" i="14"/>
  <c r="BJ60" i="14"/>
  <c r="BG62" i="14"/>
  <c r="BI63" i="14"/>
  <c r="BG61" i="14"/>
  <c r="BK61" i="14"/>
  <c r="AH66" i="23" l="1"/>
  <c r="AH68" i="23"/>
  <c r="AH65" i="23"/>
  <c r="AH63" i="23"/>
  <c r="AH67" i="23"/>
  <c r="AH69" i="23"/>
  <c r="AH64" i="23"/>
  <c r="AE65" i="23"/>
  <c r="S65" i="23" s="1"/>
  <c r="T65" i="23" s="1"/>
  <c r="AE63" i="23"/>
  <c r="S63" i="23" s="1"/>
  <c r="T63" i="23" s="1"/>
  <c r="AE68" i="23"/>
  <c r="S68" i="23" s="1"/>
  <c r="T68" i="23" s="1"/>
  <c r="AE64" i="23"/>
  <c r="S64" i="23" s="1"/>
  <c r="T64" i="23" s="1"/>
  <c r="AE66" i="23"/>
  <c r="S66" i="23" s="1"/>
  <c r="T66" i="23" s="1"/>
  <c r="AE69" i="23"/>
  <c r="AE67" i="23"/>
  <c r="S67" i="23" s="1"/>
  <c r="T67" i="23" s="1"/>
  <c r="D117" i="14"/>
  <c r="E117" i="14" s="1"/>
  <c r="O68" i="12"/>
  <c r="P68" i="12" s="1"/>
  <c r="G69" i="12"/>
  <c r="H69" i="12" s="1"/>
  <c r="AB69" i="12"/>
  <c r="O69" i="12" s="1"/>
  <c r="P69" i="12" s="1"/>
  <c r="K63" i="12"/>
  <c r="L63" i="12" s="1"/>
  <c r="D122" i="3"/>
  <c r="D123" i="3" s="1"/>
  <c r="C123" i="3"/>
  <c r="E122" i="3"/>
  <c r="E123" i="3" s="1"/>
  <c r="AH66" i="12"/>
  <c r="AH63" i="12"/>
  <c r="AH67" i="12"/>
  <c r="AH65" i="12"/>
  <c r="AH69" i="12"/>
  <c r="AH68" i="12"/>
  <c r="AH64" i="12"/>
  <c r="AA67" i="23"/>
  <c r="AA63" i="23"/>
  <c r="AA69" i="23"/>
  <c r="AA64" i="23"/>
  <c r="AA68" i="23"/>
  <c r="AA66" i="23"/>
  <c r="AA65" i="23"/>
  <c r="D100" i="14"/>
  <c r="E100" i="14" s="1"/>
  <c r="AB65" i="23"/>
  <c r="AB63" i="23"/>
  <c r="AB67" i="23"/>
  <c r="AB69" i="23"/>
  <c r="AB64" i="23"/>
  <c r="AB66" i="23"/>
  <c r="AB68" i="23"/>
  <c r="AB70" i="23"/>
  <c r="D82" i="14"/>
  <c r="E82" i="14"/>
  <c r="D70" i="23"/>
  <c r="B71" i="23"/>
  <c r="C70" i="23"/>
  <c r="AH70" i="23" s="1"/>
  <c r="E70" i="23"/>
  <c r="F70" i="23"/>
  <c r="N70" i="23"/>
  <c r="J70" i="23"/>
  <c r="W70" i="23"/>
  <c r="V70" i="23"/>
  <c r="R70" i="23"/>
  <c r="K69" i="12"/>
  <c r="L69" i="12" s="1"/>
  <c r="C70" i="12"/>
  <c r="B71" i="12"/>
  <c r="D70" i="12"/>
  <c r="F70" i="12"/>
  <c r="E70" i="12"/>
  <c r="V70" i="12"/>
  <c r="W70" i="12"/>
  <c r="J70" i="12"/>
  <c r="N70" i="12"/>
  <c r="R70" i="12"/>
  <c r="B113" i="3"/>
  <c r="B112" i="3"/>
  <c r="AG63" i="12"/>
  <c r="AG67" i="12"/>
  <c r="AG64" i="12"/>
  <c r="AG68" i="12"/>
  <c r="AG66" i="12"/>
  <c r="AG65" i="12"/>
  <c r="AG69" i="12"/>
  <c r="AG70" i="12"/>
  <c r="AF68" i="12"/>
  <c r="AF65" i="12"/>
  <c r="AF69" i="12"/>
  <c r="AF63" i="12"/>
  <c r="AF64" i="12"/>
  <c r="AF70" i="12"/>
  <c r="AF66" i="12"/>
  <c r="AF67" i="12"/>
  <c r="AI67" i="12"/>
  <c r="AI64" i="12"/>
  <c r="AI68" i="12"/>
  <c r="AI65" i="12"/>
  <c r="AI69" i="12"/>
  <c r="AI66" i="12"/>
  <c r="AI63" i="12"/>
  <c r="AI70" i="12"/>
  <c r="X63" i="23"/>
  <c r="X65" i="23"/>
  <c r="X66" i="23"/>
  <c r="X67" i="23"/>
  <c r="X69" i="23"/>
  <c r="K69" i="23" s="1"/>
  <c r="L69" i="23" s="1"/>
  <c r="X64" i="23"/>
  <c r="X68" i="23"/>
  <c r="X70" i="23"/>
  <c r="E80" i="14"/>
  <c r="D80" i="14"/>
  <c r="C84" i="14"/>
  <c r="D83" i="14"/>
  <c r="D84" i="14" s="1"/>
  <c r="E83" i="14"/>
  <c r="E84" i="14" s="1"/>
  <c r="C110" i="14"/>
  <c r="E104" i="3"/>
  <c r="E105" i="3" s="1"/>
  <c r="D104" i="3"/>
  <c r="D105" i="3" s="1"/>
  <c r="C105" i="3"/>
  <c r="C128" i="3"/>
  <c r="AF63" i="23"/>
  <c r="AF65" i="23"/>
  <c r="AF67" i="23"/>
  <c r="AF64" i="23"/>
  <c r="AF68" i="23"/>
  <c r="AF66" i="23"/>
  <c r="AF69" i="23"/>
  <c r="AF70" i="23"/>
  <c r="O65" i="12"/>
  <c r="P65" i="12" s="1"/>
  <c r="O64" i="12"/>
  <c r="P64" i="12" s="1"/>
  <c r="O66" i="12"/>
  <c r="P66" i="12" s="1"/>
  <c r="Z70" i="12"/>
  <c r="AB70" i="12"/>
  <c r="K66" i="12"/>
  <c r="L66" i="12" s="1"/>
  <c r="K67" i="12"/>
  <c r="L67" i="12" s="1"/>
  <c r="E81" i="14"/>
  <c r="D81" i="14"/>
  <c r="Z65" i="23"/>
  <c r="Z63" i="23"/>
  <c r="Z64" i="23"/>
  <c r="Z68" i="23"/>
  <c r="Z66" i="23"/>
  <c r="Z67" i="23"/>
  <c r="Z69" i="23"/>
  <c r="Z70" i="23"/>
  <c r="AC63" i="23"/>
  <c r="AC67" i="23"/>
  <c r="AC64" i="23"/>
  <c r="AC66" i="23"/>
  <c r="AC69" i="23"/>
  <c r="AC68" i="23"/>
  <c r="AC65" i="23"/>
  <c r="AC70" i="23"/>
  <c r="R69" i="23"/>
  <c r="AG69" i="23"/>
  <c r="AG66" i="23"/>
  <c r="AG64" i="23"/>
  <c r="AG63" i="23"/>
  <c r="AG68" i="23"/>
  <c r="AG65" i="23"/>
  <c r="AG67" i="23"/>
  <c r="AG70" i="23"/>
  <c r="AI63" i="23"/>
  <c r="AI65" i="23"/>
  <c r="AI67" i="23"/>
  <c r="AI64" i="23"/>
  <c r="AI68" i="23"/>
  <c r="AI66" i="23"/>
  <c r="AI69" i="23"/>
  <c r="AI70" i="23"/>
  <c r="D122" i="14"/>
  <c r="D123" i="14" s="1"/>
  <c r="C123" i="14"/>
  <c r="E122" i="14"/>
  <c r="E123" i="14" s="1"/>
  <c r="O67" i="12"/>
  <c r="P67" i="12" s="1"/>
  <c r="O63" i="12"/>
  <c r="P63" i="12" s="1"/>
  <c r="R69" i="12"/>
  <c r="E104" i="14"/>
  <c r="E105" i="14" s="1"/>
  <c r="C128" i="14"/>
  <c r="C105" i="14"/>
  <c r="D104" i="14"/>
  <c r="D105" i="14" s="1"/>
  <c r="C78" i="28"/>
  <c r="C40" i="29"/>
  <c r="B41" i="30"/>
  <c r="D29" i="30" s="1"/>
  <c r="B44" i="30"/>
  <c r="B47" i="30" s="1"/>
  <c r="K65" i="12"/>
  <c r="L65" i="12" s="1"/>
  <c r="K64" i="12"/>
  <c r="L64" i="12" s="1"/>
  <c r="AE65" i="12"/>
  <c r="S65" i="12" s="1"/>
  <c r="T65" i="12" s="1"/>
  <c r="AE69" i="12"/>
  <c r="AE64" i="12"/>
  <c r="S64" i="12" s="1"/>
  <c r="T64" i="12" s="1"/>
  <c r="AE68" i="12"/>
  <c r="S68" i="12" s="1"/>
  <c r="T68" i="12" s="1"/>
  <c r="AE67" i="12"/>
  <c r="S67" i="12" s="1"/>
  <c r="T67" i="12" s="1"/>
  <c r="AE66" i="12"/>
  <c r="S66" i="12" s="1"/>
  <c r="T66" i="12" s="1"/>
  <c r="AE70" i="12"/>
  <c r="AE63" i="12"/>
  <c r="S63" i="12" s="1"/>
  <c r="T63" i="12" s="1"/>
  <c r="D117" i="3"/>
  <c r="E117" i="3" s="1"/>
  <c r="U56" i="14"/>
  <c r="B152" i="14"/>
  <c r="B91" i="14" s="1"/>
  <c r="C89" i="14"/>
  <c r="C150" i="14"/>
  <c r="F150" i="14" s="1"/>
  <c r="B153" i="14"/>
  <c r="B92" i="14" s="1"/>
  <c r="Y65" i="23"/>
  <c r="Y63" i="23"/>
  <c r="Y66" i="23"/>
  <c r="Y68" i="23"/>
  <c r="Y64" i="23"/>
  <c r="Y67" i="23"/>
  <c r="Y69" i="23"/>
  <c r="Y70" i="23"/>
  <c r="AD66" i="23"/>
  <c r="AD65" i="23"/>
  <c r="AD67" i="23"/>
  <c r="AD64" i="23"/>
  <c r="AD69" i="23"/>
  <c r="O69" i="23" s="1"/>
  <c r="P69" i="23" s="1"/>
  <c r="AD63" i="23"/>
  <c r="AD68" i="23"/>
  <c r="AD70" i="23"/>
  <c r="G69" i="23"/>
  <c r="H69" i="23"/>
  <c r="H78" i="28" l="1"/>
  <c r="H41" i="30"/>
  <c r="H29" i="30" s="1"/>
  <c r="H40" i="29"/>
  <c r="H81" i="28"/>
  <c r="C87" i="28"/>
  <c r="B130" i="3"/>
  <c r="B131" i="3"/>
  <c r="B113" i="14"/>
  <c r="B112" i="14"/>
  <c r="K63" i="23"/>
  <c r="L63" i="23" s="1"/>
  <c r="S70" i="12"/>
  <c r="T70" i="12"/>
  <c r="C71" i="12"/>
  <c r="F71" i="12"/>
  <c r="D71" i="12"/>
  <c r="E71" i="12"/>
  <c r="R71" i="12" s="1"/>
  <c r="B72" i="12"/>
  <c r="W71" i="12"/>
  <c r="V71" i="12"/>
  <c r="J71" i="12"/>
  <c r="N71" i="12"/>
  <c r="AD71" i="12"/>
  <c r="AB71" i="12"/>
  <c r="X71" i="12"/>
  <c r="Z71" i="12"/>
  <c r="AC71" i="12"/>
  <c r="AA71" i="12"/>
  <c r="Y71" i="12"/>
  <c r="O70" i="23"/>
  <c r="P70" i="23" s="1"/>
  <c r="C71" i="23"/>
  <c r="E71" i="23"/>
  <c r="B72" i="23"/>
  <c r="D71" i="23"/>
  <c r="F71" i="23"/>
  <c r="N71" i="23"/>
  <c r="J71" i="23"/>
  <c r="W71" i="23"/>
  <c r="V71" i="23"/>
  <c r="R71" i="23"/>
  <c r="AA71" i="23"/>
  <c r="O65" i="23"/>
  <c r="P65" i="23" s="1"/>
  <c r="S69" i="12"/>
  <c r="T69" i="12" s="1"/>
  <c r="S69" i="23"/>
  <c r="T69" i="23" s="1"/>
  <c r="K67" i="23"/>
  <c r="L67" i="23" s="1"/>
  <c r="AA70" i="12"/>
  <c r="AC70" i="12"/>
  <c r="O70" i="12" s="1"/>
  <c r="P70" i="12" s="1"/>
  <c r="AD70" i="12"/>
  <c r="Y70" i="12"/>
  <c r="G70" i="23"/>
  <c r="H70" i="23"/>
  <c r="O66" i="23"/>
  <c r="P66" i="23" s="1"/>
  <c r="O63" i="23"/>
  <c r="P63" i="23" s="1"/>
  <c r="D26" i="29"/>
  <c r="K68" i="23"/>
  <c r="L68" i="23" s="1"/>
  <c r="K66" i="23"/>
  <c r="L66" i="23" s="1"/>
  <c r="K70" i="12"/>
  <c r="L70" i="12" s="1"/>
  <c r="G70" i="12"/>
  <c r="H70" i="12"/>
  <c r="O68" i="23"/>
  <c r="P68" i="23" s="1"/>
  <c r="O67" i="23"/>
  <c r="P67" i="23" s="1"/>
  <c r="AE71" i="23"/>
  <c r="AE70" i="23"/>
  <c r="S70" i="23" s="1"/>
  <c r="T70" i="23" s="1"/>
  <c r="AH71" i="23"/>
  <c r="C81" i="28"/>
  <c r="C99" i="28" s="1"/>
  <c r="C46" i="29"/>
  <c r="C49" i="29" s="1"/>
  <c r="C52" i="29" s="1"/>
  <c r="D36" i="29" s="1"/>
  <c r="B130" i="14"/>
  <c r="B131" i="14"/>
  <c r="K64" i="23"/>
  <c r="L64" i="23" s="1"/>
  <c r="K65" i="23"/>
  <c r="L65" i="23" s="1"/>
  <c r="K70" i="23"/>
  <c r="L70" i="23" s="1"/>
  <c r="AB71" i="23"/>
  <c r="AA70" i="23"/>
  <c r="O64" i="23"/>
  <c r="P64" i="23" s="1"/>
  <c r="AH70" i="12"/>
  <c r="X70" i="12"/>
  <c r="K71" i="12" l="1"/>
  <c r="L71" i="12"/>
  <c r="AH71" i="12"/>
  <c r="D35" i="29"/>
  <c r="O71" i="12"/>
  <c r="P71" i="12"/>
  <c r="E72" i="12"/>
  <c r="D72" i="12"/>
  <c r="F72" i="12"/>
  <c r="C72" i="12"/>
  <c r="Z72" i="12" s="1"/>
  <c r="B73" i="12"/>
  <c r="V72" i="12"/>
  <c r="W72" i="12"/>
  <c r="J72" i="12"/>
  <c r="N72" i="12"/>
  <c r="AD72" i="12"/>
  <c r="AA72" i="12"/>
  <c r="AG72" i="12"/>
  <c r="AG71" i="12"/>
  <c r="AI71" i="12"/>
  <c r="AE71" i="12"/>
  <c r="S71" i="12" s="1"/>
  <c r="T71" i="12" s="1"/>
  <c r="C51" i="28"/>
  <c r="F52" i="28" s="1"/>
  <c r="H87" i="28"/>
  <c r="C102" i="28" s="1"/>
  <c r="H44" i="30"/>
  <c r="H47" i="30" s="1"/>
  <c r="H50" i="30" s="1"/>
  <c r="H34" i="30" s="1"/>
  <c r="G26" i="29"/>
  <c r="T71" i="23"/>
  <c r="S71" i="23"/>
  <c r="C72" i="23"/>
  <c r="B73" i="23"/>
  <c r="D72" i="23"/>
  <c r="AG72" i="23" s="1"/>
  <c r="E72" i="23"/>
  <c r="F72" i="23"/>
  <c r="N72" i="23"/>
  <c r="J72" i="23"/>
  <c r="W72" i="23"/>
  <c r="V72" i="23"/>
  <c r="X72" i="23"/>
  <c r="AF72" i="23"/>
  <c r="Z72" i="23"/>
  <c r="Y72" i="23"/>
  <c r="AH72" i="23"/>
  <c r="AF71" i="12"/>
  <c r="G71" i="23"/>
  <c r="H71" i="23" s="1"/>
  <c r="Y71" i="23"/>
  <c r="AF71" i="23"/>
  <c r="AI71" i="23"/>
  <c r="AD71" i="23"/>
  <c r="X71" i="23"/>
  <c r="Z71" i="23"/>
  <c r="K71" i="23" s="1"/>
  <c r="L71" i="23" s="1"/>
  <c r="AC71" i="23"/>
  <c r="O71" i="23" s="1"/>
  <c r="P71" i="23" s="1"/>
  <c r="AG71" i="23"/>
  <c r="G71" i="12"/>
  <c r="H71" i="12"/>
  <c r="H46" i="29"/>
  <c r="H49" i="29" s="1"/>
  <c r="H52" i="29" s="1"/>
  <c r="G36" i="29" s="1"/>
  <c r="AC72" i="23" l="1"/>
  <c r="AB72" i="23"/>
  <c r="R72" i="23"/>
  <c r="E73" i="23"/>
  <c r="D73" i="23"/>
  <c r="AH73" i="23" s="1"/>
  <c r="C73" i="23"/>
  <c r="B74" i="23"/>
  <c r="F73" i="23"/>
  <c r="N73" i="23"/>
  <c r="J73" i="23"/>
  <c r="W73" i="23"/>
  <c r="V73" i="23"/>
  <c r="R73" i="23"/>
  <c r="AA73" i="23"/>
  <c r="Z73" i="23"/>
  <c r="Y73" i="23"/>
  <c r="AF73" i="23"/>
  <c r="AC73" i="23"/>
  <c r="AG73" i="23"/>
  <c r="AE73" i="23"/>
  <c r="X73" i="23"/>
  <c r="AI73" i="23"/>
  <c r="G105" i="28"/>
  <c r="E105" i="28"/>
  <c r="AI72" i="12"/>
  <c r="AB72" i="12"/>
  <c r="X72" i="12"/>
  <c r="K72" i="12" s="1"/>
  <c r="L72" i="12" s="1"/>
  <c r="H72" i="12"/>
  <c r="G72" i="12"/>
  <c r="L72" i="23"/>
  <c r="K72" i="23"/>
  <c r="AA72" i="23"/>
  <c r="O72" i="23" s="1"/>
  <c r="P72" i="23" s="1"/>
  <c r="AI72" i="23"/>
  <c r="AD72" i="23"/>
  <c r="G72" i="23"/>
  <c r="H72" i="23"/>
  <c r="G35" i="29"/>
  <c r="AE72" i="12"/>
  <c r="AH72" i="12"/>
  <c r="Y72" i="12"/>
  <c r="R72" i="12"/>
  <c r="AE72" i="23"/>
  <c r="AF72" i="12"/>
  <c r="AC72" i="12"/>
  <c r="O72" i="12" s="1"/>
  <c r="P72" i="12" s="1"/>
  <c r="E73" i="12"/>
  <c r="F73" i="12"/>
  <c r="C73" i="12"/>
  <c r="B74" i="12"/>
  <c r="D73" i="12"/>
  <c r="W73" i="12"/>
  <c r="V73" i="12"/>
  <c r="J73" i="12"/>
  <c r="N73" i="12"/>
  <c r="R73" i="12"/>
  <c r="Y73" i="12"/>
  <c r="AC73" i="12"/>
  <c r="AB73" i="12"/>
  <c r="Z73" i="12"/>
  <c r="AA73" i="12"/>
  <c r="X73" i="12"/>
  <c r="AD73" i="12"/>
  <c r="AG73" i="12"/>
  <c r="AF73" i="12"/>
  <c r="AH73" i="12"/>
  <c r="AI73" i="12"/>
  <c r="AE73" i="12"/>
  <c r="G73" i="12" l="1"/>
  <c r="H73" i="12" s="1"/>
  <c r="S72" i="12"/>
  <c r="T72" i="12"/>
  <c r="AB73" i="23"/>
  <c r="G73" i="23"/>
  <c r="H73" i="23"/>
  <c r="D74" i="23"/>
  <c r="R74" i="23" s="1"/>
  <c r="E74" i="23"/>
  <c r="B75" i="23"/>
  <c r="C74" i="23"/>
  <c r="F74" i="23"/>
  <c r="J74" i="23"/>
  <c r="N74" i="23"/>
  <c r="V74" i="23"/>
  <c r="W74" i="23"/>
  <c r="AD74" i="23"/>
  <c r="Y74" i="23"/>
  <c r="AB74" i="23"/>
  <c r="X74" i="23"/>
  <c r="Z74" i="23"/>
  <c r="AG74" i="23"/>
  <c r="O73" i="12"/>
  <c r="P73" i="12" s="1"/>
  <c r="F107" i="28"/>
  <c r="AD73" i="23"/>
  <c r="K73" i="23"/>
  <c r="L73" i="23"/>
  <c r="T73" i="12"/>
  <c r="S73" i="12"/>
  <c r="K73" i="12"/>
  <c r="L73" i="12" s="1"/>
  <c r="C74" i="12"/>
  <c r="R74" i="12" s="1"/>
  <c r="B75" i="12"/>
  <c r="D74" i="12"/>
  <c r="E74" i="12"/>
  <c r="F74" i="12"/>
  <c r="V74" i="12"/>
  <c r="W74" i="12"/>
  <c r="J74" i="12"/>
  <c r="N74" i="12"/>
  <c r="AD74" i="12"/>
  <c r="AC74" i="12"/>
  <c r="AE74" i="12"/>
  <c r="S73" i="23"/>
  <c r="T73" i="23" s="1"/>
  <c r="O73" i="23"/>
  <c r="P73" i="23" s="1"/>
  <c r="T72" i="23"/>
  <c r="S72" i="23"/>
  <c r="S74" i="12" l="1"/>
  <c r="T74" i="12" s="1"/>
  <c r="G74" i="12"/>
  <c r="H74" i="12"/>
  <c r="AI74" i="12"/>
  <c r="AA74" i="12"/>
  <c r="Y74" i="12"/>
  <c r="AE74" i="23"/>
  <c r="S74" i="23" s="1"/>
  <c r="T74" i="23" s="1"/>
  <c r="AA74" i="23"/>
  <c r="AI74" i="23"/>
  <c r="AF74" i="12"/>
  <c r="Z74" i="12"/>
  <c r="X74" i="12"/>
  <c r="K74" i="12" s="1"/>
  <c r="L74" i="12" s="1"/>
  <c r="AH74" i="23"/>
  <c r="AC74" i="23"/>
  <c r="O74" i="23" s="1"/>
  <c r="P74" i="23" s="1"/>
  <c r="D75" i="23"/>
  <c r="R75" i="23" s="1"/>
  <c r="E75" i="23"/>
  <c r="B76" i="23"/>
  <c r="C75" i="23"/>
  <c r="F75" i="23"/>
  <c r="J75" i="23"/>
  <c r="N75" i="23"/>
  <c r="V75" i="23"/>
  <c r="W75" i="23"/>
  <c r="AC75" i="23"/>
  <c r="X75" i="23"/>
  <c r="Z75" i="23"/>
  <c r="Y75" i="23"/>
  <c r="C73" i="28"/>
  <c r="C72" i="28"/>
  <c r="G74" i="23"/>
  <c r="H74" i="23" s="1"/>
  <c r="AH74" i="12"/>
  <c r="AG74" i="12"/>
  <c r="AB74" i="12"/>
  <c r="O74" i="12" s="1"/>
  <c r="P74" i="12" s="1"/>
  <c r="B76" i="12"/>
  <c r="D75" i="12"/>
  <c r="AC75" i="12" s="1"/>
  <c r="E75" i="12"/>
  <c r="F75" i="12"/>
  <c r="C75" i="12"/>
  <c r="V75" i="12"/>
  <c r="W75" i="12"/>
  <c r="J75" i="12"/>
  <c r="N75" i="12"/>
  <c r="R75" i="12"/>
  <c r="X75" i="12"/>
  <c r="AB75" i="12"/>
  <c r="Y75" i="12"/>
  <c r="AD75" i="12"/>
  <c r="Z75" i="12"/>
  <c r="AA75" i="12"/>
  <c r="AH75" i="12"/>
  <c r="AE75" i="12"/>
  <c r="AG75" i="12"/>
  <c r="AF75" i="12"/>
  <c r="AI75" i="12"/>
  <c r="AF74" i="23"/>
  <c r="K74" i="23"/>
  <c r="L74" i="23" s="1"/>
  <c r="G75" i="23" l="1"/>
  <c r="H75" i="23" s="1"/>
  <c r="AI75" i="23"/>
  <c r="AB75" i="23"/>
  <c r="AG75" i="23"/>
  <c r="K75" i="12"/>
  <c r="L75" i="12" s="1"/>
  <c r="G75" i="12"/>
  <c r="H75" i="12"/>
  <c r="S75" i="12"/>
  <c r="T75" i="12" s="1"/>
  <c r="AH75" i="23"/>
  <c r="AA75" i="23"/>
  <c r="O75" i="23" s="1"/>
  <c r="P75" i="23" s="1"/>
  <c r="D76" i="23"/>
  <c r="E76" i="23"/>
  <c r="AH76" i="23" s="1"/>
  <c r="C76" i="23"/>
  <c r="B77" i="23"/>
  <c r="F76" i="23"/>
  <c r="N76" i="23"/>
  <c r="J76" i="23"/>
  <c r="V76" i="23"/>
  <c r="W76" i="23"/>
  <c r="X76" i="23"/>
  <c r="Z76" i="23"/>
  <c r="AC76" i="23"/>
  <c r="Y76" i="23"/>
  <c r="AD76" i="23"/>
  <c r="AA76" i="23"/>
  <c r="AB76" i="23"/>
  <c r="AG76" i="23"/>
  <c r="O75" i="12"/>
  <c r="P75" i="12" s="1"/>
  <c r="C76" i="12"/>
  <c r="E76" i="12"/>
  <c r="AH76" i="12" s="1"/>
  <c r="B77" i="12"/>
  <c r="F76" i="12"/>
  <c r="D76" i="12"/>
  <c r="W76" i="12"/>
  <c r="V76" i="12"/>
  <c r="J76" i="12"/>
  <c r="N76" i="12"/>
  <c r="R76" i="12"/>
  <c r="AC76" i="12"/>
  <c r="X76" i="12"/>
  <c r="AA76" i="12"/>
  <c r="Y76" i="12"/>
  <c r="Z76" i="12"/>
  <c r="AD76" i="12"/>
  <c r="AB76" i="12"/>
  <c r="AF76" i="12"/>
  <c r="AG76" i="12"/>
  <c r="AE75" i="23"/>
  <c r="S75" i="23" s="1"/>
  <c r="T75" i="23" s="1"/>
  <c r="AF75" i="23"/>
  <c r="AD75" i="23"/>
  <c r="K75" i="23"/>
  <c r="L75" i="23" s="1"/>
  <c r="R76" i="23" l="1"/>
  <c r="AI76" i="12"/>
  <c r="C77" i="12"/>
  <c r="AA77" i="12" s="1"/>
  <c r="B78" i="12"/>
  <c r="E77" i="12"/>
  <c r="D77" i="12"/>
  <c r="F77" i="12"/>
  <c r="V77" i="12"/>
  <c r="W77" i="12"/>
  <c r="J77" i="12"/>
  <c r="N77" i="12"/>
  <c r="R77" i="12"/>
  <c r="Y77" i="12"/>
  <c r="AC77" i="12"/>
  <c r="AD77" i="12"/>
  <c r="AF77" i="12"/>
  <c r="AG77" i="12"/>
  <c r="AI77" i="12"/>
  <c r="AI76" i="23"/>
  <c r="AE76" i="23"/>
  <c r="K76" i="23"/>
  <c r="L76" i="23"/>
  <c r="O76" i="23"/>
  <c r="P76" i="23" s="1"/>
  <c r="AE76" i="12"/>
  <c r="S76" i="12" s="1"/>
  <c r="T76" i="12" s="1"/>
  <c r="P76" i="12"/>
  <c r="O76" i="12"/>
  <c r="AF76" i="23"/>
  <c r="G76" i="23"/>
  <c r="H76" i="23"/>
  <c r="K76" i="12"/>
  <c r="L76" i="12"/>
  <c r="H76" i="12"/>
  <c r="G76" i="12"/>
  <c r="D77" i="23"/>
  <c r="C77" i="23"/>
  <c r="AF77" i="23" s="1"/>
  <c r="B78" i="23"/>
  <c r="E77" i="23"/>
  <c r="F77" i="23"/>
  <c r="N77" i="23"/>
  <c r="J77" i="23"/>
  <c r="W77" i="23"/>
  <c r="V77" i="23"/>
  <c r="R77" i="23"/>
  <c r="AA77" i="23"/>
  <c r="AH77" i="23"/>
  <c r="Y77" i="23"/>
  <c r="C78" i="12" l="1"/>
  <c r="F78" i="12"/>
  <c r="D78" i="12"/>
  <c r="AA78" i="12" s="1"/>
  <c r="E78" i="12"/>
  <c r="AE78" i="12" s="1"/>
  <c r="B79" i="12"/>
  <c r="W78" i="12"/>
  <c r="V78" i="12"/>
  <c r="J78" i="12"/>
  <c r="N78" i="12"/>
  <c r="Z78" i="12"/>
  <c r="AC78" i="12"/>
  <c r="X78" i="12"/>
  <c r="AB78" i="12"/>
  <c r="AD78" i="12"/>
  <c r="Y78" i="12"/>
  <c r="AH78" i="12"/>
  <c r="AD77" i="23"/>
  <c r="O77" i="12"/>
  <c r="P77" i="12" s="1"/>
  <c r="G77" i="12"/>
  <c r="H77" i="12"/>
  <c r="X77" i="23"/>
  <c r="AI77" i="23"/>
  <c r="AC77" i="23"/>
  <c r="AE77" i="12"/>
  <c r="S77" i="12" s="1"/>
  <c r="T77" i="12" s="1"/>
  <c r="Z77" i="12"/>
  <c r="K77" i="12" s="1"/>
  <c r="L77" i="12" s="1"/>
  <c r="X77" i="12"/>
  <c r="S77" i="23"/>
  <c r="T77" i="23" s="1"/>
  <c r="Z77" i="23"/>
  <c r="AG77" i="23"/>
  <c r="G77" i="23"/>
  <c r="H77" i="23" s="1"/>
  <c r="AE77" i="23"/>
  <c r="AB77" i="23"/>
  <c r="O77" i="23" s="1"/>
  <c r="P77" i="23" s="1"/>
  <c r="K77" i="23"/>
  <c r="L77" i="23" s="1"/>
  <c r="B79" i="23"/>
  <c r="E78" i="23"/>
  <c r="D78" i="23"/>
  <c r="AE78" i="23" s="1"/>
  <c r="C78" i="23"/>
  <c r="F78" i="23"/>
  <c r="N78" i="23"/>
  <c r="J78" i="23"/>
  <c r="W78" i="23"/>
  <c r="V78" i="23"/>
  <c r="AH78" i="23"/>
  <c r="AD78" i="23"/>
  <c r="X78" i="23"/>
  <c r="Z78" i="23"/>
  <c r="AA78" i="23"/>
  <c r="Y78" i="23"/>
  <c r="AH77" i="12"/>
  <c r="AB77" i="12"/>
  <c r="S76" i="23"/>
  <c r="T76" i="23"/>
  <c r="K78" i="23" l="1"/>
  <c r="L78" i="23" s="1"/>
  <c r="K78" i="12"/>
  <c r="L78" i="12" s="1"/>
  <c r="AI78" i="23"/>
  <c r="O78" i="23"/>
  <c r="P78" i="23" s="1"/>
  <c r="AG78" i="23"/>
  <c r="AB78" i="23"/>
  <c r="G78" i="23"/>
  <c r="H78" i="23"/>
  <c r="D79" i="23"/>
  <c r="R79" i="23" s="1"/>
  <c r="B80" i="23"/>
  <c r="C79" i="23"/>
  <c r="E79" i="23"/>
  <c r="F79" i="23"/>
  <c r="J79" i="23"/>
  <c r="N79" i="23"/>
  <c r="V79" i="23"/>
  <c r="W79" i="23"/>
  <c r="X79" i="23"/>
  <c r="AB79" i="23"/>
  <c r="Z79" i="23"/>
  <c r="Y79" i="23"/>
  <c r="AC79" i="23"/>
  <c r="AI78" i="12"/>
  <c r="AG78" i="12"/>
  <c r="R78" i="12"/>
  <c r="G78" i="12"/>
  <c r="H78" i="12" s="1"/>
  <c r="R78" i="23"/>
  <c r="AF78" i="23"/>
  <c r="AC78" i="23"/>
  <c r="AF78" i="12"/>
  <c r="O78" i="12"/>
  <c r="P78" i="12" s="1"/>
  <c r="C79" i="12"/>
  <c r="R79" i="12" s="1"/>
  <c r="F79" i="12"/>
  <c r="D79" i="12"/>
  <c r="AB79" i="12" s="1"/>
  <c r="E79" i="12"/>
  <c r="AE79" i="12" s="1"/>
  <c r="B80" i="12"/>
  <c r="V79" i="12"/>
  <c r="W79" i="12"/>
  <c r="J79" i="12"/>
  <c r="N79" i="12"/>
  <c r="AD79" i="12"/>
  <c r="X79" i="12"/>
  <c r="Z79" i="12"/>
  <c r="AA79" i="12"/>
  <c r="AH79" i="12"/>
  <c r="S79" i="12" l="1"/>
  <c r="T79" i="12"/>
  <c r="K79" i="12"/>
  <c r="L79" i="12"/>
  <c r="G79" i="23"/>
  <c r="H79" i="23" s="1"/>
  <c r="AA79" i="23"/>
  <c r="AF79" i="12"/>
  <c r="AI79" i="12"/>
  <c r="Y79" i="12"/>
  <c r="G79" i="12"/>
  <c r="H79" i="12"/>
  <c r="AH79" i="23"/>
  <c r="AE79" i="23"/>
  <c r="S79" i="23" s="1"/>
  <c r="T79" i="23" s="1"/>
  <c r="O79" i="23"/>
  <c r="P79" i="23" s="1"/>
  <c r="S78" i="12"/>
  <c r="T78" i="12" s="1"/>
  <c r="S78" i="23"/>
  <c r="T78" i="23"/>
  <c r="AF79" i="23"/>
  <c r="AG79" i="12"/>
  <c r="AC79" i="12"/>
  <c r="O79" i="12"/>
  <c r="P79" i="12" s="1"/>
  <c r="E80" i="12"/>
  <c r="F80" i="12"/>
  <c r="C80" i="12"/>
  <c r="R80" i="12" s="1"/>
  <c r="B81" i="12"/>
  <c r="D80" i="12"/>
  <c r="V80" i="12"/>
  <c r="W80" i="12"/>
  <c r="J80" i="12"/>
  <c r="N80" i="12"/>
  <c r="Y80" i="12"/>
  <c r="X80" i="12"/>
  <c r="AE80" i="12"/>
  <c r="AG79" i="23"/>
  <c r="AI79" i="23"/>
  <c r="AD79" i="23"/>
  <c r="K79" i="23"/>
  <c r="L79" i="23"/>
  <c r="C80" i="23"/>
  <c r="AA80" i="23" s="1"/>
  <c r="D80" i="23"/>
  <c r="E80" i="23"/>
  <c r="B81" i="23"/>
  <c r="F80" i="23"/>
  <c r="N80" i="23"/>
  <c r="J80" i="23"/>
  <c r="W80" i="23"/>
  <c r="V80" i="23"/>
  <c r="AF80" i="23"/>
  <c r="AC80" i="23"/>
  <c r="X80" i="23"/>
  <c r="Z80" i="23"/>
  <c r="AD80" i="23"/>
  <c r="AH80" i="23"/>
  <c r="S80" i="12" l="1"/>
  <c r="T80" i="12" s="1"/>
  <c r="AE80" i="23"/>
  <c r="K80" i="23"/>
  <c r="L80" i="23" s="1"/>
  <c r="AI80" i="23"/>
  <c r="AG80" i="23"/>
  <c r="Y80" i="23"/>
  <c r="R80" i="23"/>
  <c r="AG80" i="12"/>
  <c r="AC80" i="12"/>
  <c r="AA80" i="12"/>
  <c r="B82" i="23"/>
  <c r="D81" i="23"/>
  <c r="E81" i="23"/>
  <c r="C81" i="23"/>
  <c r="X81" i="23" s="1"/>
  <c r="F81" i="23"/>
  <c r="N81" i="23"/>
  <c r="J81" i="23"/>
  <c r="W81" i="23"/>
  <c r="V81" i="23"/>
  <c r="AA81" i="23"/>
  <c r="AC81" i="23"/>
  <c r="AE81" i="23"/>
  <c r="G80" i="23"/>
  <c r="H80" i="23"/>
  <c r="AH80" i="12"/>
  <c r="Z80" i="12"/>
  <c r="AB80" i="12"/>
  <c r="O80" i="12" s="1"/>
  <c r="P80" i="12" s="1"/>
  <c r="L80" i="12"/>
  <c r="K80" i="12"/>
  <c r="D81" i="12"/>
  <c r="E81" i="12"/>
  <c r="C81" i="12"/>
  <c r="Z81" i="12" s="1"/>
  <c r="B82" i="12"/>
  <c r="F81" i="12"/>
  <c r="V81" i="12"/>
  <c r="W81" i="12"/>
  <c r="J81" i="12"/>
  <c r="N81" i="12"/>
  <c r="AB81" i="12"/>
  <c r="X81" i="12"/>
  <c r="AE81" i="12"/>
  <c r="AB80" i="23"/>
  <c r="O80" i="23" s="1"/>
  <c r="P80" i="23" s="1"/>
  <c r="AF80" i="12"/>
  <c r="AI80" i="12"/>
  <c r="AD80" i="12"/>
  <c r="G80" i="12"/>
  <c r="H80" i="12" s="1"/>
  <c r="AG81" i="12" l="1"/>
  <c r="R81" i="12"/>
  <c r="AD81" i="23"/>
  <c r="AF81" i="23"/>
  <c r="AF81" i="12"/>
  <c r="AC81" i="12"/>
  <c r="AA81" i="12"/>
  <c r="O81" i="12" s="1"/>
  <c r="P81" i="12" s="1"/>
  <c r="G81" i="12"/>
  <c r="H81" i="12" s="1"/>
  <c r="Z81" i="23"/>
  <c r="Y81" i="23"/>
  <c r="K81" i="23" s="1"/>
  <c r="L81" i="23" s="1"/>
  <c r="AI81" i="23"/>
  <c r="R81" i="23"/>
  <c r="AI81" i="12"/>
  <c r="Y81" i="12"/>
  <c r="AH81" i="23"/>
  <c r="AH81" i="12"/>
  <c r="AD81" i="12"/>
  <c r="K81" i="12"/>
  <c r="L81" i="12" s="1"/>
  <c r="D82" i="12"/>
  <c r="B83" i="12"/>
  <c r="E82" i="12"/>
  <c r="F82" i="12"/>
  <c r="C82" i="12"/>
  <c r="V82" i="12"/>
  <c r="W82" i="12"/>
  <c r="J82" i="12"/>
  <c r="N82" i="12"/>
  <c r="R82" i="12"/>
  <c r="Z82" i="12"/>
  <c r="AA82" i="12"/>
  <c r="Y82" i="12"/>
  <c r="AC82" i="12"/>
  <c r="X82" i="12"/>
  <c r="AB82" i="12"/>
  <c r="AD82" i="12"/>
  <c r="AF82" i="12"/>
  <c r="AE82" i="12"/>
  <c r="AG82" i="12"/>
  <c r="AI82" i="12"/>
  <c r="AH82" i="12"/>
  <c r="AB81" i="23"/>
  <c r="O81" i="23" s="1"/>
  <c r="P81" i="23" s="1"/>
  <c r="AG81" i="23"/>
  <c r="G81" i="23"/>
  <c r="H81" i="23"/>
  <c r="D82" i="23"/>
  <c r="C82" i="23"/>
  <c r="E82" i="23"/>
  <c r="B83" i="23"/>
  <c r="F82" i="23"/>
  <c r="N82" i="23"/>
  <c r="J82" i="23"/>
  <c r="W82" i="23"/>
  <c r="V82" i="23"/>
  <c r="R82" i="23"/>
  <c r="Y82" i="23"/>
  <c r="AF82" i="23"/>
  <c r="AC82" i="23"/>
  <c r="AE82" i="23"/>
  <c r="AA82" i="23"/>
  <c r="AB82" i="23"/>
  <c r="X82" i="23"/>
  <c r="Z82" i="23"/>
  <c r="AG82" i="23"/>
  <c r="AI82" i="23"/>
  <c r="AD82" i="23"/>
  <c r="AH82" i="23"/>
  <c r="S80" i="23"/>
  <c r="T80" i="23"/>
  <c r="E83" i="23" l="1"/>
  <c r="D83" i="23"/>
  <c r="C83" i="23"/>
  <c r="B84" i="23"/>
  <c r="F83" i="23"/>
  <c r="N83" i="23"/>
  <c r="J83" i="23"/>
  <c r="W83" i="23"/>
  <c r="V83" i="23"/>
  <c r="R83" i="23"/>
  <c r="AH83" i="23"/>
  <c r="AA83" i="23"/>
  <c r="AC83" i="23"/>
  <c r="Y83" i="23"/>
  <c r="X83" i="23"/>
  <c r="AF83" i="23"/>
  <c r="AI83" i="23"/>
  <c r="AE83" i="23"/>
  <c r="AB83" i="23"/>
  <c r="Z83" i="23"/>
  <c r="AG83" i="23"/>
  <c r="AD83" i="23"/>
  <c r="K82" i="23"/>
  <c r="L82" i="23" s="1"/>
  <c r="O82" i="12"/>
  <c r="P82" i="12" s="1"/>
  <c r="S82" i="12"/>
  <c r="T82" i="12"/>
  <c r="D83" i="12"/>
  <c r="F83" i="12"/>
  <c r="C83" i="12"/>
  <c r="R83" i="12" s="1"/>
  <c r="E83" i="12"/>
  <c r="AG83" i="12" s="1"/>
  <c r="B84" i="12"/>
  <c r="W83" i="12"/>
  <c r="V83" i="12"/>
  <c r="J83" i="12"/>
  <c r="N83" i="12"/>
  <c r="AD83" i="12"/>
  <c r="AC83" i="12"/>
  <c r="X83" i="12"/>
  <c r="AB83" i="12"/>
  <c r="Z83" i="12"/>
  <c r="AA83" i="12"/>
  <c r="Y83" i="12"/>
  <c r="AH83" i="12"/>
  <c r="S82" i="23"/>
  <c r="T82" i="23"/>
  <c r="O82" i="23"/>
  <c r="P82" i="23" s="1"/>
  <c r="K82" i="12"/>
  <c r="L82" i="12"/>
  <c r="G82" i="12"/>
  <c r="H82" i="12" s="1"/>
  <c r="S81" i="12"/>
  <c r="T81" i="12"/>
  <c r="G82" i="23"/>
  <c r="H82" i="23" s="1"/>
  <c r="S81" i="23"/>
  <c r="T81" i="23"/>
  <c r="C84" i="23" l="1"/>
  <c r="AH84" i="23" s="1"/>
  <c r="B85" i="23"/>
  <c r="D84" i="23"/>
  <c r="E84" i="23"/>
  <c r="F84" i="23"/>
  <c r="N84" i="23"/>
  <c r="J84" i="23"/>
  <c r="W84" i="23"/>
  <c r="V84" i="23"/>
  <c r="AB84" i="23"/>
  <c r="AD84" i="23"/>
  <c r="X84" i="23"/>
  <c r="AE83" i="12"/>
  <c r="S83" i="12" s="1"/>
  <c r="T83" i="12" s="1"/>
  <c r="K83" i="23"/>
  <c r="L83" i="23"/>
  <c r="K83" i="12"/>
  <c r="L83" i="12" s="1"/>
  <c r="AI83" i="12"/>
  <c r="AF83" i="12"/>
  <c r="G83" i="12"/>
  <c r="H83" i="12" s="1"/>
  <c r="S83" i="23"/>
  <c r="T83" i="23" s="1"/>
  <c r="O83" i="23"/>
  <c r="P83" i="23" s="1"/>
  <c r="O83" i="12"/>
  <c r="P83" i="12"/>
  <c r="D84" i="12"/>
  <c r="B85" i="12"/>
  <c r="E84" i="12"/>
  <c r="C84" i="12"/>
  <c r="R84" i="12" s="1"/>
  <c r="F84" i="12"/>
  <c r="V84" i="12"/>
  <c r="W84" i="12"/>
  <c r="J84" i="12"/>
  <c r="N84" i="12"/>
  <c r="AC84" i="12"/>
  <c r="Z84" i="12"/>
  <c r="AF84" i="12"/>
  <c r="G83" i="23"/>
  <c r="H83" i="23"/>
  <c r="AI84" i="12" l="1"/>
  <c r="Y84" i="12"/>
  <c r="AB84" i="12"/>
  <c r="O84" i="12"/>
  <c r="P84" i="12" s="1"/>
  <c r="G84" i="12"/>
  <c r="H84" i="12" s="1"/>
  <c r="AI84" i="23"/>
  <c r="AA84" i="23"/>
  <c r="Z84" i="23"/>
  <c r="R84" i="23"/>
  <c r="O84" i="23"/>
  <c r="P84" i="23" s="1"/>
  <c r="E85" i="23"/>
  <c r="D85" i="23"/>
  <c r="C85" i="23"/>
  <c r="AB85" i="23" s="1"/>
  <c r="B86" i="23"/>
  <c r="F85" i="23"/>
  <c r="N85" i="23"/>
  <c r="J85" i="23"/>
  <c r="V85" i="23"/>
  <c r="W85" i="23"/>
  <c r="AE85" i="23"/>
  <c r="Y85" i="23"/>
  <c r="AF85" i="23"/>
  <c r="G84" i="23"/>
  <c r="H84" i="23" s="1"/>
  <c r="AG84" i="12"/>
  <c r="AD84" i="12"/>
  <c r="Y84" i="23"/>
  <c r="K84" i="23" s="1"/>
  <c r="L84" i="23" s="1"/>
  <c r="AF84" i="23"/>
  <c r="AE84" i="23"/>
  <c r="X84" i="12"/>
  <c r="K84" i="12" s="1"/>
  <c r="L84" i="12" s="1"/>
  <c r="AE84" i="12"/>
  <c r="S84" i="12" s="1"/>
  <c r="T84" i="12" s="1"/>
  <c r="AH84" i="12"/>
  <c r="AA84" i="12"/>
  <c r="D85" i="12"/>
  <c r="AD85" i="12" s="1"/>
  <c r="F85" i="12"/>
  <c r="C85" i="12"/>
  <c r="X85" i="12" s="1"/>
  <c r="B86" i="12"/>
  <c r="E85" i="12"/>
  <c r="W85" i="12"/>
  <c r="V85" i="12"/>
  <c r="J85" i="12"/>
  <c r="N85" i="12"/>
  <c r="R85" i="12"/>
  <c r="Y85" i="12"/>
  <c r="AB85" i="12"/>
  <c r="Z85" i="12"/>
  <c r="AA85" i="12"/>
  <c r="AC85" i="12"/>
  <c r="AG85" i="12"/>
  <c r="AF85" i="12"/>
  <c r="AH85" i="12"/>
  <c r="AI85" i="12"/>
  <c r="AC84" i="23"/>
  <c r="AG84" i="23"/>
  <c r="O85" i="12" l="1"/>
  <c r="P85" i="12" s="1"/>
  <c r="AI85" i="23"/>
  <c r="X85" i="23"/>
  <c r="AH85" i="23"/>
  <c r="R85" i="23"/>
  <c r="S84" i="23"/>
  <c r="T84" i="23" s="1"/>
  <c r="G85" i="12"/>
  <c r="H85" i="12" s="1"/>
  <c r="AE85" i="12"/>
  <c r="K85" i="12"/>
  <c r="L85" i="12"/>
  <c r="E86" i="12"/>
  <c r="F86" i="12"/>
  <c r="C86" i="12"/>
  <c r="AD86" i="12" s="1"/>
  <c r="B87" i="12"/>
  <c r="D86" i="12"/>
  <c r="V86" i="12"/>
  <c r="W86" i="12"/>
  <c r="J86" i="12"/>
  <c r="N86" i="12"/>
  <c r="R86" i="12"/>
  <c r="X86" i="12"/>
  <c r="Z86" i="12"/>
  <c r="AB86" i="12"/>
  <c r="AA86" i="12"/>
  <c r="AC86" i="12"/>
  <c r="Y86" i="12"/>
  <c r="AI86" i="12"/>
  <c r="AF86" i="12"/>
  <c r="AH86" i="12"/>
  <c r="AE86" i="12"/>
  <c r="AG86" i="12"/>
  <c r="AG85" i="23"/>
  <c r="AA85" i="23"/>
  <c r="O85" i="23" s="1"/>
  <c r="P85" i="23" s="1"/>
  <c r="Z85" i="23"/>
  <c r="G85" i="23"/>
  <c r="H85" i="23" s="1"/>
  <c r="T85" i="12"/>
  <c r="S85" i="12"/>
  <c r="L85" i="23"/>
  <c r="K85" i="23"/>
  <c r="AC85" i="23"/>
  <c r="AD85" i="23"/>
  <c r="C86" i="23"/>
  <c r="E86" i="23"/>
  <c r="B87" i="23"/>
  <c r="D86" i="23"/>
  <c r="F86" i="23"/>
  <c r="N86" i="23"/>
  <c r="J86" i="23"/>
  <c r="V86" i="23"/>
  <c r="W86" i="23"/>
  <c r="R86" i="23"/>
  <c r="AB86" i="23"/>
  <c r="X86" i="23"/>
  <c r="AF86" i="23"/>
  <c r="AI86" i="23"/>
  <c r="Y86" i="23"/>
  <c r="AD86" i="23"/>
  <c r="AH86" i="23"/>
  <c r="AE86" i="23"/>
  <c r="AG86" i="23"/>
  <c r="AA86" i="23"/>
  <c r="Z86" i="23"/>
  <c r="AC86" i="23"/>
  <c r="O86" i="12" l="1"/>
  <c r="P86" i="12" s="1"/>
  <c r="K86" i="23"/>
  <c r="L86" i="23"/>
  <c r="B88" i="23"/>
  <c r="D87" i="23"/>
  <c r="E87" i="23"/>
  <c r="C87" i="23"/>
  <c r="X87" i="23" s="1"/>
  <c r="F87" i="23"/>
  <c r="N87" i="23"/>
  <c r="J87" i="23"/>
  <c r="V87" i="23"/>
  <c r="W87" i="23"/>
  <c r="AI87" i="23"/>
  <c r="AD87" i="23"/>
  <c r="Y87" i="23"/>
  <c r="K86" i="12"/>
  <c r="L86" i="12"/>
  <c r="D87" i="12"/>
  <c r="F87" i="12"/>
  <c r="E87" i="12"/>
  <c r="B88" i="12"/>
  <c r="C87" i="12"/>
  <c r="R87" i="12" s="1"/>
  <c r="V87" i="12"/>
  <c r="W87" i="12"/>
  <c r="J87" i="12"/>
  <c r="N87" i="12"/>
  <c r="AB87" i="12"/>
  <c r="Y87" i="12"/>
  <c r="Z87" i="12"/>
  <c r="AD87" i="12"/>
  <c r="AC87" i="12"/>
  <c r="AA87" i="12"/>
  <c r="X87" i="12"/>
  <c r="AH87" i="12"/>
  <c r="AG87" i="12"/>
  <c r="AI87" i="12"/>
  <c r="AE87" i="12"/>
  <c r="AF87" i="12"/>
  <c r="S86" i="23"/>
  <c r="T86" i="23"/>
  <c r="O86" i="23"/>
  <c r="P86" i="23" s="1"/>
  <c r="S85" i="23"/>
  <c r="T85" i="23"/>
  <c r="G86" i="23"/>
  <c r="H86" i="23" s="1"/>
  <c r="S86" i="12"/>
  <c r="T86" i="12"/>
  <c r="H86" i="12"/>
  <c r="G86" i="12"/>
  <c r="S87" i="12" l="1"/>
  <c r="T87" i="12" s="1"/>
  <c r="B89" i="12"/>
  <c r="D88" i="12"/>
  <c r="C88" i="12"/>
  <c r="AA88" i="12" s="1"/>
  <c r="F88" i="12"/>
  <c r="E88" i="12"/>
  <c r="AE88" i="12" s="1"/>
  <c r="W88" i="12"/>
  <c r="V88" i="12"/>
  <c r="J88" i="12"/>
  <c r="N88" i="12"/>
  <c r="X88" i="12"/>
  <c r="AC88" i="12"/>
  <c r="Z88" i="12"/>
  <c r="AD88" i="12"/>
  <c r="Y88" i="12"/>
  <c r="AG88" i="12"/>
  <c r="AC87" i="23"/>
  <c r="Z87" i="23"/>
  <c r="AA87" i="23"/>
  <c r="O87" i="23" s="1"/>
  <c r="P87" i="23" s="1"/>
  <c r="K87" i="23"/>
  <c r="L87" i="23"/>
  <c r="K87" i="12"/>
  <c r="L87" i="12"/>
  <c r="G87" i="12"/>
  <c r="H87" i="12" s="1"/>
  <c r="AG87" i="23"/>
  <c r="AE87" i="23"/>
  <c r="AF87" i="23"/>
  <c r="R87" i="23"/>
  <c r="O87" i="12"/>
  <c r="P87" i="12" s="1"/>
  <c r="AB87" i="23"/>
  <c r="AH87" i="23"/>
  <c r="G87" i="23"/>
  <c r="H87" i="23" s="1"/>
  <c r="E88" i="23"/>
  <c r="C88" i="23"/>
  <c r="Z88" i="23" s="1"/>
  <c r="B89" i="23"/>
  <c r="D88" i="23"/>
  <c r="F88" i="23"/>
  <c r="J88" i="23"/>
  <c r="N88" i="23"/>
  <c r="W88" i="23"/>
  <c r="V88" i="23"/>
  <c r="R88" i="23"/>
  <c r="AB88" i="23"/>
  <c r="AG88" i="23"/>
  <c r="AI88" i="23"/>
  <c r="AD88" i="23" l="1"/>
  <c r="Y88" i="23"/>
  <c r="AA88" i="23"/>
  <c r="O88" i="23" s="1"/>
  <c r="P88" i="23" s="1"/>
  <c r="C89" i="23"/>
  <c r="R89" i="23" s="1"/>
  <c r="E89" i="23"/>
  <c r="B90" i="23"/>
  <c r="D89" i="23"/>
  <c r="F89" i="23"/>
  <c r="N89" i="23"/>
  <c r="J89" i="23"/>
  <c r="W89" i="23"/>
  <c r="V89" i="23"/>
  <c r="AG89" i="23"/>
  <c r="AB89" i="23"/>
  <c r="AH89" i="23"/>
  <c r="AF88" i="12"/>
  <c r="AI88" i="12"/>
  <c r="R88" i="12"/>
  <c r="E89" i="12"/>
  <c r="B90" i="12"/>
  <c r="D89" i="12"/>
  <c r="F89" i="12"/>
  <c r="C89" i="12"/>
  <c r="V89" i="12"/>
  <c r="W89" i="12"/>
  <c r="J89" i="12"/>
  <c r="N89" i="12"/>
  <c r="R89" i="12"/>
  <c r="AB89" i="12"/>
  <c r="Y89" i="12"/>
  <c r="X89" i="12"/>
  <c r="AD89" i="12"/>
  <c r="AC89" i="12"/>
  <c r="Z89" i="12"/>
  <c r="AA89" i="12"/>
  <c r="AH89" i="12"/>
  <c r="AF89" i="12"/>
  <c r="AI89" i="12"/>
  <c r="AG89" i="12"/>
  <c r="AE89" i="12"/>
  <c r="AF88" i="23"/>
  <c r="AE88" i="23"/>
  <c r="S88" i="23" s="1"/>
  <c r="T88" i="23" s="1"/>
  <c r="AC88" i="23"/>
  <c r="G88" i="23"/>
  <c r="H88" i="23" s="1"/>
  <c r="AH88" i="12"/>
  <c r="AB88" i="12"/>
  <c r="O88" i="12" s="1"/>
  <c r="P88" i="12" s="1"/>
  <c r="L88" i="12"/>
  <c r="K88" i="12"/>
  <c r="G88" i="12"/>
  <c r="H88" i="12" s="1"/>
  <c r="X88" i="23"/>
  <c r="K88" i="23" s="1"/>
  <c r="L88" i="23" s="1"/>
  <c r="AH88" i="23"/>
  <c r="S87" i="23"/>
  <c r="T87" i="23" s="1"/>
  <c r="G89" i="12" l="1"/>
  <c r="H89" i="12"/>
  <c r="AF89" i="23"/>
  <c r="AA89" i="23"/>
  <c r="AC89" i="23"/>
  <c r="K89" i="12"/>
  <c r="L89" i="12" s="1"/>
  <c r="S89" i="12"/>
  <c r="T89" i="12" s="1"/>
  <c r="E90" i="12"/>
  <c r="R90" i="12" s="1"/>
  <c r="D90" i="12"/>
  <c r="F90" i="12"/>
  <c r="C90" i="12"/>
  <c r="B91" i="12"/>
  <c r="W90" i="12"/>
  <c r="V90" i="12"/>
  <c r="J90" i="12"/>
  <c r="N90" i="12"/>
  <c r="X90" i="12"/>
  <c r="AB90" i="12"/>
  <c r="AC90" i="12"/>
  <c r="Y90" i="12"/>
  <c r="Z90" i="12"/>
  <c r="AD90" i="12"/>
  <c r="AA90" i="12"/>
  <c r="AH90" i="12"/>
  <c r="AI89" i="23"/>
  <c r="AD89" i="23"/>
  <c r="X89" i="23"/>
  <c r="K89" i="23" s="1"/>
  <c r="L89" i="23" s="1"/>
  <c r="E90" i="23"/>
  <c r="C90" i="23"/>
  <c r="AE90" i="23" s="1"/>
  <c r="D90" i="23"/>
  <c r="B91" i="23"/>
  <c r="F90" i="23"/>
  <c r="J90" i="23"/>
  <c r="N90" i="23"/>
  <c r="V90" i="23"/>
  <c r="W90" i="23"/>
  <c r="R90" i="23"/>
  <c r="AH90" i="23"/>
  <c r="X90" i="23"/>
  <c r="AA90" i="23"/>
  <c r="S88" i="12"/>
  <c r="T88" i="12" s="1"/>
  <c r="G89" i="23"/>
  <c r="H89" i="23"/>
  <c r="P89" i="12"/>
  <c r="O89" i="12"/>
  <c r="AE89" i="23"/>
  <c r="S89" i="23" s="1"/>
  <c r="T89" i="23" s="1"/>
  <c r="Z89" i="23"/>
  <c r="Y89" i="23"/>
  <c r="O89" i="23"/>
  <c r="P89" i="23" s="1"/>
  <c r="S90" i="23" l="1"/>
  <c r="T90" i="23" s="1"/>
  <c r="O90" i="12"/>
  <c r="P90" i="12" s="1"/>
  <c r="AD90" i="23"/>
  <c r="O90" i="23" s="1"/>
  <c r="P90" i="23" s="1"/>
  <c r="AI90" i="23"/>
  <c r="Y90" i="23"/>
  <c r="G90" i="23"/>
  <c r="H90" i="23"/>
  <c r="AF90" i="12"/>
  <c r="K90" i="12"/>
  <c r="L90" i="12" s="1"/>
  <c r="K90" i="23"/>
  <c r="L90" i="23" s="1"/>
  <c r="Z90" i="23"/>
  <c r="AC90" i="23"/>
  <c r="AG90" i="23"/>
  <c r="E91" i="23"/>
  <c r="D91" i="23"/>
  <c r="B92" i="23"/>
  <c r="C91" i="23"/>
  <c r="R91" i="23" s="1"/>
  <c r="F91" i="23"/>
  <c r="N91" i="23"/>
  <c r="J91" i="23"/>
  <c r="V91" i="23"/>
  <c r="W91" i="23"/>
  <c r="X91" i="23"/>
  <c r="AD91" i="23"/>
  <c r="Z91" i="23"/>
  <c r="AG90" i="12"/>
  <c r="G90" i="12"/>
  <c r="H90" i="12" s="1"/>
  <c r="E91" i="12"/>
  <c r="B92" i="12"/>
  <c r="C91" i="12"/>
  <c r="AD91" i="12" s="1"/>
  <c r="F91" i="12"/>
  <c r="D91" i="12"/>
  <c r="W91" i="12"/>
  <c r="V91" i="12"/>
  <c r="J91" i="12"/>
  <c r="N91" i="12"/>
  <c r="Z91" i="12"/>
  <c r="X91" i="12"/>
  <c r="AF91" i="12"/>
  <c r="AF90" i="23"/>
  <c r="AB90" i="23"/>
  <c r="AE90" i="12"/>
  <c r="S90" i="12" s="1"/>
  <c r="T90" i="12" s="1"/>
  <c r="AI90" i="12"/>
  <c r="AB91" i="12" l="1"/>
  <c r="AE91" i="12"/>
  <c r="AC91" i="12"/>
  <c r="AA91" i="12"/>
  <c r="O91" i="12" s="1"/>
  <c r="P91" i="12" s="1"/>
  <c r="G91" i="12"/>
  <c r="H91" i="12"/>
  <c r="AI91" i="23"/>
  <c r="AE91" i="23"/>
  <c r="S91" i="23" s="1"/>
  <c r="T91" i="23" s="1"/>
  <c r="AF91" i="23"/>
  <c r="G91" i="23"/>
  <c r="H91" i="23" s="1"/>
  <c r="AH91" i="12"/>
  <c r="AG91" i="12"/>
  <c r="Y91" i="12"/>
  <c r="K91" i="12" s="1"/>
  <c r="L91" i="12" s="1"/>
  <c r="R91" i="12"/>
  <c r="D92" i="12"/>
  <c r="F92" i="12"/>
  <c r="C92" i="12"/>
  <c r="Z92" i="12" s="1"/>
  <c r="B93" i="12"/>
  <c r="E92" i="12"/>
  <c r="V92" i="12"/>
  <c r="W92" i="12"/>
  <c r="J92" i="12"/>
  <c r="N92" i="12"/>
  <c r="AB92" i="12"/>
  <c r="AA92" i="12"/>
  <c r="AH92" i="12"/>
  <c r="AB91" i="23"/>
  <c r="AG91" i="23"/>
  <c r="AH91" i="23"/>
  <c r="C92" i="23"/>
  <c r="D92" i="23"/>
  <c r="E92" i="23"/>
  <c r="R92" i="23" s="1"/>
  <c r="B93" i="23"/>
  <c r="F92" i="23"/>
  <c r="N92" i="23"/>
  <c r="J92" i="23"/>
  <c r="W92" i="23"/>
  <c r="V92" i="23"/>
  <c r="AE92" i="23"/>
  <c r="X92" i="23"/>
  <c r="AA92" i="23"/>
  <c r="AC92" i="23"/>
  <c r="AB92" i="23"/>
  <c r="Z92" i="23"/>
  <c r="Y92" i="23"/>
  <c r="AD92" i="23"/>
  <c r="AH92" i="23"/>
  <c r="AF92" i="23"/>
  <c r="AG92" i="23"/>
  <c r="AI92" i="23"/>
  <c r="AI91" i="12"/>
  <c r="AA91" i="23"/>
  <c r="O91" i="23" s="1"/>
  <c r="P91" i="23" s="1"/>
  <c r="Y91" i="23"/>
  <c r="K91" i="23" s="1"/>
  <c r="L91" i="23" s="1"/>
  <c r="AC91" i="23"/>
  <c r="S92" i="23" l="1"/>
  <c r="T92" i="23" s="1"/>
  <c r="L92" i="23"/>
  <c r="K92" i="23"/>
  <c r="AE92" i="12"/>
  <c r="AF92" i="12"/>
  <c r="X92" i="12"/>
  <c r="K92" i="12" s="1"/>
  <c r="L92" i="12" s="1"/>
  <c r="R92" i="12"/>
  <c r="G92" i="12"/>
  <c r="H92" i="12" s="1"/>
  <c r="O92" i="23"/>
  <c r="P92" i="23" s="1"/>
  <c r="AG92" i="12"/>
  <c r="AC92" i="12"/>
  <c r="O92" i="12" s="1"/>
  <c r="P92" i="12" s="1"/>
  <c r="AD92" i="12"/>
  <c r="D93" i="23"/>
  <c r="AF93" i="23" s="1"/>
  <c r="B94" i="23"/>
  <c r="E93" i="23"/>
  <c r="C93" i="23"/>
  <c r="F93" i="23"/>
  <c r="J93" i="23"/>
  <c r="N93" i="23"/>
  <c r="V93" i="23"/>
  <c r="W93" i="23"/>
  <c r="R93" i="23"/>
  <c r="Y93" i="23"/>
  <c r="AG93" i="23"/>
  <c r="AD93" i="23"/>
  <c r="AA93" i="23"/>
  <c r="Z93" i="23"/>
  <c r="AE93" i="23"/>
  <c r="AB93" i="23"/>
  <c r="X93" i="23"/>
  <c r="AC93" i="23"/>
  <c r="AI93" i="23"/>
  <c r="G92" i="23"/>
  <c r="H92" i="23" s="1"/>
  <c r="AI92" i="12"/>
  <c r="Y92" i="12"/>
  <c r="C93" i="12"/>
  <c r="Y93" i="12" s="1"/>
  <c r="F93" i="12"/>
  <c r="D93" i="12"/>
  <c r="B94" i="12"/>
  <c r="E93" i="12"/>
  <c r="W93" i="12"/>
  <c r="V93" i="12"/>
  <c r="J93" i="12"/>
  <c r="N93" i="12"/>
  <c r="R93" i="12"/>
  <c r="AD93" i="12"/>
  <c r="Z93" i="12"/>
  <c r="AA93" i="12"/>
  <c r="AC93" i="12"/>
  <c r="X93" i="12"/>
  <c r="AB93" i="12"/>
  <c r="AG93" i="12"/>
  <c r="AH93" i="12"/>
  <c r="AF93" i="12"/>
  <c r="AI93" i="12"/>
  <c r="AE93" i="12"/>
  <c r="S91" i="12"/>
  <c r="T91" i="12" s="1"/>
  <c r="S93" i="12" l="1"/>
  <c r="T93" i="12" s="1"/>
  <c r="G93" i="12"/>
  <c r="H93" i="12"/>
  <c r="S93" i="23"/>
  <c r="T93" i="23" s="1"/>
  <c r="D94" i="23"/>
  <c r="C94" i="23"/>
  <c r="AE94" i="23" s="1"/>
  <c r="E94" i="23"/>
  <c r="B95" i="23"/>
  <c r="F94" i="23"/>
  <c r="N94" i="23"/>
  <c r="J94" i="23"/>
  <c r="W94" i="23"/>
  <c r="V94" i="23"/>
  <c r="R94" i="23"/>
  <c r="AG94" i="23"/>
  <c r="AC94" i="23"/>
  <c r="Z94" i="23"/>
  <c r="AH93" i="23"/>
  <c r="O93" i="23"/>
  <c r="P93" i="23" s="1"/>
  <c r="S92" i="12"/>
  <c r="T92" i="12" s="1"/>
  <c r="L93" i="23"/>
  <c r="K93" i="23"/>
  <c r="O93" i="12"/>
  <c r="P93" i="12" s="1"/>
  <c r="G93" i="23"/>
  <c r="H93" i="23" s="1"/>
  <c r="K93" i="12"/>
  <c r="L93" i="12" s="1"/>
  <c r="B95" i="12"/>
  <c r="C94" i="12"/>
  <c r="F94" i="12"/>
  <c r="E94" i="12"/>
  <c r="D94" i="12"/>
  <c r="AB94" i="12" s="1"/>
  <c r="W94" i="12"/>
  <c r="V94" i="12"/>
  <c r="J94" i="12"/>
  <c r="N94" i="12"/>
  <c r="X94" i="12"/>
  <c r="AC94" i="12"/>
  <c r="Y94" i="12"/>
  <c r="AA94" i="12"/>
  <c r="AD94" i="12"/>
  <c r="Z94" i="12"/>
  <c r="AF94" i="12"/>
  <c r="AH94" i="12"/>
  <c r="AG94" i="12"/>
  <c r="AI94" i="12"/>
  <c r="AE94" i="12"/>
  <c r="R94" i="12" l="1"/>
  <c r="AH94" i="23"/>
  <c r="X94" i="23"/>
  <c r="AF94" i="23"/>
  <c r="G94" i="23"/>
  <c r="H94" i="23"/>
  <c r="O94" i="12"/>
  <c r="P94" i="12" s="1"/>
  <c r="C95" i="12"/>
  <c r="B96" i="12"/>
  <c r="E95" i="12"/>
  <c r="D95" i="12"/>
  <c r="F95" i="12"/>
  <c r="V95" i="12"/>
  <c r="W95" i="12"/>
  <c r="J95" i="12"/>
  <c r="N95" i="12"/>
  <c r="R95" i="12"/>
  <c r="AC95" i="12"/>
  <c r="Y95" i="12"/>
  <c r="Z95" i="12"/>
  <c r="AD95" i="12"/>
  <c r="X95" i="12"/>
  <c r="AB95" i="12"/>
  <c r="AA95" i="12"/>
  <c r="AH95" i="12"/>
  <c r="AG95" i="12"/>
  <c r="AF95" i="12"/>
  <c r="AI95" i="12"/>
  <c r="AE95" i="12"/>
  <c r="AB94" i="23"/>
  <c r="AD94" i="23"/>
  <c r="AA94" i="23"/>
  <c r="O94" i="23" s="1"/>
  <c r="P94" i="23" s="1"/>
  <c r="B96" i="23"/>
  <c r="D95" i="23"/>
  <c r="E95" i="23"/>
  <c r="C95" i="23"/>
  <c r="F95" i="23"/>
  <c r="N95" i="23"/>
  <c r="J95" i="23"/>
  <c r="W95" i="23"/>
  <c r="V95" i="23"/>
  <c r="R95" i="23"/>
  <c r="AB95" i="23"/>
  <c r="Y95" i="23"/>
  <c r="AH95" i="23"/>
  <c r="AE95" i="23"/>
  <c r="AG95" i="23"/>
  <c r="AC95" i="23"/>
  <c r="AI95" i="23"/>
  <c r="AD95" i="23"/>
  <c r="AA95" i="23"/>
  <c r="X95" i="23"/>
  <c r="AF95" i="23"/>
  <c r="Z95" i="23"/>
  <c r="G94" i="12"/>
  <c r="H94" i="12" s="1"/>
  <c r="S94" i="23"/>
  <c r="T94" i="23" s="1"/>
  <c r="K94" i="12"/>
  <c r="L94" i="12" s="1"/>
  <c r="Y94" i="23"/>
  <c r="K94" i="23" s="1"/>
  <c r="L94" i="23" s="1"/>
  <c r="AI94" i="23"/>
  <c r="O95" i="12" l="1"/>
  <c r="P95" i="12"/>
  <c r="G95" i="12"/>
  <c r="H95" i="12" s="1"/>
  <c r="S94" i="12"/>
  <c r="T94" i="12"/>
  <c r="B97" i="23"/>
  <c r="D96" i="23"/>
  <c r="E96" i="23"/>
  <c r="C96" i="23"/>
  <c r="AH96" i="23" s="1"/>
  <c r="F96" i="23"/>
  <c r="N96" i="23"/>
  <c r="J96" i="23"/>
  <c r="V96" i="23"/>
  <c r="W96" i="23"/>
  <c r="AA96" i="23"/>
  <c r="AF96" i="23"/>
  <c r="AD96" i="23"/>
  <c r="K95" i="23"/>
  <c r="L95" i="23" s="1"/>
  <c r="K95" i="12"/>
  <c r="L95" i="12" s="1"/>
  <c r="G95" i="23"/>
  <c r="H95" i="23"/>
  <c r="S95" i="12"/>
  <c r="T95" i="12" s="1"/>
  <c r="B97" i="12"/>
  <c r="E96" i="12"/>
  <c r="AH96" i="12" s="1"/>
  <c r="F96" i="12"/>
  <c r="D96" i="12"/>
  <c r="C96" i="12"/>
  <c r="AD96" i="12" s="1"/>
  <c r="V96" i="12"/>
  <c r="W96" i="12"/>
  <c r="J96" i="12"/>
  <c r="N96" i="12"/>
  <c r="R96" i="12"/>
  <c r="AB96" i="12"/>
  <c r="AC96" i="12"/>
  <c r="X96" i="12"/>
  <c r="Z96" i="12"/>
  <c r="Y96" i="12"/>
  <c r="AF96" i="12"/>
  <c r="AI96" i="12"/>
  <c r="AG96" i="12"/>
  <c r="S95" i="23"/>
  <c r="T95" i="23" s="1"/>
  <c r="O95" i="23"/>
  <c r="P95" i="23"/>
  <c r="AE96" i="12" l="1"/>
  <c r="AA96" i="12"/>
  <c r="K96" i="12"/>
  <c r="L96" i="12" s="1"/>
  <c r="X96" i="23"/>
  <c r="AG96" i="23"/>
  <c r="AI96" i="23"/>
  <c r="R96" i="23"/>
  <c r="G96" i="12"/>
  <c r="H96" i="12" s="1"/>
  <c r="AB96" i="23"/>
  <c r="O96" i="23" s="1"/>
  <c r="P96" i="23" s="1"/>
  <c r="AC96" i="23"/>
  <c r="Z96" i="23"/>
  <c r="G96" i="23"/>
  <c r="H96" i="23" s="1"/>
  <c r="D97" i="23"/>
  <c r="B98" i="23"/>
  <c r="C97" i="23"/>
  <c r="E97" i="23"/>
  <c r="F97" i="23"/>
  <c r="N97" i="23"/>
  <c r="J97" i="23"/>
  <c r="V97" i="23"/>
  <c r="W97" i="23"/>
  <c r="R97" i="23"/>
  <c r="AB97" i="23"/>
  <c r="AF97" i="23"/>
  <c r="AA97" i="23"/>
  <c r="AG97" i="23"/>
  <c r="Y97" i="23"/>
  <c r="AH97" i="23"/>
  <c r="X97" i="23"/>
  <c r="AD97" i="23"/>
  <c r="AE97" i="23"/>
  <c r="Z97" i="23"/>
  <c r="AC97" i="23"/>
  <c r="AI97" i="23"/>
  <c r="S96" i="12"/>
  <c r="T96" i="12" s="1"/>
  <c r="O96" i="12"/>
  <c r="P96" i="12"/>
  <c r="E97" i="12"/>
  <c r="B98" i="12"/>
  <c r="F97" i="12"/>
  <c r="D97" i="12"/>
  <c r="AC97" i="12" s="1"/>
  <c r="C97" i="12"/>
  <c r="R97" i="12" s="1"/>
  <c r="V97" i="12"/>
  <c r="W97" i="12"/>
  <c r="J97" i="12"/>
  <c r="N97" i="12"/>
  <c r="X97" i="12"/>
  <c r="Z97" i="12"/>
  <c r="AD97" i="12"/>
  <c r="Y97" i="12"/>
  <c r="AG97" i="12"/>
  <c r="AE96" i="23"/>
  <c r="Y96" i="23"/>
  <c r="K96" i="23" s="1"/>
  <c r="L96" i="23" s="1"/>
  <c r="AE97" i="12" l="1"/>
  <c r="S97" i="12" s="1"/>
  <c r="T97" i="12" s="1"/>
  <c r="AA97" i="12"/>
  <c r="O97" i="12" s="1"/>
  <c r="P97" i="12" s="1"/>
  <c r="K97" i="23"/>
  <c r="L97" i="23"/>
  <c r="S96" i="23"/>
  <c r="T96" i="23" s="1"/>
  <c r="K97" i="12"/>
  <c r="L97" i="12"/>
  <c r="P97" i="23"/>
  <c r="O97" i="23"/>
  <c r="AI97" i="12"/>
  <c r="AB97" i="12"/>
  <c r="G97" i="12"/>
  <c r="H97" i="12" s="1"/>
  <c r="G97" i="23"/>
  <c r="H97" i="23"/>
  <c r="S97" i="23"/>
  <c r="T97" i="23" s="1"/>
  <c r="E98" i="23"/>
  <c r="C98" i="23"/>
  <c r="AH98" i="23" s="1"/>
  <c r="B99" i="23"/>
  <c r="D98" i="23"/>
  <c r="F98" i="23"/>
  <c r="J98" i="23"/>
  <c r="N98" i="23"/>
  <c r="W98" i="23"/>
  <c r="V98" i="23"/>
  <c r="R98" i="23"/>
  <c r="AI98" i="23"/>
  <c r="AA98" i="23"/>
  <c r="Y98" i="23"/>
  <c r="AF97" i="12"/>
  <c r="AH97" i="12"/>
  <c r="F98" i="12"/>
  <c r="C98" i="12"/>
  <c r="AA98" i="12" s="1"/>
  <c r="B99" i="12"/>
  <c r="D98" i="12"/>
  <c r="E98" i="12"/>
  <c r="W98" i="12"/>
  <c r="V98" i="12"/>
  <c r="J98" i="12"/>
  <c r="N98" i="12"/>
  <c r="R98" i="12"/>
  <c r="AC98" i="12"/>
  <c r="AE98" i="12"/>
  <c r="AH98" i="12"/>
  <c r="S98" i="12" l="1"/>
  <c r="T98" i="12" s="1"/>
  <c r="K98" i="23"/>
  <c r="L98" i="23" s="1"/>
  <c r="AD98" i="12"/>
  <c r="G98" i="12"/>
  <c r="H98" i="12"/>
  <c r="X98" i="23"/>
  <c r="Z98" i="23"/>
  <c r="G98" i="23"/>
  <c r="H98" i="23"/>
  <c r="AG98" i="12"/>
  <c r="Z98" i="12"/>
  <c r="Y98" i="12"/>
  <c r="AC98" i="23"/>
  <c r="O98" i="23" s="1"/>
  <c r="P98" i="23" s="1"/>
  <c r="AB98" i="23"/>
  <c r="AE98" i="23"/>
  <c r="S98" i="23"/>
  <c r="T98" i="23"/>
  <c r="AF98" i="12"/>
  <c r="X98" i="12"/>
  <c r="K98" i="12" s="1"/>
  <c r="L98" i="12" s="1"/>
  <c r="AG98" i="23"/>
  <c r="AI98" i="12"/>
  <c r="AB98" i="12"/>
  <c r="O98" i="12" s="1"/>
  <c r="P98" i="12" s="1"/>
  <c r="E99" i="12"/>
  <c r="B100" i="12"/>
  <c r="C99" i="12"/>
  <c r="Y99" i="12" s="1"/>
  <c r="D99" i="12"/>
  <c r="F99" i="12"/>
  <c r="V99" i="12"/>
  <c r="W99" i="12"/>
  <c r="J99" i="12"/>
  <c r="N99" i="12"/>
  <c r="AA99" i="12"/>
  <c r="AB99" i="12"/>
  <c r="AG99" i="12"/>
  <c r="AF98" i="23"/>
  <c r="AD98" i="23"/>
  <c r="D99" i="23"/>
  <c r="AD99" i="23" s="1"/>
  <c r="B100" i="23"/>
  <c r="E99" i="23"/>
  <c r="C99" i="23"/>
  <c r="AB99" i="23" s="1"/>
  <c r="F99" i="23"/>
  <c r="J99" i="23"/>
  <c r="N99" i="23"/>
  <c r="W99" i="23"/>
  <c r="V99" i="23"/>
  <c r="X99" i="23"/>
  <c r="AC99" i="23"/>
  <c r="AI99" i="23"/>
  <c r="Y99" i="23"/>
  <c r="AH99" i="23"/>
  <c r="Z99" i="23"/>
  <c r="AE99" i="23" l="1"/>
  <c r="R99" i="23"/>
  <c r="L99" i="23"/>
  <c r="K99" i="23"/>
  <c r="B101" i="23"/>
  <c r="C100" i="23"/>
  <c r="E100" i="23"/>
  <c r="AI100" i="23" s="1"/>
  <c r="D100" i="23"/>
  <c r="F100" i="23"/>
  <c r="N100" i="23"/>
  <c r="J100" i="23"/>
  <c r="W100" i="23"/>
  <c r="V100" i="23"/>
  <c r="AD100" i="23"/>
  <c r="AB100" i="23"/>
  <c r="Z100" i="23"/>
  <c r="AC100" i="23"/>
  <c r="X100" i="23"/>
  <c r="Y100" i="23"/>
  <c r="AA100" i="23"/>
  <c r="AF99" i="12"/>
  <c r="Z99" i="12"/>
  <c r="AC99" i="12"/>
  <c r="AG99" i="23"/>
  <c r="AI99" i="12"/>
  <c r="AH99" i="12"/>
  <c r="X99" i="12"/>
  <c r="K99" i="12" s="1"/>
  <c r="L99" i="12" s="1"/>
  <c r="R99" i="12"/>
  <c r="B101" i="12"/>
  <c r="F100" i="12"/>
  <c r="D100" i="12"/>
  <c r="AI100" i="12" s="1"/>
  <c r="E100" i="12"/>
  <c r="C100" i="12"/>
  <c r="W100" i="12"/>
  <c r="V100" i="12"/>
  <c r="J100" i="12"/>
  <c r="N100" i="12"/>
  <c r="AB100" i="12"/>
  <c r="X100" i="12"/>
  <c r="Z100" i="12"/>
  <c r="AA100" i="12"/>
  <c r="Y100" i="12"/>
  <c r="AE100" i="12"/>
  <c r="G99" i="23"/>
  <c r="H99" i="23" s="1"/>
  <c r="AF99" i="23"/>
  <c r="AA99" i="23"/>
  <c r="O99" i="23"/>
  <c r="P99" i="23" s="1"/>
  <c r="AE99" i="12"/>
  <c r="AD99" i="12"/>
  <c r="O99" i="12"/>
  <c r="P99" i="12" s="1"/>
  <c r="G99" i="12"/>
  <c r="H99" i="12" s="1"/>
  <c r="K100" i="23" l="1"/>
  <c r="L100" i="23" s="1"/>
  <c r="AH100" i="12"/>
  <c r="AD100" i="12"/>
  <c r="K100" i="12"/>
  <c r="L100" i="12" s="1"/>
  <c r="T99" i="12"/>
  <c r="S99" i="12"/>
  <c r="AE100" i="23"/>
  <c r="AF100" i="12"/>
  <c r="AG100" i="12"/>
  <c r="AC100" i="12"/>
  <c r="R100" i="12"/>
  <c r="G100" i="12"/>
  <c r="H100" i="12"/>
  <c r="AG100" i="23"/>
  <c r="AH100" i="23"/>
  <c r="AF100" i="23"/>
  <c r="R100" i="23"/>
  <c r="P100" i="23"/>
  <c r="O100" i="23"/>
  <c r="S99" i="23"/>
  <c r="T99" i="23" s="1"/>
  <c r="O100" i="12"/>
  <c r="P100" i="12" s="1"/>
  <c r="D101" i="12"/>
  <c r="F101" i="12"/>
  <c r="E101" i="12"/>
  <c r="B102" i="12"/>
  <c r="C101" i="12"/>
  <c r="Z101" i="12" s="1"/>
  <c r="V101" i="12"/>
  <c r="W101" i="12"/>
  <c r="J101" i="12"/>
  <c r="N101" i="12"/>
  <c r="R101" i="12"/>
  <c r="X101" i="12"/>
  <c r="AD101" i="12"/>
  <c r="Y101" i="12"/>
  <c r="AA101" i="12"/>
  <c r="AC101" i="12"/>
  <c r="AB101" i="12"/>
  <c r="AF101" i="12"/>
  <c r="AE101" i="12"/>
  <c r="AH101" i="12"/>
  <c r="AG101" i="12"/>
  <c r="AI101" i="12"/>
  <c r="G100" i="23"/>
  <c r="H100" i="23" s="1"/>
  <c r="D101" i="23"/>
  <c r="E101" i="23"/>
  <c r="AI101" i="23" s="1"/>
  <c r="C101" i="23"/>
  <c r="Z101" i="23" s="1"/>
  <c r="B102" i="23"/>
  <c r="F101" i="23"/>
  <c r="N101" i="23"/>
  <c r="J101" i="23"/>
  <c r="V101" i="23"/>
  <c r="W101" i="23"/>
  <c r="R101" i="23"/>
  <c r="AA101" i="23"/>
  <c r="AE101" i="23"/>
  <c r="Y101" i="23"/>
  <c r="AB101" i="23"/>
  <c r="AF101" i="23"/>
  <c r="AC101" i="23"/>
  <c r="X101" i="23"/>
  <c r="AG101" i="23"/>
  <c r="S101" i="23" l="1"/>
  <c r="T101" i="23" s="1"/>
  <c r="S101" i="12"/>
  <c r="T101" i="12" s="1"/>
  <c r="S100" i="23"/>
  <c r="T100" i="23" s="1"/>
  <c r="K101" i="23"/>
  <c r="L101" i="23" s="1"/>
  <c r="G101" i="12"/>
  <c r="H101" i="12" s="1"/>
  <c r="AH101" i="23"/>
  <c r="G101" i="23"/>
  <c r="H101" i="23"/>
  <c r="O101" i="12"/>
  <c r="P101" i="12"/>
  <c r="AD101" i="23"/>
  <c r="O101" i="23" s="1"/>
  <c r="P101" i="23" s="1"/>
  <c r="B103" i="23"/>
  <c r="E102" i="23"/>
  <c r="D102" i="23"/>
  <c r="AA102" i="23" s="1"/>
  <c r="C102" i="23"/>
  <c r="R102" i="23" s="1"/>
  <c r="F102" i="23"/>
  <c r="J102" i="23"/>
  <c r="N102" i="23"/>
  <c r="W102" i="23"/>
  <c r="V102" i="23"/>
  <c r="X102" i="23"/>
  <c r="Z102" i="23"/>
  <c r="AG102" i="23"/>
  <c r="AB102" i="23"/>
  <c r="AI102" i="23"/>
  <c r="AE102" i="23"/>
  <c r="AF102" i="23"/>
  <c r="AC102" i="23"/>
  <c r="Y102" i="23"/>
  <c r="AH102" i="23"/>
  <c r="AD102" i="23"/>
  <c r="K101" i="12"/>
  <c r="L101" i="12" s="1"/>
  <c r="C102" i="12"/>
  <c r="Y102" i="12" s="1"/>
  <c r="B103" i="12"/>
  <c r="D102" i="12"/>
  <c r="F102" i="12"/>
  <c r="E102" i="12"/>
  <c r="V102" i="12"/>
  <c r="W102" i="12"/>
  <c r="J102" i="12"/>
  <c r="N102" i="12"/>
  <c r="Z102" i="12"/>
  <c r="AA102" i="12"/>
  <c r="AG102" i="12"/>
  <c r="S100" i="12"/>
  <c r="T100" i="12" s="1"/>
  <c r="S102" i="23" l="1"/>
  <c r="T102" i="23" s="1"/>
  <c r="G102" i="23"/>
  <c r="H102" i="23" s="1"/>
  <c r="X102" i="12"/>
  <c r="AE102" i="12"/>
  <c r="AI102" i="12"/>
  <c r="AD102" i="12"/>
  <c r="R102" i="12"/>
  <c r="B104" i="12"/>
  <c r="E103" i="12"/>
  <c r="F103" i="12"/>
  <c r="C103" i="12"/>
  <c r="X103" i="12" s="1"/>
  <c r="D103" i="12"/>
  <c r="W103" i="12"/>
  <c r="V103" i="12"/>
  <c r="J103" i="12"/>
  <c r="N103" i="12"/>
  <c r="R103" i="12"/>
  <c r="Y103" i="12"/>
  <c r="Z103" i="12"/>
  <c r="AD103" i="12"/>
  <c r="AH103" i="12"/>
  <c r="AG103" i="12"/>
  <c r="AE103" i="12"/>
  <c r="K102" i="23"/>
  <c r="L102" i="23"/>
  <c r="AF102" i="12"/>
  <c r="AC102" i="12"/>
  <c r="AB102" i="12"/>
  <c r="O102" i="12" s="1"/>
  <c r="P102" i="12" s="1"/>
  <c r="K102" i="12"/>
  <c r="L102" i="12" s="1"/>
  <c r="G102" i="12"/>
  <c r="H102" i="12" s="1"/>
  <c r="E103" i="23"/>
  <c r="R103" i="23" s="1"/>
  <c r="D103" i="23"/>
  <c r="B104" i="23"/>
  <c r="C103" i="23"/>
  <c r="F103" i="23"/>
  <c r="J103" i="23"/>
  <c r="N103" i="23"/>
  <c r="W103" i="23"/>
  <c r="V103" i="23"/>
  <c r="AD103" i="23"/>
  <c r="X103" i="23"/>
  <c r="AH103" i="23"/>
  <c r="AA103" i="23"/>
  <c r="Z103" i="23"/>
  <c r="AG103" i="23"/>
  <c r="AB103" i="23"/>
  <c r="AF103" i="23"/>
  <c r="AC103" i="23"/>
  <c r="AI103" i="23"/>
  <c r="Y103" i="23"/>
  <c r="AH102" i="12"/>
  <c r="O102" i="23"/>
  <c r="P102" i="23" s="1"/>
  <c r="AE103" i="23" l="1"/>
  <c r="S103" i="23" s="1"/>
  <c r="T103" i="23" s="1"/>
  <c r="L103" i="23"/>
  <c r="K103" i="23"/>
  <c r="AF103" i="12"/>
  <c r="AA103" i="12"/>
  <c r="AB103" i="12"/>
  <c r="O103" i="12" s="1"/>
  <c r="P103" i="12" s="1"/>
  <c r="G103" i="12"/>
  <c r="H103" i="12" s="1"/>
  <c r="G103" i="23"/>
  <c r="H103" i="23"/>
  <c r="S103" i="12"/>
  <c r="T103" i="12" s="1"/>
  <c r="AI103" i="12"/>
  <c r="AC103" i="12"/>
  <c r="B105" i="12"/>
  <c r="F104" i="12"/>
  <c r="D104" i="12"/>
  <c r="C104" i="12"/>
  <c r="E104" i="12"/>
  <c r="V104" i="12"/>
  <c r="W104" i="12"/>
  <c r="J104" i="12"/>
  <c r="N104" i="12"/>
  <c r="R104" i="12"/>
  <c r="AD104" i="12"/>
  <c r="Y104" i="12"/>
  <c r="AB104" i="12"/>
  <c r="Z104" i="12"/>
  <c r="AA104" i="12"/>
  <c r="X104" i="12"/>
  <c r="AC104" i="12"/>
  <c r="AG104" i="12"/>
  <c r="AI104" i="12"/>
  <c r="AH104" i="12"/>
  <c r="AF104" i="12"/>
  <c r="AE104" i="12"/>
  <c r="P103" i="23"/>
  <c r="O103" i="23"/>
  <c r="B105" i="23"/>
  <c r="E104" i="23"/>
  <c r="AH104" i="23" s="1"/>
  <c r="D104" i="23"/>
  <c r="C104" i="23"/>
  <c r="F104" i="23"/>
  <c r="J104" i="23"/>
  <c r="N104" i="23"/>
  <c r="W104" i="23"/>
  <c r="V104" i="23"/>
  <c r="R104" i="23"/>
  <c r="Z104" i="23"/>
  <c r="Y104" i="23"/>
  <c r="AD104" i="23"/>
  <c r="AA104" i="23"/>
  <c r="AB104" i="23"/>
  <c r="X104" i="23"/>
  <c r="AC104" i="23"/>
  <c r="K103" i="12"/>
  <c r="L103" i="12" s="1"/>
  <c r="S102" i="12"/>
  <c r="T102" i="12"/>
  <c r="AG104" i="23" l="1"/>
  <c r="G104" i="23"/>
  <c r="H104" i="23" s="1"/>
  <c r="D105" i="23"/>
  <c r="B106" i="23"/>
  <c r="C105" i="23"/>
  <c r="AC105" i="23" s="1"/>
  <c r="E105" i="23"/>
  <c r="F105" i="23"/>
  <c r="N105" i="23"/>
  <c r="J105" i="23"/>
  <c r="W105" i="23"/>
  <c r="V105" i="23"/>
  <c r="AA105" i="23"/>
  <c r="X105" i="23"/>
  <c r="Y105" i="23"/>
  <c r="O104" i="12"/>
  <c r="P104" i="12" s="1"/>
  <c r="D105" i="12"/>
  <c r="AA105" i="12" s="1"/>
  <c r="E105" i="12"/>
  <c r="B106" i="12"/>
  <c r="C105" i="12"/>
  <c r="F105" i="12"/>
  <c r="W105" i="12"/>
  <c r="V105" i="12"/>
  <c r="J105" i="12"/>
  <c r="N105" i="12"/>
  <c r="Z105" i="12"/>
  <c r="AB105" i="12"/>
  <c r="Y105" i="12"/>
  <c r="X105" i="12"/>
  <c r="AC105" i="12"/>
  <c r="AH105" i="12"/>
  <c r="AF105" i="12"/>
  <c r="S104" i="12"/>
  <c r="T104" i="12" s="1"/>
  <c r="AF104" i="23"/>
  <c r="AE104" i="23"/>
  <c r="S104" i="23" s="1"/>
  <c r="T104" i="23" s="1"/>
  <c r="L104" i="12"/>
  <c r="K104" i="12"/>
  <c r="K104" i="23"/>
  <c r="L104" i="23" s="1"/>
  <c r="G104" i="12"/>
  <c r="H104" i="12" s="1"/>
  <c r="AI104" i="23"/>
  <c r="O104" i="23"/>
  <c r="P104" i="23"/>
  <c r="B107" i="12" l="1"/>
  <c r="E106" i="12"/>
  <c r="F106" i="12"/>
  <c r="D106" i="12"/>
  <c r="C106" i="12"/>
  <c r="W106" i="12"/>
  <c r="V106" i="12"/>
  <c r="J106" i="12"/>
  <c r="N106" i="12"/>
  <c r="R106" i="12"/>
  <c r="X106" i="12"/>
  <c r="Z106" i="12"/>
  <c r="AA106" i="12"/>
  <c r="AC106" i="12"/>
  <c r="AB106" i="12"/>
  <c r="AD106" i="12"/>
  <c r="Y106" i="12"/>
  <c r="AG106" i="12"/>
  <c r="AI106" i="12"/>
  <c r="AE106" i="12"/>
  <c r="AF106" i="12"/>
  <c r="AH106" i="12"/>
  <c r="AI105" i="12"/>
  <c r="AE105" i="12"/>
  <c r="R105" i="12"/>
  <c r="AF105" i="23"/>
  <c r="AH105" i="23"/>
  <c r="AI105" i="23"/>
  <c r="R105" i="23"/>
  <c r="B107" i="23"/>
  <c r="D106" i="23"/>
  <c r="AF106" i="23" s="1"/>
  <c r="E106" i="23"/>
  <c r="C106" i="23"/>
  <c r="F106" i="23"/>
  <c r="N106" i="23"/>
  <c r="J106" i="23"/>
  <c r="V106" i="23"/>
  <c r="W106" i="23"/>
  <c r="R106" i="23"/>
  <c r="X106" i="23"/>
  <c r="AC106" i="23"/>
  <c r="Y106" i="23"/>
  <c r="AD106" i="23"/>
  <c r="AE106" i="23"/>
  <c r="Z106" i="23"/>
  <c r="AA106" i="23"/>
  <c r="AB106" i="23"/>
  <c r="AG106" i="23"/>
  <c r="G105" i="12"/>
  <c r="H105" i="12"/>
  <c r="AB105" i="23"/>
  <c r="O105" i="23" s="1"/>
  <c r="P105" i="23" s="1"/>
  <c r="AD105" i="23"/>
  <c r="AG105" i="23"/>
  <c r="G105" i="23"/>
  <c r="H105" i="23" s="1"/>
  <c r="AG105" i="12"/>
  <c r="AD105" i="12"/>
  <c r="O105" i="12" s="1"/>
  <c r="P105" i="12" s="1"/>
  <c r="K105" i="12"/>
  <c r="L105" i="12" s="1"/>
  <c r="AE105" i="23"/>
  <c r="Z105" i="23"/>
  <c r="K105" i="23" s="1"/>
  <c r="L105" i="23" s="1"/>
  <c r="AH106" i="23" l="1"/>
  <c r="K106" i="23"/>
  <c r="L106" i="23" s="1"/>
  <c r="K106" i="12"/>
  <c r="L106" i="12" s="1"/>
  <c r="S106" i="23"/>
  <c r="T106" i="23" s="1"/>
  <c r="O106" i="23"/>
  <c r="P106" i="23" s="1"/>
  <c r="S105" i="23"/>
  <c r="T105" i="23"/>
  <c r="S105" i="12"/>
  <c r="T105" i="12" s="1"/>
  <c r="G106" i="12"/>
  <c r="H106" i="12" s="1"/>
  <c r="AI106" i="23"/>
  <c r="G106" i="23"/>
  <c r="H106" i="23"/>
  <c r="B108" i="23"/>
  <c r="E107" i="23"/>
  <c r="AG107" i="23" s="1"/>
  <c r="D107" i="23"/>
  <c r="C107" i="23"/>
  <c r="AB107" i="23" s="1"/>
  <c r="F107" i="23"/>
  <c r="J107" i="23"/>
  <c r="N107" i="23"/>
  <c r="V107" i="23"/>
  <c r="W107" i="23"/>
  <c r="R107" i="23"/>
  <c r="AD107" i="23"/>
  <c r="Y107" i="23"/>
  <c r="X107" i="23"/>
  <c r="AA107" i="23"/>
  <c r="AF107" i="23"/>
  <c r="AC107" i="23"/>
  <c r="AE107" i="23"/>
  <c r="Z107" i="23"/>
  <c r="AI107" i="23"/>
  <c r="S106" i="12"/>
  <c r="T106" i="12" s="1"/>
  <c r="O106" i="12"/>
  <c r="P106" i="12" s="1"/>
  <c r="E107" i="12"/>
  <c r="B108" i="12"/>
  <c r="C107" i="12"/>
  <c r="AC107" i="12" s="1"/>
  <c r="F107" i="12"/>
  <c r="D107" i="12"/>
  <c r="V107" i="12"/>
  <c r="W107" i="12"/>
  <c r="J107" i="12"/>
  <c r="N107" i="12"/>
  <c r="R107" i="12"/>
  <c r="AB107" i="12"/>
  <c r="AD107" i="12"/>
  <c r="X107" i="12"/>
  <c r="Z107" i="12"/>
  <c r="AA107" i="12"/>
  <c r="Y107" i="12"/>
  <c r="AH107" i="12"/>
  <c r="AI107" i="12"/>
  <c r="AG107" i="12"/>
  <c r="AF107" i="12"/>
  <c r="AE107" i="12"/>
  <c r="K107" i="12" l="1"/>
  <c r="L107" i="12"/>
  <c r="S107" i="23"/>
  <c r="T107" i="23" s="1"/>
  <c r="K107" i="23"/>
  <c r="L107" i="23" s="1"/>
  <c r="G107" i="12"/>
  <c r="H107" i="12" s="1"/>
  <c r="G107" i="23"/>
  <c r="H107" i="23"/>
  <c r="D108" i="23"/>
  <c r="B109" i="23"/>
  <c r="E108" i="23"/>
  <c r="C108" i="23"/>
  <c r="AH108" i="23" s="1"/>
  <c r="F108" i="23"/>
  <c r="J108" i="23"/>
  <c r="N108" i="23"/>
  <c r="V108" i="23"/>
  <c r="W108" i="23"/>
  <c r="AE108" i="23"/>
  <c r="AA108" i="23"/>
  <c r="Y108" i="23"/>
  <c r="S107" i="12"/>
  <c r="T107" i="12" s="1"/>
  <c r="E108" i="12"/>
  <c r="B109" i="12"/>
  <c r="D108" i="12"/>
  <c r="F108" i="12"/>
  <c r="C108" i="12"/>
  <c r="X108" i="12" s="1"/>
  <c r="V108" i="12"/>
  <c r="W108" i="12"/>
  <c r="J108" i="12"/>
  <c r="N108" i="12"/>
  <c r="AB108" i="12"/>
  <c r="Z108" i="12"/>
  <c r="AC108" i="12"/>
  <c r="AD108" i="12"/>
  <c r="AH108" i="12"/>
  <c r="AI108" i="12"/>
  <c r="O107" i="12"/>
  <c r="P107" i="12"/>
  <c r="AH107" i="23"/>
  <c r="O107" i="23"/>
  <c r="P107" i="23" s="1"/>
  <c r="G108" i="12" l="1"/>
  <c r="H108" i="12" s="1"/>
  <c r="AE108" i="12"/>
  <c r="AF108" i="12"/>
  <c r="AA108" i="12"/>
  <c r="R108" i="12"/>
  <c r="E109" i="12"/>
  <c r="B110" i="12"/>
  <c r="C109" i="12"/>
  <c r="AC109" i="12" s="1"/>
  <c r="F109" i="12"/>
  <c r="D109" i="12"/>
  <c r="AB109" i="12" s="1"/>
  <c r="V109" i="12"/>
  <c r="W109" i="12"/>
  <c r="J109" i="12"/>
  <c r="N109" i="12"/>
  <c r="Y109" i="12"/>
  <c r="Z109" i="12"/>
  <c r="X109" i="12"/>
  <c r="AG109" i="12"/>
  <c r="AI108" i="23"/>
  <c r="Z108" i="23"/>
  <c r="AC108" i="23"/>
  <c r="O108" i="23" s="1"/>
  <c r="P108" i="23" s="1"/>
  <c r="R108" i="23"/>
  <c r="B110" i="23"/>
  <c r="E109" i="23"/>
  <c r="D109" i="23"/>
  <c r="AG109" i="23" s="1"/>
  <c r="C109" i="23"/>
  <c r="F109" i="23"/>
  <c r="J109" i="23"/>
  <c r="N109" i="23"/>
  <c r="W109" i="23"/>
  <c r="V109" i="23"/>
  <c r="AF109" i="23"/>
  <c r="AI109" i="23"/>
  <c r="Y109" i="23"/>
  <c r="AE109" i="23"/>
  <c r="AB109" i="23"/>
  <c r="X109" i="23"/>
  <c r="Z109" i="23"/>
  <c r="AD109" i="23"/>
  <c r="AH109" i="23"/>
  <c r="AA109" i="23"/>
  <c r="AC109" i="23"/>
  <c r="O108" i="12"/>
  <c r="P108" i="12" s="1"/>
  <c r="X108" i="23"/>
  <c r="K108" i="23" s="1"/>
  <c r="L108" i="23" s="1"/>
  <c r="AB108" i="23"/>
  <c r="AF108" i="23"/>
  <c r="G108" i="23"/>
  <c r="H108" i="23"/>
  <c r="AG108" i="12"/>
  <c r="Y108" i="12"/>
  <c r="K108" i="12" s="1"/>
  <c r="L108" i="12" s="1"/>
  <c r="AD108" i="23"/>
  <c r="AG108" i="23"/>
  <c r="G109" i="23" l="1"/>
  <c r="H109" i="23" s="1"/>
  <c r="D110" i="23"/>
  <c r="AB110" i="23" s="1"/>
  <c r="B111" i="23"/>
  <c r="E110" i="23"/>
  <c r="C110" i="23"/>
  <c r="F110" i="23"/>
  <c r="N110" i="23"/>
  <c r="J110" i="23"/>
  <c r="W110" i="23"/>
  <c r="V110" i="23"/>
  <c r="Y110" i="23"/>
  <c r="AD110" i="23"/>
  <c r="Z110" i="23"/>
  <c r="AC110" i="23"/>
  <c r="X110" i="23"/>
  <c r="R109" i="23"/>
  <c r="K109" i="23"/>
  <c r="L109" i="23"/>
  <c r="S108" i="23"/>
  <c r="T108" i="23" s="1"/>
  <c r="AI109" i="12"/>
  <c r="AH109" i="12"/>
  <c r="AA109" i="12"/>
  <c r="R109" i="12"/>
  <c r="B111" i="12"/>
  <c r="E110" i="12"/>
  <c r="AI110" i="12" s="1"/>
  <c r="C110" i="12"/>
  <c r="Y110" i="12" s="1"/>
  <c r="F110" i="12"/>
  <c r="D110" i="12"/>
  <c r="V110" i="12"/>
  <c r="W110" i="12"/>
  <c r="J110" i="12"/>
  <c r="N110" i="12"/>
  <c r="R110" i="12"/>
  <c r="X110" i="12"/>
  <c r="AD110" i="12"/>
  <c r="AB110" i="12"/>
  <c r="Z110" i="12"/>
  <c r="AA110" i="12"/>
  <c r="AC110" i="12"/>
  <c r="AH110" i="12"/>
  <c r="AF110" i="12"/>
  <c r="AE109" i="12"/>
  <c r="AD109" i="12"/>
  <c r="K109" i="12"/>
  <c r="L109" i="12"/>
  <c r="G109" i="12"/>
  <c r="H109" i="12" s="1"/>
  <c r="S108" i="12"/>
  <c r="T108" i="12" s="1"/>
  <c r="P109" i="12"/>
  <c r="O109" i="12"/>
  <c r="O109" i="23"/>
  <c r="P109" i="23"/>
  <c r="AF109" i="12"/>
  <c r="AG110" i="12" l="1"/>
  <c r="AF110" i="23"/>
  <c r="AG110" i="23"/>
  <c r="AH110" i="23"/>
  <c r="R110" i="23"/>
  <c r="O110" i="23"/>
  <c r="P110" i="23" s="1"/>
  <c r="C111" i="23"/>
  <c r="E111" i="23"/>
  <c r="D111" i="23"/>
  <c r="B112" i="23"/>
  <c r="F111" i="23"/>
  <c r="J111" i="23"/>
  <c r="N111" i="23"/>
  <c r="W111" i="23"/>
  <c r="V111" i="23"/>
  <c r="R111" i="23"/>
  <c r="AE111" i="23"/>
  <c r="AH111" i="23"/>
  <c r="AA111" i="23"/>
  <c r="AF111" i="23"/>
  <c r="AC111" i="23"/>
  <c r="Y111" i="23"/>
  <c r="AD111" i="23"/>
  <c r="AB111" i="23"/>
  <c r="X111" i="23"/>
  <c r="Z111" i="23"/>
  <c r="AG111" i="23"/>
  <c r="AI111" i="23"/>
  <c r="S110" i="12"/>
  <c r="T110" i="12" s="1"/>
  <c r="G110" i="23"/>
  <c r="H110" i="23" s="1"/>
  <c r="AE110" i="12"/>
  <c r="P110" i="12"/>
  <c r="O110" i="12"/>
  <c r="D111" i="12"/>
  <c r="E111" i="12"/>
  <c r="B112" i="12"/>
  <c r="C111" i="12"/>
  <c r="R111" i="12" s="1"/>
  <c r="F111" i="12"/>
  <c r="V111" i="12"/>
  <c r="W111" i="12"/>
  <c r="J111" i="12"/>
  <c r="N111" i="12"/>
  <c r="Z111" i="12"/>
  <c r="AC111" i="12"/>
  <c r="Y111" i="12"/>
  <c r="AA111" i="12"/>
  <c r="AD111" i="12"/>
  <c r="X111" i="12"/>
  <c r="AF111" i="12"/>
  <c r="AH111" i="12"/>
  <c r="AG111" i="12"/>
  <c r="AI111" i="12"/>
  <c r="AE111" i="12"/>
  <c r="AI110" i="23"/>
  <c r="K110" i="12"/>
  <c r="L110" i="12" s="1"/>
  <c r="G110" i="12"/>
  <c r="H110" i="12"/>
  <c r="S109" i="12"/>
  <c r="T109" i="12" s="1"/>
  <c r="S109" i="23"/>
  <c r="T109" i="23"/>
  <c r="AA110" i="23"/>
  <c r="AE110" i="23"/>
  <c r="K110" i="23"/>
  <c r="L110" i="23"/>
  <c r="S111" i="12" l="1"/>
  <c r="T111" i="12" s="1"/>
  <c r="K111" i="12"/>
  <c r="L111" i="12" s="1"/>
  <c r="G111" i="23"/>
  <c r="H111" i="23" s="1"/>
  <c r="C112" i="23"/>
  <c r="AA112" i="23" s="1"/>
  <c r="B113" i="23"/>
  <c r="D112" i="23"/>
  <c r="E112" i="23"/>
  <c r="F112" i="23"/>
  <c r="N112" i="23"/>
  <c r="J112" i="23"/>
  <c r="W112" i="23"/>
  <c r="V112" i="23"/>
  <c r="AI112" i="23"/>
  <c r="AE112" i="23"/>
  <c r="Y112" i="23"/>
  <c r="AB111" i="12"/>
  <c r="O111" i="23"/>
  <c r="P111" i="23"/>
  <c r="B113" i="12"/>
  <c r="E112" i="12"/>
  <c r="F112" i="12"/>
  <c r="C112" i="12"/>
  <c r="R112" i="12" s="1"/>
  <c r="D112" i="12"/>
  <c r="V112" i="12"/>
  <c r="W112" i="12"/>
  <c r="J112" i="12"/>
  <c r="N112" i="12"/>
  <c r="AA112" i="12"/>
  <c r="Z112" i="12"/>
  <c r="AG112" i="12"/>
  <c r="O111" i="12"/>
  <c r="P111" i="12" s="1"/>
  <c r="G111" i="12"/>
  <c r="H111" i="12" s="1"/>
  <c r="S111" i="23"/>
  <c r="T111" i="23"/>
  <c r="K111" i="23"/>
  <c r="L111" i="23" s="1"/>
  <c r="S110" i="23"/>
  <c r="T110" i="23" s="1"/>
  <c r="K112" i="12" l="1"/>
  <c r="L112" i="12" s="1"/>
  <c r="G112" i="23"/>
  <c r="H112" i="23" s="1"/>
  <c r="AF112" i="12"/>
  <c r="AC112" i="12"/>
  <c r="Y112" i="12"/>
  <c r="O112" i="12"/>
  <c r="P112" i="12" s="1"/>
  <c r="E113" i="12"/>
  <c r="F113" i="12"/>
  <c r="C113" i="12"/>
  <c r="D113" i="12"/>
  <c r="AD113" i="12" s="1"/>
  <c r="W113" i="12"/>
  <c r="V113" i="12"/>
  <c r="J113" i="12"/>
  <c r="N113" i="12"/>
  <c r="X113" i="12"/>
  <c r="Y113" i="12"/>
  <c r="Z113" i="12"/>
  <c r="AA113" i="12"/>
  <c r="AI113" i="12"/>
  <c r="AD112" i="23"/>
  <c r="AB112" i="23"/>
  <c r="X112" i="23"/>
  <c r="K112" i="23" s="1"/>
  <c r="L112" i="23" s="1"/>
  <c r="R112" i="23"/>
  <c r="E113" i="23"/>
  <c r="AH113" i="23" s="1"/>
  <c r="C113" i="23"/>
  <c r="AG113" i="23" s="1"/>
  <c r="D113" i="23"/>
  <c r="AD113" i="23" s="1"/>
  <c r="F113" i="23"/>
  <c r="N113" i="23"/>
  <c r="J113" i="23"/>
  <c r="W113" i="23"/>
  <c r="V113" i="23"/>
  <c r="R113" i="23"/>
  <c r="X113" i="23"/>
  <c r="Z113" i="23"/>
  <c r="AI113" i="23"/>
  <c r="AB113" i="23"/>
  <c r="AF113" i="23"/>
  <c r="Y113" i="23"/>
  <c r="AC113" i="23"/>
  <c r="X112" i="12"/>
  <c r="AB112" i="12"/>
  <c r="G112" i="12"/>
  <c r="H112" i="12"/>
  <c r="AG112" i="23"/>
  <c r="AH112" i="23"/>
  <c r="Z112" i="23"/>
  <c r="AH112" i="12"/>
  <c r="AI112" i="12"/>
  <c r="AE112" i="12"/>
  <c r="S112" i="12" s="1"/>
  <c r="T112" i="12" s="1"/>
  <c r="AD112" i="12"/>
  <c r="AC112" i="23"/>
  <c r="O112" i="23" s="1"/>
  <c r="P112" i="23" s="1"/>
  <c r="AF112" i="23"/>
  <c r="AE113" i="23" l="1"/>
  <c r="K113" i="23"/>
  <c r="L113" i="23"/>
  <c r="S112" i="23"/>
  <c r="T112" i="23" s="1"/>
  <c r="AF113" i="12"/>
  <c r="AE113" i="12"/>
  <c r="R113" i="12"/>
  <c r="AA113" i="23"/>
  <c r="O113" i="23" s="1"/>
  <c r="P113" i="23" s="1"/>
  <c r="G113" i="23"/>
  <c r="H113" i="23" s="1"/>
  <c r="AG113" i="12"/>
  <c r="AB113" i="12"/>
  <c r="O113" i="12" s="1"/>
  <c r="P113" i="12" s="1"/>
  <c r="AC113" i="12"/>
  <c r="K113" i="12"/>
  <c r="L113" i="12" s="1"/>
  <c r="S113" i="23"/>
  <c r="T113" i="23" s="1"/>
  <c r="AH113" i="12"/>
  <c r="G113" i="12"/>
  <c r="H113" i="12" s="1"/>
  <c r="S113" i="12" l="1"/>
  <c r="T113" i="12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U53" authorId="0" shapeId="0">
      <text>
        <r>
          <rPr>
            <sz val="8"/>
            <color indexed="81"/>
            <rFont val="Tahoma"/>
            <family val="2"/>
          </rPr>
          <t>This compares the residuals of the linear and quadratic regressions.  If significant, then quadratic is the preferred model.</t>
        </r>
      </text>
    </comment>
    <comment ref="AD53" authorId="0" shapeId="0">
      <text>
        <r>
          <rPr>
            <sz val="8"/>
            <color indexed="81"/>
            <rFont val="Tahoma"/>
            <family val="2"/>
          </rPr>
          <t>This compares the residuals of the quadratic and cubic regressions.  If significant, then cubic is the preferred model.</t>
        </r>
      </text>
    </comment>
    <comment ref="BG53" authorId="0" shapeId="0">
      <text>
        <r>
          <rPr>
            <sz val="8"/>
            <color indexed="81"/>
            <rFont val="Tahoma"/>
            <family val="2"/>
          </rPr>
          <t>This compares the residuals of the quadratic and cubic regressions.  If significant, then cubic is the preferred model.</t>
        </r>
      </text>
    </comment>
    <comment ref="U56" authorId="0" shapeId="0">
      <text>
        <r>
          <rPr>
            <sz val="8"/>
            <color indexed="81"/>
            <rFont val="Tahoma"/>
            <family val="2"/>
          </rPr>
          <t>Comparing the Linear and Quadratic solutions.
Q --&gt; quadratic is better
L --&gt; linear is better model</t>
        </r>
      </text>
    </comment>
    <comment ref="AD56" authorId="0" shapeId="0">
      <text>
        <r>
          <rPr>
            <sz val="8"/>
            <color indexed="81"/>
            <rFont val="Tahoma"/>
            <family val="2"/>
          </rPr>
          <t>Comparing the Quadratic and Cubic solutions</t>
        </r>
      </text>
    </comment>
    <comment ref="BG56" authorId="0" shapeId="0">
      <text>
        <r>
          <rPr>
            <sz val="8"/>
            <color indexed="81"/>
            <rFont val="Tahoma"/>
            <family val="2"/>
          </rPr>
          <t>Comparing the Cubic and Quartic solutions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U53" authorId="0" shapeId="0">
      <text>
        <r>
          <rPr>
            <sz val="8"/>
            <color indexed="81"/>
            <rFont val="Tahoma"/>
            <family val="2"/>
          </rPr>
          <t>This compares the residuals of the linear and quadratic regressions.  If significant, then quadratic is the preferred model.</t>
        </r>
      </text>
    </comment>
    <comment ref="AD53" authorId="0" shapeId="0">
      <text>
        <r>
          <rPr>
            <sz val="8"/>
            <color indexed="81"/>
            <rFont val="Tahoma"/>
            <family val="2"/>
          </rPr>
          <t>This compares the residuals of the quadratic and cubic regressions.  If significant, then cubic is the preferred model.</t>
        </r>
      </text>
    </comment>
    <comment ref="BG53" authorId="0" shapeId="0">
      <text>
        <r>
          <rPr>
            <sz val="8"/>
            <color indexed="81"/>
            <rFont val="Tahoma"/>
            <family val="2"/>
          </rPr>
          <t>This compares the residuals of the quadratic and cubic regressions.  If significant, then cubic is the preferred model.</t>
        </r>
      </text>
    </comment>
    <comment ref="U56" authorId="0" shapeId="0">
      <text>
        <r>
          <rPr>
            <sz val="8"/>
            <color indexed="81"/>
            <rFont val="Tahoma"/>
            <family val="2"/>
          </rPr>
          <t>Comparing the Linear and Quadratic solutions.
Q --&gt; quadratic is better
L --&gt; linear is better model</t>
        </r>
      </text>
    </comment>
    <comment ref="AD56" authorId="0" shapeId="0">
      <text>
        <r>
          <rPr>
            <sz val="8"/>
            <color indexed="81"/>
            <rFont val="Tahoma"/>
            <family val="2"/>
          </rPr>
          <t>Comparing the Quadratic and Cubic solutions</t>
        </r>
      </text>
    </comment>
    <comment ref="BG56" authorId="0" shapeId="0">
      <text>
        <r>
          <rPr>
            <sz val="8"/>
            <color indexed="81"/>
            <rFont val="Tahoma"/>
            <family val="2"/>
          </rPr>
          <t>Comparing the Cubic and Quartic solutions</t>
        </r>
      </text>
    </comment>
  </commentList>
</comments>
</file>

<file path=xl/sharedStrings.xml><?xml version="1.0" encoding="utf-8"?>
<sst xmlns="http://schemas.openxmlformats.org/spreadsheetml/2006/main" count="679" uniqueCount="310">
  <si>
    <t>Linear:</t>
  </si>
  <si>
    <t>Quadratic:</t>
  </si>
  <si>
    <t>The inputs are:</t>
  </si>
  <si>
    <t>x</t>
  </si>
  <si>
    <t>y</t>
  </si>
  <si>
    <t>e</t>
  </si>
  <si>
    <t>a random effect due to variation of influence quantities</t>
  </si>
  <si>
    <t>The workbook then helps the user perform the following functions:</t>
  </si>
  <si>
    <t>-</t>
  </si>
  <si>
    <t>Organization</t>
  </si>
  <si>
    <t>The workbook consists of several worksheets, which are displayed as tabs at the bottom of</t>
  </si>
  <si>
    <t>the screen.  The functions of these worksheets are described below:</t>
  </si>
  <si>
    <t>estimated by the best-fit calibration line.</t>
  </si>
  <si>
    <t>expanded uncertainties.</t>
  </si>
  <si>
    <t>estimated by the best-fit quadratic regression line.</t>
  </si>
  <si>
    <t>Conventions</t>
  </si>
  <si>
    <t>Derived values and statements are colored red.  These cells contain formulas and are</t>
  </si>
  <si>
    <t xml:space="preserve">protected to prevent alteration. </t>
  </si>
  <si>
    <t xml:space="preserve">Spreadsheet background colors indicate the order of the polynomial supported by the </t>
  </si>
  <si>
    <t xml:space="preserve">calculations in the area.  </t>
  </si>
  <si>
    <t>Light green is used for the linear model.</t>
  </si>
  <si>
    <t>Yellow is used for the quadratic model.</t>
  </si>
  <si>
    <t>STEP 1</t>
  </si>
  <si>
    <t>Enter Calibration Data</t>
  </si>
  <si>
    <t>STEP 2</t>
  </si>
  <si>
    <t>Review the Parameter Estimates</t>
  </si>
  <si>
    <t>STEP 3</t>
  </si>
  <si>
    <t>Review the Charts</t>
  </si>
  <si>
    <t>STEP 4</t>
  </si>
  <si>
    <t>Calculations - Linear Model</t>
  </si>
  <si>
    <t>Calculations - Quadratic Model</t>
  </si>
  <si>
    <t>Calculations - Cubic Model</t>
  </si>
  <si>
    <t>Calculations - Quartic Model</t>
  </si>
  <si>
    <t>i</t>
  </si>
  <si>
    <r>
      <t>X</t>
    </r>
    <r>
      <rPr>
        <b/>
        <vertAlign val="subscript"/>
        <sz val="12"/>
        <rFont val="Arial"/>
        <family val="2"/>
      </rPr>
      <t>i</t>
    </r>
  </si>
  <si>
    <r>
      <t>Y</t>
    </r>
    <r>
      <rPr>
        <b/>
        <vertAlign val="subscript"/>
        <sz val="12"/>
        <rFont val="Arial"/>
        <family val="2"/>
      </rPr>
      <t>i</t>
    </r>
  </si>
  <si>
    <t>Color Code</t>
  </si>
  <si>
    <t>X'X</t>
  </si>
  <si>
    <r>
      <t>X</t>
    </r>
    <r>
      <rPr>
        <vertAlign val="superscript"/>
        <sz val="12"/>
        <rFont val="Arial"/>
        <family val="2"/>
      </rPr>
      <t>2</t>
    </r>
  </si>
  <si>
    <r>
      <t>X</t>
    </r>
    <r>
      <rPr>
        <vertAlign val="superscript"/>
        <sz val="12"/>
        <rFont val="Arial"/>
        <family val="2"/>
      </rPr>
      <t>3</t>
    </r>
  </si>
  <si>
    <r>
      <t>X</t>
    </r>
    <r>
      <rPr>
        <vertAlign val="superscript"/>
        <sz val="12"/>
        <rFont val="Arial"/>
        <family val="2"/>
      </rPr>
      <t>4</t>
    </r>
  </si>
  <si>
    <t>red = derived value (protected)</t>
  </si>
  <si>
    <t>blue = entered value (unprotected)</t>
  </si>
  <si>
    <t>Det(X'X)</t>
  </si>
  <si>
    <t>black = fixed text (protected)</t>
  </si>
  <si>
    <t>X'Xinverse</t>
  </si>
  <si>
    <t>X'Y</t>
  </si>
  <si>
    <t>b</t>
  </si>
  <si>
    <t>b'</t>
  </si>
  <si>
    <t>Y'Y</t>
  </si>
  <si>
    <t>df</t>
  </si>
  <si>
    <t>t(0.95,df)</t>
  </si>
  <si>
    <t>b'X'Y = SSmodel</t>
  </si>
  <si>
    <t>SSregression</t>
  </si>
  <si>
    <t>SSresidual</t>
  </si>
  <si>
    <r>
      <t>s</t>
    </r>
    <r>
      <rPr>
        <vertAlign val="superscript"/>
        <sz val="12"/>
        <rFont val="Arial"/>
        <family val="2"/>
      </rPr>
      <t>2</t>
    </r>
  </si>
  <si>
    <t>Fcrit(0.05)</t>
  </si>
  <si>
    <t>Var-Covar</t>
  </si>
  <si>
    <t>F</t>
  </si>
  <si>
    <t>n</t>
  </si>
  <si>
    <t>Preferred Model</t>
  </si>
  <si>
    <r>
      <t>Review the estimates of the parameters (</t>
    </r>
    <r>
      <rPr>
        <b/>
        <sz val="12"/>
        <rFont val="Arial"/>
        <family val="2"/>
      </rPr>
      <t>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b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…)</t>
    </r>
  </si>
  <si>
    <t>for the linear and quadratic models, their expanded</t>
  </si>
  <si>
    <r>
      <t>uncertainties and the overall uncertainty of the fit (</t>
    </r>
    <r>
      <rPr>
        <i/>
        <sz val="12"/>
        <rFont val="Arial"/>
        <family val="2"/>
      </rPr>
      <t>u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>).</t>
    </r>
  </si>
  <si>
    <t>The approximate level of confidence</t>
  </si>
  <si>
    <t>Linear Model</t>
  </si>
  <si>
    <t>Expanded Uncertainty</t>
  </si>
  <si>
    <t>associated with the expanded</t>
  </si>
  <si>
    <t>parameter</t>
  </si>
  <si>
    <t>estimate</t>
  </si>
  <si>
    <t>lower</t>
  </si>
  <si>
    <t>upper</t>
  </si>
  <si>
    <t>uncertainties is 95%.</t>
  </si>
  <si>
    <r>
      <t>b</t>
    </r>
    <r>
      <rPr>
        <vertAlign val="subscript"/>
        <sz val="14"/>
        <rFont val="Arial"/>
        <family val="2"/>
      </rPr>
      <t>0</t>
    </r>
    <r>
      <rPr>
        <sz val="12"/>
        <rFont val="Arial"/>
        <family val="2"/>
      </rPr>
      <t xml:space="preserve"> =</t>
    </r>
  </si>
  <si>
    <r>
      <t>b</t>
    </r>
    <r>
      <rPr>
        <vertAlign val="subscript"/>
        <sz val="14"/>
        <rFont val="Arial"/>
        <family val="2"/>
      </rPr>
      <t>1</t>
    </r>
    <r>
      <rPr>
        <sz val="12"/>
        <rFont val="Arial"/>
        <family val="2"/>
      </rPr>
      <t xml:space="preserve"> =</t>
    </r>
  </si>
  <si>
    <t>The corresponding intervals take the form</t>
  </si>
  <si>
    <r>
      <t>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=</t>
    </r>
  </si>
  <si>
    <t>estimate +/- t*u, where:</t>
  </si>
  <si>
    <t>s =</t>
  </si>
  <si>
    <t>estimate is the quantity of interest,</t>
  </si>
  <si>
    <t>df =</t>
  </si>
  <si>
    <t>u is its uncertainty, and</t>
  </si>
  <si>
    <t>t =</t>
  </si>
  <si>
    <t>t is a coverage factor.</t>
  </si>
  <si>
    <t>Quadratic Model</t>
  </si>
  <si>
    <t>For each model,</t>
  </si>
  <si>
    <t>the coverage factor, t, is</t>
  </si>
  <si>
    <t>determined from the t-distribution</t>
  </si>
  <si>
    <t>with appropriate degrees of</t>
  </si>
  <si>
    <r>
      <t>b</t>
    </r>
    <r>
      <rPr>
        <vertAlign val="subscript"/>
        <sz val="14"/>
        <rFont val="Arial"/>
        <family val="2"/>
      </rPr>
      <t>2</t>
    </r>
    <r>
      <rPr>
        <sz val="12"/>
        <rFont val="Arial"/>
        <family val="2"/>
      </rPr>
      <t xml:space="preserve"> =</t>
    </r>
  </si>
  <si>
    <t>freedom (df).</t>
  </si>
  <si>
    <t>Note that the uncertainties are not</t>
  </si>
  <si>
    <t>displayed, but can easily be</t>
  </si>
  <si>
    <t>derived from the estimate, expanded</t>
  </si>
  <si>
    <t>uncertainty, and the coverage factor.</t>
  </si>
  <si>
    <t>Comparing the two models:</t>
  </si>
  <si>
    <t>F ratio =</t>
  </si>
  <si>
    <t>F critical =</t>
  </si>
  <si>
    <t>(5% significance level)</t>
  </si>
  <si>
    <t>If cubic or quartic models are supported by compelling</t>
  </si>
  <si>
    <t>scientific theory or data, then review the following estimates</t>
  </si>
  <si>
    <r>
      <t xml:space="preserve">for those models.  Otherwise, </t>
    </r>
    <r>
      <rPr>
        <b/>
        <u/>
        <sz val="12"/>
        <rFont val="Arial"/>
        <family val="2"/>
      </rPr>
      <t>go to Step 3</t>
    </r>
    <r>
      <rPr>
        <sz val="12"/>
        <rFont val="Arial"/>
        <family val="2"/>
      </rPr>
      <t xml:space="preserve">. </t>
    </r>
  </si>
  <si>
    <t>Cubic Model</t>
  </si>
  <si>
    <t>See above notes on calculation</t>
  </si>
  <si>
    <t>of expanded uncertainties.</t>
  </si>
  <si>
    <r>
      <t>b</t>
    </r>
    <r>
      <rPr>
        <vertAlign val="subscript"/>
        <sz val="14"/>
        <rFont val="Arial"/>
        <family val="2"/>
      </rPr>
      <t>3</t>
    </r>
    <r>
      <rPr>
        <sz val="12"/>
        <rFont val="Arial"/>
        <family val="2"/>
      </rPr>
      <t xml:space="preserve"> =</t>
    </r>
  </si>
  <si>
    <t>Comparing quadratic and cubic models:</t>
  </si>
  <si>
    <t>Quartic Model</t>
  </si>
  <si>
    <r>
      <t>b</t>
    </r>
    <r>
      <rPr>
        <vertAlign val="subscript"/>
        <sz val="14"/>
        <rFont val="Arial"/>
        <family val="2"/>
      </rPr>
      <t>4</t>
    </r>
    <r>
      <rPr>
        <sz val="12"/>
        <rFont val="Arial"/>
        <family val="2"/>
      </rPr>
      <t xml:space="preserve"> =</t>
    </r>
  </si>
  <si>
    <t xml:space="preserve">F ratio = </t>
  </si>
  <si>
    <r>
      <t xml:space="preserve">View the charts named </t>
    </r>
    <r>
      <rPr>
        <b/>
        <sz val="12"/>
        <rFont val="Arial"/>
        <family val="2"/>
      </rPr>
      <t>Curves 1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Residuals 1</t>
    </r>
    <r>
      <rPr>
        <sz val="12"/>
        <rFont val="Arial"/>
        <family val="2"/>
      </rPr>
      <t xml:space="preserve">.  </t>
    </r>
    <r>
      <rPr>
        <b/>
        <sz val="12"/>
        <rFont val="Arial"/>
        <family val="2"/>
      </rPr>
      <t>Curves 1</t>
    </r>
    <r>
      <rPr>
        <sz val="12"/>
        <rFont val="Arial"/>
        <family val="2"/>
      </rPr>
      <t xml:space="preserve"> shows bands</t>
    </r>
  </si>
  <si>
    <t>illustrating expanded uncertainties for the estimated regression.  Compare these</t>
  </si>
  <si>
    <r>
      <t xml:space="preserve">bands with those of the quadratic regression, </t>
    </r>
    <r>
      <rPr>
        <b/>
        <sz val="12"/>
        <rFont val="Arial"/>
        <family val="2"/>
      </rPr>
      <t>Curves 2</t>
    </r>
    <r>
      <rPr>
        <sz val="12"/>
        <rFont val="Arial"/>
        <family val="2"/>
      </rPr>
      <t>.</t>
    </r>
  </si>
  <si>
    <t>(Note: You can change the associated approximate confidence level by</t>
  </si>
  <si>
    <r>
      <t xml:space="preserve">changing the "p-value" in cell F4 of the worksheet named </t>
    </r>
    <r>
      <rPr>
        <b/>
        <i/>
        <sz val="12"/>
        <rFont val="Arial"/>
        <family val="2"/>
      </rPr>
      <t>Chart Data</t>
    </r>
    <r>
      <rPr>
        <i/>
        <sz val="12"/>
        <rFont val="Arial"/>
        <family val="2"/>
      </rPr>
      <t>.)</t>
    </r>
  </si>
  <si>
    <r>
      <t>Residuals 1</t>
    </r>
    <r>
      <rPr>
        <sz val="12"/>
        <rFont val="Arial"/>
        <family val="2"/>
      </rPr>
      <t xml:space="preserve"> shows how the calibration points deviated from the calibration</t>
    </r>
  </si>
  <si>
    <t>line.  Look for a simple pattern (such as a quadratic curve) in the chart.  If</t>
  </si>
  <si>
    <r>
      <t xml:space="preserve">such a pattern appears, the quadratic model may be better.  View </t>
    </r>
    <r>
      <rPr>
        <b/>
        <sz val="12"/>
        <rFont val="Arial"/>
        <family val="2"/>
      </rPr>
      <t>Residual 2</t>
    </r>
    <r>
      <rPr>
        <sz val="12"/>
        <rFont val="Arial"/>
        <family val="2"/>
      </rPr>
      <t>,</t>
    </r>
  </si>
  <si>
    <r>
      <t xml:space="preserve">the deviations from the best- fit quadratic curve.  If </t>
    </r>
    <r>
      <rPr>
        <b/>
        <sz val="12"/>
        <rFont val="Arial"/>
        <family val="2"/>
      </rPr>
      <t>Residual 2</t>
    </r>
    <r>
      <rPr>
        <sz val="12"/>
        <rFont val="Arial"/>
        <family val="2"/>
      </rPr>
      <t xml:space="preserve"> effectively</t>
    </r>
  </si>
  <si>
    <r>
      <t xml:space="preserve">removes the simple pattern observed in </t>
    </r>
    <r>
      <rPr>
        <b/>
        <sz val="12"/>
        <rFont val="Arial"/>
        <family val="2"/>
      </rPr>
      <t>Residual 1</t>
    </r>
    <r>
      <rPr>
        <sz val="12"/>
        <rFont val="Arial"/>
        <family val="2"/>
      </rPr>
      <t xml:space="preserve"> and if the magnitude of</t>
    </r>
  </si>
  <si>
    <t>the deviations has been significantly reduced (as evidenced by a reduction</t>
  </si>
  <si>
    <r>
      <t>in the uncertainty u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>), then the quadratic model is superior.  An F-test can be</t>
    </r>
  </si>
  <si>
    <t>run to determine if the two overall uncertainties of fit are significantly different.</t>
  </si>
  <si>
    <t>F =</t>
  </si>
  <si>
    <t>Prob. of greater F =</t>
  </si>
  <si>
    <r>
      <t xml:space="preserve">scientific theory or data, then view their </t>
    </r>
    <r>
      <rPr>
        <b/>
        <sz val="12"/>
        <rFont val="Arial"/>
        <family val="2"/>
      </rPr>
      <t>Curves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Residuals</t>
    </r>
    <r>
      <rPr>
        <sz val="12"/>
        <rFont val="Arial"/>
        <family val="2"/>
      </rPr>
      <t xml:space="preserve"> charts.</t>
    </r>
  </si>
  <si>
    <t>Estimate</t>
  </si>
  <si>
    <t>Lower</t>
  </si>
  <si>
    <t>Upper</t>
  </si>
  <si>
    <t>This sheet contains the chart data.  The chart data include initial calibration data and the</t>
  </si>
  <si>
    <t>regression information derived from those data.</t>
  </si>
  <si>
    <t>Only the initial calibration data (Step 1 in Measurement Data worksheet) are included.</t>
  </si>
  <si>
    <t>Recalibration data (Step 6) are not included.</t>
  </si>
  <si>
    <t>= Confidence Level for Plotting Confidence Bands</t>
  </si>
  <si>
    <t>= minimum concentration</t>
  </si>
  <si>
    <t>= t for linear model</t>
  </si>
  <si>
    <t>= maximum concentration</t>
  </si>
  <si>
    <t>= t for quadratic model</t>
  </si>
  <si>
    <t>= n, the number of initial calibration points</t>
  </si>
  <si>
    <t>= t for cubic model</t>
  </si>
  <si>
    <t>= t for quartic model</t>
  </si>
  <si>
    <t>Initial Calibration Data</t>
  </si>
  <si>
    <t>Estimates, Linear Model</t>
  </si>
  <si>
    <t>Estimates, Quadratic Model</t>
  </si>
  <si>
    <t>Estimates, Cubic Model</t>
  </si>
  <si>
    <t>Estimates, Quartic Model</t>
  </si>
  <si>
    <t>Xi</t>
  </si>
  <si>
    <t>Yi</t>
  </si>
  <si>
    <t>Residual</t>
  </si>
  <si>
    <t xml:space="preserve">x'V for Linear </t>
  </si>
  <si>
    <t>x'V for Quadratic</t>
  </si>
  <si>
    <t xml:space="preserve">x'V for Cubic </t>
  </si>
  <si>
    <t>x'V for Quartic</t>
  </si>
  <si>
    <t>Is the uncertainty absolute? (yes or no)</t>
  </si>
  <si>
    <t>Predicted pollutant flowrate</t>
  </si>
  <si>
    <t>no</t>
  </si>
  <si>
    <t>This worksheet should only be used after filling out the Annual Gas Calibration Check tab</t>
  </si>
  <si>
    <t xml:space="preserve">You can only fill in the cells in: </t>
  </si>
  <si>
    <t>This worksheet supports linear and quadratic regression models:</t>
  </si>
  <si>
    <t>the valve setting for the corresponding gas</t>
  </si>
  <si>
    <t>the measured flow rate</t>
  </si>
  <si>
    <t>determine which model (linear or quadratic) is best.</t>
  </si>
  <si>
    <t>To be done annually:</t>
  </si>
  <si>
    <t>To be done monthly:</t>
  </si>
  <si>
    <t>To be done on day of use:</t>
  </si>
  <si>
    <t>Day of Use</t>
  </si>
  <si>
    <t>The general workflow for this workbook is from right to left.  The steps involved are:</t>
  </si>
  <si>
    <t>It is only valid within one year of</t>
  </si>
  <si>
    <t xml:space="preserve">It is only valid within one month of </t>
  </si>
  <si>
    <t>Zero Gas</t>
  </si>
  <si>
    <t>Predicted zero gas flowrate</t>
  </si>
  <si>
    <t>Zero Gas Annual Calibration</t>
  </si>
  <si>
    <t>Annual Gas Check</t>
  </si>
  <si>
    <t>Monthly Flow Check</t>
  </si>
  <si>
    <t>Date of Monthly Flow Check</t>
  </si>
  <si>
    <t>This worksheet is for the annual pollutant flow rate calibration (see Section 4.1.6.1)</t>
  </si>
  <si>
    <t>Enter the annual pollutant flow rate calibration data in the shaded spaced below.</t>
  </si>
  <si>
    <t>The first column (i) simply counts the calibration points.  The second column (X)</t>
  </si>
  <si>
    <t>is for the pollutant flow controller settings.  The third column (Y) is for the flow</t>
  </si>
  <si>
    <t>rate reference standard readings corresponding to these settings.  The number of</t>
  </si>
  <si>
    <t>points cannot exceed 50.</t>
  </si>
  <si>
    <t>Enter the annual zero gas flow rate calibration data in the shaded spaced below.</t>
  </si>
  <si>
    <t>is for the zero gas flow controller settings.  The third column (Y) is for the flow</t>
  </si>
  <si>
    <t>INSTRUCTIONS FOR GAS DILUTION WORKBOOK</t>
  </si>
  <si>
    <t>Pollutant Annual Calibration</t>
  </si>
  <si>
    <r>
      <t>Read Me(this sheet)</t>
    </r>
    <r>
      <rPr>
        <sz val="12"/>
        <rFont val="Arial"/>
        <family val="2"/>
      </rPr>
      <t xml:space="preserve"> - describes the workbook, explaining how to use the worksheets</t>
    </r>
  </si>
  <si>
    <r>
      <t>Monthly Flow Check</t>
    </r>
    <r>
      <rPr>
        <sz val="12"/>
        <rFont val="Arial"/>
        <family val="2"/>
      </rPr>
      <t xml:space="preserve"> - to verify that GDS calibration has not shifted since annual calibration</t>
    </r>
  </si>
  <si>
    <r>
      <t>Day of Use</t>
    </r>
    <r>
      <rPr>
        <sz val="12"/>
        <rFont val="Arial"/>
        <family val="2"/>
      </rPr>
      <t xml:space="preserve"> - to be used on day of GDS use to calculate GDS settings</t>
    </r>
  </si>
  <si>
    <r>
      <t>Annual Gas Check</t>
    </r>
    <r>
      <rPr>
        <sz val="12"/>
        <rFont val="Arial"/>
        <family val="2"/>
      </rPr>
      <t xml:space="preserve"> - to be performed afgter annual calibration to verify that the GDS</t>
    </r>
  </si>
  <si>
    <t xml:space="preserve">actually produces the concentrations of diluted mixtures  for both </t>
  </si>
  <si>
    <t>nonreactive and reactive gases that agree with theoretical concentrations</t>
  </si>
  <si>
    <t>For both the Pollutant Annual Calibration and Zero Gas Annual Calibration:</t>
  </si>
  <si>
    <r>
      <t>y = 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x+ e</t>
    </r>
  </si>
  <si>
    <r>
      <t>y = b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+ b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x + b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e</t>
    </r>
  </si>
  <si>
    <r>
      <t>The output quantities are estimated parameters (</t>
    </r>
    <r>
      <rPr>
        <b/>
        <sz val="12"/>
        <rFont val="Arial"/>
        <family val="2"/>
      </rPr>
      <t>bs</t>
    </r>
    <r>
      <rPr>
        <sz val="12"/>
        <rFont val="Arial"/>
        <family val="2"/>
      </rPr>
      <t>) and related uncertainties.</t>
    </r>
  </si>
  <si>
    <t>steps in its use.  Each worksheet is also color coded to simplify use.  Shaded cells that are</t>
  </si>
  <si>
    <t>bordered in blue text are for input of data.  These cells are unprotected, but all other cells of</t>
  </si>
  <si>
    <t>Reference: EPA Traceability Protocol Assay and Certificatoin of Gaseous</t>
  </si>
  <si>
    <t>Calibration Standards, USEPA, 2012</t>
  </si>
  <si>
    <t>This worksheet should only be used after filling out the Monthly Flow Check worksheet</t>
  </si>
  <si>
    <t>Enter the flow rates measured by the flow rate reference standard</t>
  </si>
  <si>
    <t>Pollutant flow rate acceptance criterion</t>
  </si>
  <si>
    <t>Zero gas flow rate acceptance criterion</t>
  </si>
  <si>
    <t xml:space="preserve">This worksheet should be used for the annual nonreactive gas calibratoin check (Sec. 4.1.6.3) and the annual </t>
  </si>
  <si>
    <t>reactive gas calibration check (Sec. 4.1.6.4).  It should only be used after filling out the Pollutant Annual</t>
  </si>
  <si>
    <t>Calibration worksheet and the Zero Gas Calibration Worksheet.</t>
  </si>
  <si>
    <t>Concentration and Uncertainty of Check Standard (Lower Concentration)</t>
  </si>
  <si>
    <t>Expanded uncertainty of concentration of the check standard</t>
  </si>
  <si>
    <t>Enter Settings for Pollutant and Zero Gas Flow Controllers</t>
  </si>
  <si>
    <t xml:space="preserve">Select setttings for the gas flow controllers that fall in the same range as were used in </t>
  </si>
  <si>
    <t>that is equal to the undiluted concentration of the check standard.</t>
  </si>
  <si>
    <t>Enter the pollutant flow controller setting</t>
  </si>
  <si>
    <t>Enter the zero gas flow controller setting</t>
  </si>
  <si>
    <t>Pollutant and Zero Gas Annual</t>
  </si>
  <si>
    <t>Calibrations Background</t>
  </si>
  <si>
    <t xml:space="preserve">The check standard concentration must be at least a factor of ten less than the reference </t>
  </si>
  <si>
    <t>standard concentration and must fall in the well-characterized region of the callibration curve</t>
  </si>
  <si>
    <t>Enter the expanded uncertainty (U) from the reference standard's certificate of analysis.</t>
  </si>
  <si>
    <t>Concentration of Check Standard</t>
  </si>
  <si>
    <t>Measure Diluted Reference Standard and Undiluted Check Standard</t>
  </si>
  <si>
    <t>Margin of error for confidence</t>
  </si>
  <si>
    <t>Enter Flow Rate Uncertainties of Flow Rate Reference Standard</t>
  </si>
  <si>
    <t>Enter flow controller setting within range of the annual calibration for both Pollutant and Zero Gas</t>
  </si>
  <si>
    <t>Enter Flow Controller Settings</t>
  </si>
  <si>
    <t>Measure Flow Rate</t>
  </si>
  <si>
    <t>Relative concentration difference</t>
  </si>
  <si>
    <t>Enter Desired Flow Rates for Pollutant and Zero Gas</t>
  </si>
  <si>
    <t>Polutant flow rate setting</t>
  </si>
  <si>
    <t>Zero gas flow rate setting</t>
  </si>
  <si>
    <t>Resulting Diluted Concentration of Pollutant and Expanded Relative Uncertainty</t>
  </si>
  <si>
    <t>Reference standard concentration</t>
  </si>
  <si>
    <t>Check standard concentration</t>
  </si>
  <si>
    <t>Concentration and Uncertainty of Reference Standard</t>
  </si>
  <si>
    <t>Date of annual calibrations of pollutant and zero gas flow controllers</t>
  </si>
  <si>
    <t>It is necessary to answer whether or not this value is absolute or relative.</t>
  </si>
  <si>
    <t>For example, absolute values are given in ppm and relative values are given in percent</t>
  </si>
  <si>
    <t>Enter the value as a decimal value (e.g., 1 percent should be entered as 0.01)</t>
  </si>
  <si>
    <r>
      <t>This value is the coverage factor (k=2) times the combined standard uncertainty (u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</si>
  <si>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t xml:space="preserve">Enter the certified concentration of the check standard </t>
  </si>
  <si>
    <t>Adjust the pollutant and zero gas settings so that these two concentrations match within 1 percent</t>
  </si>
  <si>
    <t>Match</t>
  </si>
  <si>
    <t>percent</t>
  </si>
  <si>
    <t>Using a previously calibrated analyzer, measure the resulting diluted reference standard and</t>
  </si>
  <si>
    <t>undiluted check standard.  You must take at least 3 measurements of each gas mixture.</t>
  </si>
  <si>
    <t>Predicted pollutant flow rate</t>
  </si>
  <si>
    <t>Predicted zero gas flow rate</t>
  </si>
  <si>
    <t>Responses for Diluted Reference Standard</t>
  </si>
  <si>
    <t>Responses for Undiluted Check Standard</t>
  </si>
  <si>
    <t>Predicted diluted ref std concentration</t>
  </si>
  <si>
    <t>Mean response for diluted reference standard</t>
  </si>
  <si>
    <t>Mean response for undiluted check standard</t>
  </si>
  <si>
    <t>Mean Response to Diluted Ref Std</t>
  </si>
  <si>
    <t>Mean Response to Undiluted Check Std</t>
  </si>
  <si>
    <t>Do not procede until the Match value is less than 1.0 percent</t>
  </si>
  <si>
    <t>the annual calibrations and that produce a diluted concentration of the reference standard</t>
  </si>
  <si>
    <t>Relative Agreement between Mean Responses</t>
  </si>
  <si>
    <t>Lower limit for diluted conc</t>
  </si>
  <si>
    <t>Upper limit for diluted conc</t>
  </si>
  <si>
    <t>1 indicates diluted conc is in range, 0 indicated it is not</t>
  </si>
  <si>
    <t>Enter Pollutant Gas Concentration and Expanded Uncertainty</t>
  </si>
  <si>
    <t>Pollutant Gas Concentration</t>
  </si>
  <si>
    <t>Fill in the certified concentration of the reference standard</t>
  </si>
  <si>
    <t>Expanded uncertainty of concentration of the reference standard</t>
  </si>
  <si>
    <t>Pollutant Gas Flow Rate</t>
  </si>
  <si>
    <t>Zero Gas Flow Rate</t>
  </si>
  <si>
    <t>Pollutant Gas Flow Controller Setting</t>
  </si>
  <si>
    <t>Zero Gas Flow Controller Setting</t>
  </si>
  <si>
    <t>Enter the desired flow rates for both the pollutant and zero gas to achieve your target dilution</t>
  </si>
  <si>
    <t>and obtain the proper flow controller settings to achieve these flow rates.</t>
  </si>
  <si>
    <t>Diluted Pollutant Gas Concentration</t>
  </si>
  <si>
    <t>Diluted pollutant gas concentration</t>
  </si>
  <si>
    <t>Enter the relative expanded uncertainty (U/conc) from the reference standard's certificate of analysis.</t>
  </si>
  <si>
    <t>Enter pollutant gas concentration</t>
  </si>
  <si>
    <t>Relative std uncertainty of ref std concentration</t>
  </si>
  <si>
    <t>Relative std uncertainty of check std concentration</t>
  </si>
  <si>
    <t>Relative combined std uncertainty for std concentrations, flow rates, and analyzer responses</t>
  </si>
  <si>
    <t>Standard uncertainty of ref std responses</t>
  </si>
  <si>
    <t>Standard uncertainty of check std responses</t>
  </si>
  <si>
    <t xml:space="preserve">Relative std uncertainty for pollutant gas flow rate </t>
  </si>
  <si>
    <t xml:space="preserve">Relative std uncertainty for zero gas flow rate </t>
  </si>
  <si>
    <t>Pollutant flow rate relative std uncertainty from calibration</t>
  </si>
  <si>
    <t>Zero gas flow rate relative std uncertainty from calibration</t>
  </si>
  <si>
    <t>Pollutant gas flow rate relative combined std uncertainty</t>
  </si>
  <si>
    <t>Zero gas flow rate relative combined std uncertainty</t>
  </si>
  <si>
    <t>Relative Expanded Uncertainty for Diluted Conc</t>
  </si>
  <si>
    <t>Relative Expanded Uncertainty for Pollutant Gas Concentration</t>
  </si>
  <si>
    <t>Relative combined std uncertainty for diluted conc</t>
  </si>
  <si>
    <t>Relative std uncertainty of PG flow rate reference std</t>
  </si>
  <si>
    <t>Relative std uncertainty of ZG flow rate reference std</t>
  </si>
  <si>
    <t>Enter expanded uncertainties (U) for both pollutant gas and zero gas flow rate reference standards</t>
  </si>
  <si>
    <t>Pollutant Gas</t>
  </si>
  <si>
    <t>PG flow rate ref std relative std uncertainty</t>
  </si>
  <si>
    <t>ZG flow rate ref std relative std uncertainty</t>
  </si>
  <si>
    <t>Predicted pollutant gas flowrate</t>
  </si>
  <si>
    <t>PG flow rate relative std uncertainty from calibration</t>
  </si>
  <si>
    <t>ZG flow rate relative std uncertainty from calibration</t>
  </si>
  <si>
    <t>PG flow rate relative combined std uncertainty</t>
  </si>
  <si>
    <t>ZG flow rate relative combined std uncertainty</t>
  </si>
  <si>
    <t>This value is the coverage factor (k=2) times the combined standard uncertainty (uc)</t>
  </si>
  <si>
    <r>
      <t>Calibration</t>
    </r>
    <r>
      <rPr>
        <sz val="12"/>
        <color indexed="8"/>
        <rFont val="Arial"/>
        <family val="2"/>
      </rPr>
      <t xml:space="preserve"> - allows for user input of calibration and other analytical data</t>
    </r>
  </si>
  <si>
    <r>
      <t>Curves 1</t>
    </r>
    <r>
      <rPr>
        <sz val="12"/>
        <color indexed="8"/>
        <rFont val="Arial"/>
        <family val="2"/>
      </rPr>
      <t xml:space="preserve"> - displays the calibration data, the best-fit line, and expanded uncertainties.</t>
    </r>
  </si>
  <si>
    <r>
      <t>Residuals 1</t>
    </r>
    <r>
      <rPr>
        <sz val="12"/>
        <color indexed="8"/>
        <rFont val="Arial"/>
        <family val="2"/>
      </rPr>
      <t xml:space="preserve"> - displays the difference between the observed responses and those</t>
    </r>
  </si>
  <si>
    <r>
      <t>Curves 2</t>
    </r>
    <r>
      <rPr>
        <sz val="12"/>
        <color indexed="8"/>
        <rFont val="Arial"/>
        <family val="2"/>
      </rPr>
      <t xml:space="preserve"> - displays the calibration data, the best-fit quadratic curve, and</t>
    </r>
  </si>
  <si>
    <r>
      <t>Residuals 2</t>
    </r>
    <r>
      <rPr>
        <sz val="12"/>
        <color indexed="8"/>
        <rFont val="Arial"/>
        <family val="2"/>
      </rPr>
      <t xml:space="preserve"> - displays the difference between the observed responses and those</t>
    </r>
  </si>
  <si>
    <r>
      <t>Chart Data</t>
    </r>
    <r>
      <rPr>
        <sz val="12"/>
        <color indexed="8"/>
        <rFont val="Arial"/>
        <family val="2"/>
      </rPr>
      <t xml:space="preserve"> - includes the data used to create the Curves and Residuals charts</t>
    </r>
  </si>
  <si>
    <r>
      <t>It is assumed that the valve setting standards (</t>
    </r>
    <r>
      <rPr>
        <b/>
        <sz val="12"/>
        <rFont val="Arial"/>
        <family val="2"/>
      </rPr>
      <t>x</t>
    </r>
    <r>
      <rPr>
        <sz val="12"/>
        <color indexed="8"/>
        <rFont val="Arial"/>
        <family val="2"/>
      </rPr>
      <t>) have negligible uncertainties.</t>
    </r>
  </si>
  <si>
    <r>
      <t xml:space="preserve">The </t>
    </r>
    <r>
      <rPr>
        <b/>
        <sz val="12"/>
        <rFont val="Arial"/>
        <family val="2"/>
      </rPr>
      <t>Dilution and Zero Gas Calibration sheets</t>
    </r>
    <r>
      <rPr>
        <sz val="12"/>
        <color indexed="8"/>
        <rFont val="Arial"/>
        <family val="2"/>
      </rPr>
      <t xml:space="preserve"> includes instructions that guide the user through the </t>
    </r>
  </si>
  <si>
    <r>
      <t xml:space="preserve">the </t>
    </r>
    <r>
      <rPr>
        <b/>
        <sz val="12"/>
        <rFont val="Arial"/>
        <family val="2"/>
      </rPr>
      <t>Calibration</t>
    </r>
    <r>
      <rPr>
        <sz val="12"/>
        <color indexed="8"/>
        <rFont val="Arial"/>
        <family val="2"/>
      </rPr>
      <t xml:space="preserve"> worksheet are protected. </t>
    </r>
  </si>
  <si>
    <t>Predicted Concentration of Diluted</t>
  </si>
  <si>
    <t>Reference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</si>
</sst>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0.0"/>
    <numFmt numFmtId="166" formatCode="mm/dd/yy;@"/>
  </numFmts>
  <fonts count="46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u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12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0"/>
      <name val="Arial"/>
      <family val="2"/>
    </font>
    <font>
      <sz val="12"/>
      <color indexed="8"/>
      <name val="Calibri"/>
      <family val="2"/>
    </font>
    <font>
      <b/>
      <sz val="14"/>
      <color indexed="16"/>
      <name val="Arial"/>
      <family val="2"/>
    </font>
    <font>
      <b/>
      <u/>
      <sz val="14"/>
      <color indexed="17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53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7">
    <xf numFmtId="0" fontId="0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43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441">
    <xf numFmtId="0" fontId="0" fillId="0" borderId="0" xfId="0"/>
    <xf numFmtId="0" fontId="1" fillId="0" borderId="0" xfId="3"/>
    <xf numFmtId="0" fontId="2" fillId="2" borderId="1" xfId="3" applyFont="1" applyFill="1" applyBorder="1" applyAlignment="1">
      <alignment horizontal="center"/>
    </xf>
    <xf numFmtId="0" fontId="1" fillId="0" borderId="0" xfId="3" applyFont="1"/>
    <xf numFmtId="0" fontId="1" fillId="0" borderId="0" xfId="3" quotePrefix="1" applyFont="1" applyAlignment="1">
      <alignment horizontal="right"/>
    </xf>
    <xf numFmtId="0" fontId="2" fillId="0" borderId="0" xfId="3" quotePrefix="1" applyFont="1" applyAlignment="1">
      <alignment horizontal="left"/>
    </xf>
    <xf numFmtId="0" fontId="1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0" fontId="1" fillId="0" borderId="0" xfId="3" applyFont="1" applyAlignment="1">
      <alignment horizontal="left"/>
    </xf>
    <xf numFmtId="0" fontId="1" fillId="0" borderId="0" xfId="3" quotePrefix="1" applyFont="1" applyAlignment="1">
      <alignment horizontal="left"/>
    </xf>
    <xf numFmtId="0" fontId="2" fillId="3" borderId="0" xfId="3" quotePrefix="1" applyFont="1" applyFill="1" applyAlignment="1">
      <alignment horizontal="left"/>
    </xf>
    <xf numFmtId="0" fontId="2" fillId="4" borderId="0" xfId="3" quotePrefix="1" applyFont="1" applyFill="1" applyAlignment="1">
      <alignment horizontal="left"/>
    </xf>
    <xf numFmtId="0" fontId="7" fillId="0" borderId="0" xfId="3" applyFont="1"/>
    <xf numFmtId="0" fontId="1" fillId="3" borderId="0" xfId="3" applyFont="1" applyFill="1"/>
    <xf numFmtId="0" fontId="1" fillId="4" borderId="0" xfId="3" applyFont="1" applyFill="1"/>
    <xf numFmtId="0" fontId="1" fillId="3" borderId="0" xfId="3" applyFont="1" applyFill="1" applyAlignment="1">
      <alignment horizontal="left"/>
    </xf>
    <xf numFmtId="0" fontId="1" fillId="3" borderId="0" xfId="3" quotePrefix="1" applyFont="1" applyFill="1" applyAlignment="1">
      <alignment horizontal="left"/>
    </xf>
    <xf numFmtId="0" fontId="1" fillId="4" borderId="0" xfId="3" quotePrefix="1" applyFont="1" applyFill="1" applyAlignment="1">
      <alignment horizontal="left"/>
    </xf>
    <xf numFmtId="0" fontId="23" fillId="0" borderId="0" xfId="3" applyFont="1"/>
    <xf numFmtId="0" fontId="25" fillId="5" borderId="1" xfId="3" applyFont="1" applyFill="1" applyBorder="1" applyAlignment="1" applyProtection="1">
      <alignment horizontal="center"/>
      <protection locked="0"/>
    </xf>
    <xf numFmtId="0" fontId="23" fillId="0" borderId="0" xfId="3" quotePrefix="1" applyFont="1" applyAlignment="1">
      <alignment horizontal="left"/>
    </xf>
    <xf numFmtId="0" fontId="16" fillId="0" borderId="0" xfId="3" quotePrefix="1" applyFont="1" applyAlignment="1">
      <alignment horizontal="right"/>
    </xf>
    <xf numFmtId="0" fontId="16" fillId="3" borderId="0" xfId="3" applyFont="1" applyFill="1"/>
    <xf numFmtId="0" fontId="23" fillId="3" borderId="0" xfId="3" quotePrefix="1" applyFont="1" applyFill="1" applyAlignment="1">
      <alignment horizontal="left"/>
    </xf>
    <xf numFmtId="0" fontId="23" fillId="3" borderId="0" xfId="3" applyFont="1" applyFill="1"/>
    <xf numFmtId="0" fontId="16" fillId="4" borderId="0" xfId="3" applyFont="1" applyFill="1"/>
    <xf numFmtId="0" fontId="23" fillId="4" borderId="0" xfId="3" quotePrefix="1" applyFont="1" applyFill="1" applyAlignment="1">
      <alignment horizontal="left"/>
    </xf>
    <xf numFmtId="0" fontId="23" fillId="4" borderId="0" xfId="3" applyFont="1" applyFill="1"/>
    <xf numFmtId="0" fontId="16" fillId="0" borderId="0" xfId="3" applyFont="1" applyAlignment="1">
      <alignment horizontal="right"/>
    </xf>
    <xf numFmtId="0" fontId="16" fillId="5" borderId="0" xfId="3" applyFont="1" applyFill="1"/>
    <xf numFmtId="0" fontId="23" fillId="5" borderId="0" xfId="3" quotePrefix="1" applyFont="1" applyFill="1" applyAlignment="1">
      <alignment horizontal="left"/>
    </xf>
    <xf numFmtId="0" fontId="23" fillId="5" borderId="0" xfId="3" applyFont="1" applyFill="1"/>
    <xf numFmtId="0" fontId="1" fillId="0" borderId="0" xfId="3" applyFont="1" applyAlignment="1">
      <alignment horizontal="center"/>
    </xf>
    <xf numFmtId="0" fontId="16" fillId="6" borderId="0" xfId="3" applyFont="1" applyFill="1" applyAlignment="1">
      <alignment horizontal="right"/>
    </xf>
    <xf numFmtId="0" fontId="23" fillId="6" borderId="0" xfId="3" quotePrefix="1" applyFont="1" applyFill="1" applyAlignment="1">
      <alignment horizontal="left"/>
    </xf>
    <xf numFmtId="0" fontId="23" fillId="6" borderId="0" xfId="3" applyFont="1" applyFill="1"/>
    <xf numFmtId="0" fontId="23" fillId="3" borderId="2" xfId="3" quotePrefix="1" applyFont="1" applyFill="1" applyBorder="1" applyAlignment="1">
      <alignment horizontal="left"/>
    </xf>
    <xf numFmtId="0" fontId="23" fillId="3" borderId="3" xfId="3" applyFont="1" applyFill="1" applyBorder="1"/>
    <xf numFmtId="0" fontId="23" fillId="3" borderId="4" xfId="3" applyFont="1" applyFill="1" applyBorder="1"/>
    <xf numFmtId="0" fontId="23" fillId="4" borderId="2" xfId="3" quotePrefix="1" applyFont="1" applyFill="1" applyBorder="1" applyAlignment="1">
      <alignment horizontal="left"/>
    </xf>
    <xf numFmtId="0" fontId="23" fillId="4" borderId="3" xfId="3" applyFont="1" applyFill="1" applyBorder="1"/>
    <xf numFmtId="0" fontId="23" fillId="4" borderId="4" xfId="3" applyFont="1" applyFill="1" applyBorder="1"/>
    <xf numFmtId="0" fontId="23" fillId="5" borderId="2" xfId="3" quotePrefix="1" applyFont="1" applyFill="1" applyBorder="1" applyAlignment="1">
      <alignment horizontal="left"/>
    </xf>
    <xf numFmtId="0" fontId="23" fillId="5" borderId="3" xfId="3" applyFont="1" applyFill="1" applyBorder="1"/>
    <xf numFmtId="0" fontId="23" fillId="5" borderId="4" xfId="3" applyFont="1" applyFill="1" applyBorder="1"/>
    <xf numFmtId="0" fontId="23" fillId="6" borderId="2" xfId="3" quotePrefix="1" applyFont="1" applyFill="1" applyBorder="1" applyAlignment="1">
      <alignment horizontal="left"/>
    </xf>
    <xf numFmtId="0" fontId="23" fillId="6" borderId="3" xfId="3" applyFont="1" applyFill="1" applyBorder="1"/>
    <xf numFmtId="0" fontId="23" fillId="6" borderId="4" xfId="3" applyFont="1" applyFill="1" applyBorder="1"/>
    <xf numFmtId="0" fontId="26" fillId="0" borderId="5" xfId="3" quotePrefix="1" applyFont="1" applyBorder="1" applyAlignment="1">
      <alignment horizontal="center"/>
    </xf>
    <xf numFmtId="0" fontId="26" fillId="0" borderId="6" xfId="3" quotePrefix="1" applyFont="1" applyBorder="1" applyAlignment="1">
      <alignment horizontal="center"/>
    </xf>
    <xf numFmtId="0" fontId="26" fillId="0" borderId="7" xfId="3" quotePrefix="1" applyFont="1" applyBorder="1" applyAlignment="1">
      <alignment horizontal="center"/>
    </xf>
    <xf numFmtId="0" fontId="27" fillId="3" borderId="6" xfId="3" quotePrefix="1" applyFont="1" applyFill="1" applyBorder="1" applyAlignment="1">
      <alignment horizontal="center"/>
    </xf>
    <xf numFmtId="0" fontId="27" fillId="3" borderId="0" xfId="3" quotePrefix="1" applyFont="1" applyFill="1" applyBorder="1" applyAlignment="1">
      <alignment horizontal="left"/>
    </xf>
    <xf numFmtId="0" fontId="27" fillId="3" borderId="0" xfId="3" applyFont="1" applyFill="1" applyBorder="1"/>
    <xf numFmtId="0" fontId="27" fillId="3" borderId="7" xfId="3" applyFont="1" applyFill="1" applyBorder="1"/>
    <xf numFmtId="0" fontId="27" fillId="4" borderId="6" xfId="3" quotePrefix="1" applyFont="1" applyFill="1" applyBorder="1" applyAlignment="1">
      <alignment horizontal="center"/>
    </xf>
    <xf numFmtId="0" fontId="27" fillId="4" borderId="0" xfId="3" quotePrefix="1" applyFont="1" applyFill="1" applyBorder="1" applyAlignment="1">
      <alignment horizontal="left"/>
    </xf>
    <xf numFmtId="0" fontId="27" fillId="4" borderId="0" xfId="3" applyFont="1" applyFill="1" applyBorder="1"/>
    <xf numFmtId="0" fontId="27" fillId="4" borderId="7" xfId="3" applyFont="1" applyFill="1" applyBorder="1"/>
    <xf numFmtId="0" fontId="27" fillId="5" borderId="6" xfId="3" quotePrefix="1" applyFont="1" applyFill="1" applyBorder="1" applyAlignment="1">
      <alignment horizontal="center"/>
    </xf>
    <xf numFmtId="0" fontId="27" fillId="5" borderId="0" xfId="3" quotePrefix="1" applyFont="1" applyFill="1" applyBorder="1" applyAlignment="1">
      <alignment horizontal="left"/>
    </xf>
    <xf numFmtId="0" fontId="27" fillId="5" borderId="0" xfId="3" applyFont="1" applyFill="1" applyBorder="1"/>
    <xf numFmtId="0" fontId="27" fillId="5" borderId="7" xfId="3" applyFont="1" applyFill="1" applyBorder="1"/>
    <xf numFmtId="0" fontId="27" fillId="6" borderId="6" xfId="3" quotePrefix="1" applyFont="1" applyFill="1" applyBorder="1" applyAlignment="1">
      <alignment horizontal="center"/>
    </xf>
    <xf numFmtId="0" fontId="27" fillId="6" borderId="0" xfId="3" quotePrefix="1" applyFont="1" applyFill="1" applyBorder="1" applyAlignment="1">
      <alignment horizontal="left"/>
    </xf>
    <xf numFmtId="0" fontId="27" fillId="6" borderId="0" xfId="3" applyFont="1" applyFill="1" applyBorder="1"/>
    <xf numFmtId="0" fontId="27" fillId="6" borderId="7" xfId="3" applyFont="1" applyFill="1" applyBorder="1"/>
    <xf numFmtId="0" fontId="23" fillId="0" borderId="2" xfId="3" applyFont="1" applyBorder="1" applyAlignment="1">
      <alignment horizontal="center"/>
    </xf>
    <xf numFmtId="0" fontId="16" fillId="0" borderId="3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6" fillId="3" borderId="6" xfId="3" applyFont="1" applyFill="1" applyBorder="1"/>
    <xf numFmtId="0" fontId="16" fillId="3" borderId="0" xfId="3" applyFont="1" applyFill="1" applyBorder="1"/>
    <xf numFmtId="0" fontId="16" fillId="3" borderId="7" xfId="3" quotePrefix="1" applyFont="1" applyFill="1" applyBorder="1" applyAlignment="1">
      <alignment horizontal="left"/>
    </xf>
    <xf numFmtId="0" fontId="16" fillId="4" borderId="6" xfId="3" applyFont="1" applyFill="1" applyBorder="1"/>
    <xf numFmtId="0" fontId="16" fillId="4" borderId="0" xfId="3" applyFont="1" applyFill="1" applyBorder="1"/>
    <xf numFmtId="0" fontId="16" fillId="4" borderId="7" xfId="3" quotePrefix="1" applyFont="1" applyFill="1" applyBorder="1" applyAlignment="1">
      <alignment horizontal="left"/>
    </xf>
    <xf numFmtId="0" fontId="16" fillId="5" borderId="6" xfId="3" applyFont="1" applyFill="1" applyBorder="1"/>
    <xf numFmtId="0" fontId="16" fillId="5" borderId="0" xfId="3" applyFont="1" applyFill="1" applyBorder="1"/>
    <xf numFmtId="0" fontId="16" fillId="5" borderId="7" xfId="3" quotePrefix="1" applyFont="1" applyFill="1" applyBorder="1" applyAlignment="1">
      <alignment horizontal="left"/>
    </xf>
    <xf numFmtId="0" fontId="16" fillId="6" borderId="6" xfId="3" applyFont="1" applyFill="1" applyBorder="1"/>
    <xf numFmtId="0" fontId="16" fillId="6" borderId="0" xfId="3" applyFont="1" applyFill="1" applyBorder="1"/>
    <xf numFmtId="0" fontId="16" fillId="6" borderId="7" xfId="3" quotePrefix="1" applyFont="1" applyFill="1" applyBorder="1" applyAlignment="1">
      <alignment horizontal="left"/>
    </xf>
    <xf numFmtId="0" fontId="23" fillId="0" borderId="6" xfId="3" applyFont="1" applyBorder="1" applyAlignment="1">
      <alignment horizontal="center"/>
    </xf>
    <xf numFmtId="0" fontId="16" fillId="0" borderId="7" xfId="3" applyFont="1" applyBorder="1" applyAlignment="1">
      <alignment horizontal="center"/>
    </xf>
    <xf numFmtId="0" fontId="23" fillId="0" borderId="8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27" fillId="0" borderId="0" xfId="3" applyFont="1" applyAlignment="1">
      <alignment horizontal="right"/>
    </xf>
    <xf numFmtId="0" fontId="28" fillId="0" borderId="0" xfId="3" applyFont="1" applyAlignment="1">
      <alignment horizontal="right"/>
    </xf>
    <xf numFmtId="0" fontId="16" fillId="3" borderId="7" xfId="3" applyFont="1" applyFill="1" applyBorder="1"/>
    <xf numFmtId="0" fontId="16" fillId="4" borderId="7" xfId="3" applyFont="1" applyFill="1" applyBorder="1"/>
    <xf numFmtId="0" fontId="16" fillId="5" borderId="7" xfId="3" applyFont="1" applyFill="1" applyBorder="1"/>
    <xf numFmtId="0" fontId="1" fillId="3" borderId="11" xfId="3" quotePrefix="1" applyFill="1" applyBorder="1" applyAlignment="1">
      <alignment horizontal="left"/>
    </xf>
    <xf numFmtId="0" fontId="1" fillId="3" borderId="12" xfId="3" applyFill="1" applyBorder="1"/>
    <xf numFmtId="0" fontId="1" fillId="4" borderId="11" xfId="3" quotePrefix="1" applyFill="1" applyBorder="1" applyAlignment="1">
      <alignment horizontal="left"/>
    </xf>
    <xf numFmtId="0" fontId="1" fillId="4" borderId="13" xfId="3" applyFill="1" applyBorder="1"/>
    <xf numFmtId="0" fontId="1" fillId="4" borderId="14" xfId="3" applyFill="1" applyBorder="1"/>
    <xf numFmtId="0" fontId="1" fillId="5" borderId="15" xfId="3" quotePrefix="1" applyFill="1" applyBorder="1" applyAlignment="1">
      <alignment horizontal="left"/>
    </xf>
    <xf numFmtId="0" fontId="1" fillId="5" borderId="13" xfId="3" applyFill="1" applyBorder="1"/>
    <xf numFmtId="0" fontId="1" fillId="5" borderId="12" xfId="3" applyFill="1" applyBorder="1"/>
    <xf numFmtId="0" fontId="1" fillId="6" borderId="13" xfId="3" applyFill="1" applyBorder="1"/>
    <xf numFmtId="0" fontId="1" fillId="6" borderId="12" xfId="3" applyFill="1" applyBorder="1"/>
    <xf numFmtId="0" fontId="23" fillId="0" borderId="16" xfId="3" applyFont="1" applyBorder="1"/>
    <xf numFmtId="0" fontId="16" fillId="3" borderId="16" xfId="3" applyFont="1" applyFill="1" applyBorder="1"/>
    <xf numFmtId="0" fontId="16" fillId="4" borderId="16" xfId="3" applyFont="1" applyFill="1" applyBorder="1"/>
    <xf numFmtId="0" fontId="16" fillId="5" borderId="16" xfId="3" applyFont="1" applyFill="1" applyBorder="1"/>
    <xf numFmtId="0" fontId="16" fillId="6" borderId="16" xfId="3" applyFont="1" applyFill="1" applyBorder="1"/>
    <xf numFmtId="0" fontId="16" fillId="3" borderId="0" xfId="3" quotePrefix="1" applyFont="1" applyFill="1" applyBorder="1" applyAlignment="1">
      <alignment horizontal="right"/>
    </xf>
    <xf numFmtId="0" fontId="16" fillId="4" borderId="6" xfId="3" quotePrefix="1" applyFont="1" applyFill="1" applyBorder="1" applyAlignment="1">
      <alignment horizontal="right"/>
    </xf>
    <xf numFmtId="0" fontId="16" fillId="4" borderId="0" xfId="3" quotePrefix="1" applyFont="1" applyFill="1" applyBorder="1" applyAlignment="1">
      <alignment horizontal="right"/>
    </xf>
    <xf numFmtId="0" fontId="16" fillId="5" borderId="6" xfId="3" applyFont="1" applyFill="1" applyBorder="1" applyAlignment="1">
      <alignment horizontal="right"/>
    </xf>
    <xf numFmtId="0" fontId="16" fillId="5" borderId="0" xfId="3" quotePrefix="1" applyFont="1" applyFill="1" applyBorder="1" applyAlignment="1">
      <alignment horizontal="right"/>
    </xf>
    <xf numFmtId="0" fontId="16" fillId="6" borderId="6" xfId="3" quotePrefix="1" applyFont="1" applyFill="1" applyBorder="1" applyAlignment="1">
      <alignment horizontal="right"/>
    </xf>
    <xf numFmtId="0" fontId="16" fillId="6" borderId="0" xfId="3" quotePrefix="1" applyFont="1" applyFill="1" applyBorder="1" applyAlignment="1">
      <alignment horizontal="right"/>
    </xf>
    <xf numFmtId="0" fontId="16" fillId="3" borderId="2" xfId="3" applyFont="1" applyFill="1" applyBorder="1"/>
    <xf numFmtId="0" fontId="16" fillId="3" borderId="4" xfId="3" applyFont="1" applyFill="1" applyBorder="1"/>
    <xf numFmtId="0" fontId="16" fillId="4" borderId="2" xfId="3" applyFont="1" applyFill="1" applyBorder="1"/>
    <xf numFmtId="0" fontId="16" fillId="4" borderId="3" xfId="3" applyFont="1" applyFill="1" applyBorder="1"/>
    <xf numFmtId="0" fontId="16" fillId="5" borderId="2" xfId="3" quotePrefix="1" applyFont="1" applyFill="1" applyBorder="1" applyAlignment="1">
      <alignment horizontal="right"/>
    </xf>
    <xf numFmtId="0" fontId="16" fillId="5" borderId="3" xfId="3" quotePrefix="1" applyFont="1" applyFill="1" applyBorder="1" applyAlignment="1">
      <alignment horizontal="right"/>
    </xf>
    <xf numFmtId="0" fontId="16" fillId="5" borderId="4" xfId="3" quotePrefix="1" applyFont="1" applyFill="1" applyBorder="1" applyAlignment="1">
      <alignment horizontal="right"/>
    </xf>
    <xf numFmtId="0" fontId="16" fillId="6" borderId="3" xfId="3" applyFont="1" applyFill="1" applyBorder="1"/>
    <xf numFmtId="0" fontId="16" fillId="6" borderId="4" xfId="3" applyFont="1" applyFill="1" applyBorder="1"/>
    <xf numFmtId="0" fontId="23" fillId="0" borderId="17" xfId="3" applyFont="1" applyBorder="1"/>
    <xf numFmtId="0" fontId="16" fillId="3" borderId="17" xfId="3" applyFont="1" applyFill="1" applyBorder="1"/>
    <xf numFmtId="0" fontId="16" fillId="4" borderId="17" xfId="3" applyFont="1" applyFill="1" applyBorder="1"/>
    <xf numFmtId="0" fontId="16" fillId="5" borderId="17" xfId="3" applyFont="1" applyFill="1" applyBorder="1"/>
    <xf numFmtId="0" fontId="16" fillId="6" borderId="17" xfId="3" applyFont="1" applyFill="1" applyBorder="1"/>
    <xf numFmtId="0" fontId="16" fillId="3" borderId="0" xfId="3" applyFont="1" applyFill="1" applyBorder="1" applyAlignment="1">
      <alignment horizontal="right"/>
    </xf>
    <xf numFmtId="0" fontId="16" fillId="4" borderId="6" xfId="3" applyFont="1" applyFill="1" applyBorder="1" applyAlignment="1">
      <alignment horizontal="right"/>
    </xf>
    <xf numFmtId="0" fontId="16" fillId="5" borderId="0" xfId="3" applyFont="1" applyFill="1" applyBorder="1" applyAlignment="1">
      <alignment horizontal="right"/>
    </xf>
    <xf numFmtId="0" fontId="16" fillId="6" borderId="6" xfId="3" applyFont="1" applyFill="1" applyBorder="1" applyAlignment="1">
      <alignment horizontal="right"/>
    </xf>
    <xf numFmtId="0" fontId="16" fillId="5" borderId="6" xfId="3" quotePrefix="1" applyFont="1" applyFill="1" applyBorder="1" applyAlignment="1">
      <alignment horizontal="right"/>
    </xf>
    <xf numFmtId="0" fontId="16" fillId="5" borderId="7" xfId="3" quotePrefix="1" applyFont="1" applyFill="1" applyBorder="1" applyAlignment="1">
      <alignment horizontal="right"/>
    </xf>
    <xf numFmtId="0" fontId="16" fillId="6" borderId="7" xfId="3" applyFont="1" applyFill="1" applyBorder="1"/>
    <xf numFmtId="0" fontId="23" fillId="0" borderId="18" xfId="3" applyFont="1" applyBorder="1"/>
    <xf numFmtId="0" fontId="16" fillId="3" borderId="18" xfId="3" applyFont="1" applyFill="1" applyBorder="1"/>
    <xf numFmtId="0" fontId="16" fillId="4" borderId="18" xfId="3" applyFont="1" applyFill="1" applyBorder="1"/>
    <xf numFmtId="0" fontId="16" fillId="5" borderId="18" xfId="3" applyFont="1" applyFill="1" applyBorder="1"/>
    <xf numFmtId="0" fontId="16" fillId="6" borderId="18" xfId="3" applyFont="1" applyFill="1" applyBorder="1"/>
    <xf numFmtId="0" fontId="16" fillId="3" borderId="9" xfId="3" applyFont="1" applyFill="1" applyBorder="1" applyAlignment="1">
      <alignment horizontal="right"/>
    </xf>
    <xf numFmtId="0" fontId="16" fillId="3" borderId="9" xfId="3" applyFont="1" applyFill="1" applyBorder="1"/>
    <xf numFmtId="0" fontId="16" fillId="3" borderId="9" xfId="3" quotePrefix="1" applyFont="1" applyFill="1" applyBorder="1" applyAlignment="1">
      <alignment horizontal="right"/>
    </xf>
    <xf numFmtId="0" fontId="16" fillId="3" borderId="10" xfId="3" applyFont="1" applyFill="1" applyBorder="1"/>
    <xf numFmtId="0" fontId="16" fillId="4" borderId="8" xfId="3" applyFont="1" applyFill="1" applyBorder="1" applyAlignment="1">
      <alignment horizontal="right"/>
    </xf>
    <xf numFmtId="0" fontId="16" fillId="4" borderId="9" xfId="3" applyFont="1" applyFill="1" applyBorder="1"/>
    <xf numFmtId="0" fontId="16" fillId="4" borderId="9" xfId="3" quotePrefix="1" applyFont="1" applyFill="1" applyBorder="1" applyAlignment="1">
      <alignment horizontal="right"/>
    </xf>
    <xf numFmtId="0" fontId="16" fillId="4" borderId="10" xfId="3" applyFont="1" applyFill="1" applyBorder="1"/>
    <xf numFmtId="0" fontId="16" fillId="5" borderId="8" xfId="3" applyFont="1" applyFill="1" applyBorder="1" applyAlignment="1">
      <alignment horizontal="right"/>
    </xf>
    <xf numFmtId="0" fontId="16" fillId="5" borderId="9" xfId="3" applyFont="1" applyFill="1" applyBorder="1" applyAlignment="1">
      <alignment horizontal="right"/>
    </xf>
    <xf numFmtId="0" fontId="16" fillId="5" borderId="9" xfId="3" quotePrefix="1" applyFont="1" applyFill="1" applyBorder="1" applyAlignment="1">
      <alignment horizontal="right"/>
    </xf>
    <xf numFmtId="0" fontId="16" fillId="5" borderId="10" xfId="3" applyFont="1" applyFill="1" applyBorder="1"/>
    <xf numFmtId="0" fontId="16" fillId="6" borderId="8" xfId="3" applyFont="1" applyFill="1" applyBorder="1" applyAlignment="1">
      <alignment horizontal="right"/>
    </xf>
    <xf numFmtId="0" fontId="16" fillId="6" borderId="9" xfId="3" applyFont="1" applyFill="1" applyBorder="1"/>
    <xf numFmtId="0" fontId="16" fillId="6" borderId="9" xfId="3" quotePrefix="1" applyFont="1" applyFill="1" applyBorder="1" applyAlignment="1">
      <alignment horizontal="right"/>
    </xf>
    <xf numFmtId="0" fontId="16" fillId="3" borderId="8" xfId="3" applyFont="1" applyFill="1" applyBorder="1"/>
    <xf numFmtId="0" fontId="16" fillId="4" borderId="8" xfId="3" applyFont="1" applyFill="1" applyBorder="1"/>
    <xf numFmtId="0" fontId="16" fillId="5" borderId="8" xfId="3" quotePrefix="1" applyFont="1" applyFill="1" applyBorder="1" applyAlignment="1">
      <alignment horizontal="right"/>
    </xf>
    <xf numFmtId="0" fontId="16" fillId="5" borderId="10" xfId="3" quotePrefix="1" applyFont="1" applyFill="1" applyBorder="1" applyAlignment="1">
      <alignment horizontal="right"/>
    </xf>
    <xf numFmtId="0" fontId="16" fillId="6" borderId="10" xfId="3" applyFont="1" applyFill="1" applyBorder="1"/>
    <xf numFmtId="0" fontId="2" fillId="0" borderId="0" xfId="3" applyFont="1"/>
    <xf numFmtId="0" fontId="2" fillId="2" borderId="19" xfId="3" applyFont="1" applyFill="1" applyBorder="1" applyAlignment="1">
      <alignment horizontal="center"/>
    </xf>
    <xf numFmtId="0" fontId="2" fillId="2" borderId="20" xfId="3" applyFont="1" applyFill="1" applyBorder="1" applyAlignment="1">
      <alignment horizontal="center"/>
    </xf>
    <xf numFmtId="0" fontId="1" fillId="3" borderId="21" xfId="3" applyFont="1" applyFill="1" applyBorder="1"/>
    <xf numFmtId="0" fontId="1" fillId="3" borderId="22" xfId="3" applyFont="1" applyFill="1" applyBorder="1"/>
    <xf numFmtId="0" fontId="37" fillId="3" borderId="22" xfId="3" quotePrefix="1" applyFont="1" applyFill="1" applyBorder="1" applyAlignment="1">
      <alignment horizontal="center"/>
    </xf>
    <xf numFmtId="0" fontId="1" fillId="3" borderId="23" xfId="3" applyFont="1" applyFill="1" applyBorder="1"/>
    <xf numFmtId="0" fontId="1" fillId="4" borderId="0" xfId="3" applyFont="1" applyFill="1" applyAlignment="1">
      <alignment horizontal="left"/>
    </xf>
    <xf numFmtId="166" fontId="15" fillId="7" borderId="1" xfId="3" applyNumberFormat="1" applyFont="1" applyFill="1" applyBorder="1" applyProtection="1">
      <protection locked="0"/>
    </xf>
    <xf numFmtId="0" fontId="15" fillId="7" borderId="1" xfId="3" applyFont="1" applyFill="1" applyBorder="1" applyProtection="1">
      <protection locked="0"/>
    </xf>
    <xf numFmtId="0" fontId="15" fillId="7" borderId="1" xfId="3" applyFont="1" applyFill="1" applyBorder="1" applyAlignment="1" applyProtection="1">
      <alignment horizontal="right"/>
      <protection locked="0"/>
    </xf>
    <xf numFmtId="0" fontId="15" fillId="7" borderId="19" xfId="3" applyFont="1" applyFill="1" applyBorder="1" applyProtection="1">
      <protection locked="0"/>
    </xf>
    <xf numFmtId="0" fontId="15" fillId="7" borderId="24" xfId="3" applyFont="1" applyFill="1" applyBorder="1" applyProtection="1">
      <protection locked="0"/>
    </xf>
    <xf numFmtId="0" fontId="15" fillId="7" borderId="20" xfId="3" applyFont="1" applyFill="1" applyBorder="1" applyProtection="1">
      <protection locked="0"/>
    </xf>
    <xf numFmtId="0" fontId="10" fillId="0" borderId="0" xfId="3" applyFont="1" applyProtection="1"/>
    <xf numFmtId="0" fontId="1" fillId="0" borderId="0" xfId="3" applyFont="1" applyProtection="1"/>
    <xf numFmtId="0" fontId="1" fillId="0" borderId="0" xfId="3" applyProtection="1"/>
    <xf numFmtId="0" fontId="1" fillId="3" borderId="0" xfId="3" applyFont="1" applyFill="1" applyProtection="1"/>
    <xf numFmtId="0" fontId="1" fillId="4" borderId="0" xfId="3" applyFill="1" applyProtection="1"/>
    <xf numFmtId="0" fontId="1" fillId="5" borderId="0" xfId="3" applyFill="1" applyProtection="1"/>
    <xf numFmtId="0" fontId="1" fillId="6" borderId="0" xfId="3" applyFill="1" applyProtection="1"/>
    <xf numFmtId="0" fontId="1" fillId="0" borderId="0" xfId="3" applyFill="1" applyProtection="1"/>
    <xf numFmtId="0" fontId="30" fillId="8" borderId="25" xfId="0" applyFont="1" applyFill="1" applyBorder="1" applyAlignment="1" applyProtection="1">
      <alignment horizontal="center"/>
    </xf>
    <xf numFmtId="0" fontId="1" fillId="0" borderId="0" xfId="0" applyFont="1" applyProtection="1"/>
    <xf numFmtId="0" fontId="31" fillId="0" borderId="0" xfId="0" applyFont="1" applyProtection="1"/>
    <xf numFmtId="0" fontId="12" fillId="3" borderId="0" xfId="3" quotePrefix="1" applyFont="1" applyFill="1" applyAlignment="1" applyProtection="1">
      <alignment horizontal="left"/>
    </xf>
    <xf numFmtId="0" fontId="1" fillId="3" borderId="0" xfId="3" applyFill="1" applyProtection="1"/>
    <xf numFmtId="0" fontId="12" fillId="4" borderId="0" xfId="3" quotePrefix="1" applyFont="1" applyFill="1" applyAlignment="1" applyProtection="1">
      <alignment horizontal="left"/>
    </xf>
    <xf numFmtId="0" fontId="12" fillId="5" borderId="0" xfId="3" quotePrefix="1" applyFont="1" applyFill="1" applyAlignment="1" applyProtection="1">
      <alignment horizontal="left"/>
    </xf>
    <xf numFmtId="0" fontId="12" fillId="6" borderId="0" xfId="3" quotePrefix="1" applyFont="1" applyFill="1" applyAlignment="1" applyProtection="1">
      <alignment horizontal="left"/>
    </xf>
    <xf numFmtId="0" fontId="1" fillId="6" borderId="0" xfId="3" applyFont="1" applyFill="1" applyProtection="1"/>
    <xf numFmtId="0" fontId="1" fillId="0" borderId="0" xfId="3" applyFont="1" applyFill="1" applyProtection="1"/>
    <xf numFmtId="0" fontId="1" fillId="4" borderId="0" xfId="3" applyFont="1" applyFill="1" applyProtection="1"/>
    <xf numFmtId="0" fontId="1" fillId="5" borderId="0" xfId="3" applyFont="1" applyFill="1" applyProtection="1"/>
    <xf numFmtId="0" fontId="1" fillId="0" borderId="0" xfId="3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26" xfId="3" quotePrefix="1" applyFont="1" applyBorder="1" applyAlignment="1" applyProtection="1">
      <alignment horizontal="center"/>
    </xf>
    <xf numFmtId="0" fontId="2" fillId="0" borderId="1" xfId="3" quotePrefix="1" applyFont="1" applyBorder="1" applyAlignment="1" applyProtection="1">
      <alignment horizontal="center"/>
    </xf>
    <xf numFmtId="0" fontId="13" fillId="0" borderId="0" xfId="3" quotePrefix="1" applyFont="1" applyAlignment="1" applyProtection="1">
      <alignment horizontal="left"/>
    </xf>
    <xf numFmtId="0" fontId="14" fillId="3" borderId="0" xfId="3" applyFont="1" applyFill="1" applyProtection="1"/>
    <xf numFmtId="0" fontId="1" fillId="4" borderId="0" xfId="3" quotePrefix="1" applyFont="1" applyFill="1" applyAlignment="1" applyProtection="1">
      <alignment horizontal="center"/>
    </xf>
    <xf numFmtId="0" fontId="14" fillId="4" borderId="0" xfId="3" applyFont="1" applyFill="1" applyProtection="1"/>
    <xf numFmtId="0" fontId="1" fillId="5" borderId="0" xfId="3" quotePrefix="1" applyFont="1" applyFill="1" applyAlignment="1" applyProtection="1">
      <alignment horizontal="center"/>
    </xf>
    <xf numFmtId="0" fontId="14" fillId="5" borderId="0" xfId="3" applyFont="1" applyFill="1" applyProtection="1"/>
    <xf numFmtId="0" fontId="1" fillId="6" borderId="0" xfId="3" quotePrefix="1" applyFont="1" applyFill="1" applyAlignment="1" applyProtection="1">
      <alignment horizontal="center"/>
    </xf>
    <xf numFmtId="0" fontId="14" fillId="6" borderId="0" xfId="3" applyFont="1" applyFill="1" applyProtection="1"/>
    <xf numFmtId="0" fontId="14" fillId="0" borderId="27" xfId="3" applyFont="1" applyBorder="1" applyAlignment="1" applyProtection="1">
      <alignment horizontal="center"/>
    </xf>
    <xf numFmtId="164" fontId="15" fillId="5" borderId="19" xfId="0" applyNumberFormat="1" applyFont="1" applyFill="1" applyBorder="1" applyProtection="1"/>
    <xf numFmtId="2" fontId="15" fillId="5" borderId="28" xfId="0" applyNumberFormat="1" applyFont="1" applyFill="1" applyBorder="1" applyProtection="1"/>
    <xf numFmtId="164" fontId="1" fillId="0" borderId="0" xfId="3" applyNumberFormat="1" applyFont="1" applyProtection="1"/>
    <xf numFmtId="0" fontId="14" fillId="3" borderId="27" xfId="3" applyFont="1" applyFill="1" applyBorder="1" applyProtection="1"/>
    <xf numFmtId="0" fontId="14" fillId="3" borderId="29" xfId="3" applyFont="1" applyFill="1" applyBorder="1" applyProtection="1"/>
    <xf numFmtId="0" fontId="14" fillId="4" borderId="30" xfId="3" applyFont="1" applyFill="1" applyBorder="1" applyProtection="1"/>
    <xf numFmtId="0" fontId="14" fillId="4" borderId="27" xfId="3" applyFont="1" applyFill="1" applyBorder="1" applyProtection="1"/>
    <xf numFmtId="0" fontId="14" fillId="4" borderId="31" xfId="3" applyFont="1" applyFill="1" applyBorder="1" applyProtection="1"/>
    <xf numFmtId="0" fontId="14" fillId="4" borderId="29" xfId="3" applyFont="1" applyFill="1" applyBorder="1" applyProtection="1"/>
    <xf numFmtId="0" fontId="14" fillId="5" borderId="30" xfId="3" applyFont="1" applyFill="1" applyBorder="1" applyProtection="1"/>
    <xf numFmtId="0" fontId="14" fillId="5" borderId="27" xfId="3" applyFont="1" applyFill="1" applyBorder="1" applyProtection="1"/>
    <xf numFmtId="0" fontId="14" fillId="5" borderId="31" xfId="3" applyFont="1" applyFill="1" applyBorder="1" applyProtection="1"/>
    <xf numFmtId="0" fontId="14" fillId="5" borderId="29" xfId="3" applyFont="1" applyFill="1" applyBorder="1" applyProtection="1"/>
    <xf numFmtId="0" fontId="14" fillId="6" borderId="30" xfId="3" applyFont="1" applyFill="1" applyBorder="1" applyProtection="1"/>
    <xf numFmtId="0" fontId="14" fillId="6" borderId="27" xfId="3" applyFont="1" applyFill="1" applyBorder="1" applyProtection="1"/>
    <xf numFmtId="0" fontId="14" fillId="6" borderId="31" xfId="3" applyFont="1" applyFill="1" applyBorder="1" applyProtection="1"/>
    <xf numFmtId="0" fontId="14" fillId="6" borderId="29" xfId="3" applyFont="1" applyFill="1" applyBorder="1" applyProtection="1"/>
    <xf numFmtId="0" fontId="14" fillId="0" borderId="32" xfId="3" applyFont="1" applyBorder="1" applyAlignment="1" applyProtection="1">
      <alignment horizontal="center"/>
    </xf>
    <xf numFmtId="164" fontId="15" fillId="5" borderId="24" xfId="0" applyNumberFormat="1" applyFont="1" applyFill="1" applyBorder="1" applyProtection="1"/>
    <xf numFmtId="2" fontId="15" fillId="5" borderId="33" xfId="0" applyNumberFormat="1" applyFont="1" applyFill="1" applyBorder="1" applyProtection="1"/>
    <xf numFmtId="0" fontId="16" fillId="0" borderId="34" xfId="3" applyFont="1" applyBorder="1" applyProtection="1"/>
    <xf numFmtId="0" fontId="1" fillId="0" borderId="35" xfId="3" applyBorder="1" applyProtection="1"/>
    <xf numFmtId="0" fontId="1" fillId="0" borderId="36" xfId="3" applyBorder="1" applyProtection="1"/>
    <xf numFmtId="0" fontId="14" fillId="3" borderId="37" xfId="3" applyFont="1" applyFill="1" applyBorder="1" applyProtection="1"/>
    <xf numFmtId="0" fontId="14" fillId="3" borderId="38" xfId="3" applyFont="1" applyFill="1" applyBorder="1" applyProtection="1"/>
    <xf numFmtId="0" fontId="14" fillId="4" borderId="39" xfId="3" applyFont="1" applyFill="1" applyBorder="1" applyProtection="1"/>
    <xf numFmtId="0" fontId="17" fillId="4" borderId="0" xfId="3" applyFont="1" applyFill="1" applyProtection="1"/>
    <xf numFmtId="0" fontId="14" fillId="4" borderId="32" xfId="3" applyFont="1" applyFill="1" applyBorder="1" applyProtection="1"/>
    <xf numFmtId="0" fontId="14" fillId="4" borderId="0" xfId="3" applyFont="1" applyFill="1" applyBorder="1" applyProtection="1"/>
    <xf numFmtId="0" fontId="14" fillId="4" borderId="40" xfId="3" applyFont="1" applyFill="1" applyBorder="1" applyProtection="1"/>
    <xf numFmtId="0" fontId="14" fillId="5" borderId="39" xfId="3" applyFont="1" applyFill="1" applyBorder="1" applyProtection="1"/>
    <xf numFmtId="0" fontId="14" fillId="5" borderId="32" xfId="3" applyFont="1" applyFill="1" applyBorder="1" applyProtection="1"/>
    <xf numFmtId="0" fontId="14" fillId="5" borderId="0" xfId="3" applyFont="1" applyFill="1" applyBorder="1" applyProtection="1"/>
    <xf numFmtId="0" fontId="14" fillId="5" borderId="40" xfId="3" applyFont="1" applyFill="1" applyBorder="1" applyProtection="1"/>
    <xf numFmtId="0" fontId="14" fillId="6" borderId="39" xfId="3" applyFont="1" applyFill="1" applyBorder="1" applyProtection="1"/>
    <xf numFmtId="0" fontId="14" fillId="6" borderId="32" xfId="3" applyFont="1" applyFill="1" applyBorder="1" applyProtection="1"/>
    <xf numFmtId="0" fontId="14" fillId="6" borderId="0" xfId="3" applyFont="1" applyFill="1" applyBorder="1" applyProtection="1"/>
    <xf numFmtId="0" fontId="14" fillId="6" borderId="40" xfId="3" applyFont="1" applyFill="1" applyBorder="1" applyProtection="1"/>
    <xf numFmtId="0" fontId="14" fillId="4" borderId="37" xfId="3" applyFont="1" applyFill="1" applyBorder="1" applyProtection="1"/>
    <xf numFmtId="0" fontId="14" fillId="4" borderId="41" xfId="3" applyFont="1" applyFill="1" applyBorder="1" applyProtection="1"/>
    <xf numFmtId="0" fontId="14" fillId="4" borderId="38" xfId="3" applyFont="1" applyFill="1" applyBorder="1" applyProtection="1"/>
    <xf numFmtId="0" fontId="18" fillId="5" borderId="21" xfId="3" applyFont="1" applyFill="1" applyBorder="1" applyProtection="1"/>
    <xf numFmtId="0" fontId="15" fillId="5" borderId="22" xfId="3" applyFont="1" applyFill="1" applyBorder="1" applyProtection="1"/>
    <xf numFmtId="0" fontId="15" fillId="5" borderId="23" xfId="3" applyFont="1" applyFill="1" applyBorder="1" applyProtection="1"/>
    <xf numFmtId="0" fontId="1" fillId="3" borderId="0" xfId="3" applyFont="1" applyFill="1" applyAlignment="1" applyProtection="1">
      <alignment horizontal="left"/>
    </xf>
    <xf numFmtId="0" fontId="14" fillId="4" borderId="39" xfId="3" quotePrefix="1" applyFont="1" applyFill="1" applyBorder="1" applyAlignment="1" applyProtection="1">
      <alignment horizontal="right"/>
    </xf>
    <xf numFmtId="0" fontId="14" fillId="5" borderId="39" xfId="3" quotePrefix="1" applyFont="1" applyFill="1" applyBorder="1" applyAlignment="1" applyProtection="1">
      <alignment horizontal="right"/>
    </xf>
    <xf numFmtId="0" fontId="14" fillId="5" borderId="37" xfId="3" applyFont="1" applyFill="1" applyBorder="1" applyProtection="1"/>
    <xf numFmtId="0" fontId="14" fillId="5" borderId="41" xfId="3" applyFont="1" applyFill="1" applyBorder="1" applyProtection="1"/>
    <xf numFmtId="0" fontId="14" fillId="5" borderId="38" xfId="3" applyFont="1" applyFill="1" applyBorder="1" applyProtection="1"/>
    <xf numFmtId="0" fontId="14" fillId="6" borderId="39" xfId="3" quotePrefix="1" applyFont="1" applyFill="1" applyBorder="1" applyAlignment="1" applyProtection="1">
      <alignment horizontal="right"/>
    </xf>
    <xf numFmtId="0" fontId="14" fillId="3" borderId="26" xfId="3" applyFont="1" applyFill="1" applyBorder="1" applyProtection="1"/>
    <xf numFmtId="0" fontId="14" fillId="6" borderId="37" xfId="3" applyFont="1" applyFill="1" applyBorder="1" applyProtection="1"/>
    <xf numFmtId="0" fontId="14" fillId="6" borderId="41" xfId="3" applyFont="1" applyFill="1" applyBorder="1" applyProtection="1"/>
    <xf numFmtId="0" fontId="14" fillId="6" borderId="38" xfId="3" applyFont="1" applyFill="1" applyBorder="1" applyProtection="1"/>
    <xf numFmtId="164" fontId="15" fillId="5" borderId="33" xfId="0" applyNumberFormat="1" applyFont="1" applyFill="1" applyBorder="1" applyProtection="1"/>
    <xf numFmtId="0" fontId="14" fillId="4" borderId="26" xfId="3" applyFont="1" applyFill="1" applyBorder="1" applyProtection="1"/>
    <xf numFmtId="0" fontId="14" fillId="5" borderId="26" xfId="3" applyFont="1" applyFill="1" applyBorder="1" applyProtection="1"/>
    <xf numFmtId="164" fontId="15" fillId="5" borderId="24" xfId="3" applyNumberFormat="1" applyFont="1" applyFill="1" applyBorder="1" applyProtection="1"/>
    <xf numFmtId="164" fontId="15" fillId="5" borderId="33" xfId="3" applyNumberFormat="1" applyFont="1" applyFill="1" applyBorder="1" applyProtection="1"/>
    <xf numFmtId="0" fontId="14" fillId="6" borderId="27" xfId="3" quotePrefix="1" applyFont="1" applyFill="1" applyBorder="1" applyAlignment="1" applyProtection="1">
      <alignment horizontal="right"/>
    </xf>
    <xf numFmtId="0" fontId="14" fillId="5" borderId="27" xfId="3" quotePrefix="1" applyFont="1" applyFill="1" applyBorder="1" applyAlignment="1" applyProtection="1">
      <alignment horizontal="left"/>
    </xf>
    <xf numFmtId="0" fontId="1" fillId="3" borderId="0" xfId="3" quotePrefix="1" applyFont="1" applyFill="1" applyAlignment="1" applyProtection="1">
      <alignment horizontal="left"/>
    </xf>
    <xf numFmtId="0" fontId="14" fillId="3" borderId="30" xfId="3" applyFont="1" applyFill="1" applyBorder="1" applyProtection="1"/>
    <xf numFmtId="0" fontId="14" fillId="3" borderId="42" xfId="3" applyFont="1" applyFill="1" applyBorder="1" applyProtection="1"/>
    <xf numFmtId="0" fontId="17" fillId="3" borderId="0" xfId="3" applyFont="1" applyFill="1" applyProtection="1"/>
    <xf numFmtId="0" fontId="14" fillId="3" borderId="34" xfId="3" applyFont="1" applyFill="1" applyBorder="1" applyProtection="1"/>
    <xf numFmtId="0" fontId="14" fillId="3" borderId="36" xfId="3" applyFont="1" applyFill="1" applyBorder="1" applyProtection="1"/>
    <xf numFmtId="0" fontId="14" fillId="4" borderId="42" xfId="3" applyFont="1" applyFill="1" applyBorder="1" applyProtection="1"/>
    <xf numFmtId="0" fontId="14" fillId="5" borderId="42" xfId="3" applyFont="1" applyFill="1" applyBorder="1" applyProtection="1"/>
    <xf numFmtId="0" fontId="14" fillId="4" borderId="34" xfId="3" applyFont="1" applyFill="1" applyBorder="1" applyProtection="1"/>
    <xf numFmtId="0" fontId="14" fillId="4" borderId="35" xfId="3" applyFont="1" applyFill="1" applyBorder="1" applyProtection="1"/>
    <xf numFmtId="0" fontId="14" fillId="4" borderId="36" xfId="3" applyFont="1" applyFill="1" applyBorder="1" applyProtection="1"/>
    <xf numFmtId="0" fontId="1" fillId="5" borderId="0" xfId="3" quotePrefix="1" applyFill="1" applyAlignment="1" applyProtection="1">
      <alignment horizontal="right"/>
    </xf>
    <xf numFmtId="0" fontId="14" fillId="6" borderId="42" xfId="3" applyFont="1" applyFill="1" applyBorder="1" applyProtection="1"/>
    <xf numFmtId="0" fontId="14" fillId="5" borderId="0" xfId="3" quotePrefix="1" applyFont="1" applyFill="1" applyAlignment="1" applyProtection="1">
      <alignment horizontal="right"/>
    </xf>
    <xf numFmtId="0" fontId="14" fillId="6" borderId="0" xfId="3" quotePrefix="1" applyFont="1" applyFill="1" applyAlignment="1" applyProtection="1">
      <alignment horizontal="right"/>
    </xf>
    <xf numFmtId="0" fontId="14" fillId="3" borderId="26" xfId="3" applyFont="1" applyFill="1" applyBorder="1" applyAlignment="1" applyProtection="1">
      <alignment horizontal="center"/>
    </xf>
    <xf numFmtId="0" fontId="14" fillId="4" borderId="26" xfId="3" quotePrefix="1" applyFont="1" applyFill="1" applyBorder="1" applyAlignment="1" applyProtection="1">
      <alignment horizontal="left"/>
    </xf>
    <xf numFmtId="0" fontId="14" fillId="5" borderId="26" xfId="3" quotePrefix="1" applyFont="1" applyFill="1" applyBorder="1" applyAlignment="1" applyProtection="1">
      <alignment horizontal="left"/>
    </xf>
    <xf numFmtId="0" fontId="14" fillId="6" borderId="26" xfId="3" quotePrefix="1" applyFont="1" applyFill="1" applyBorder="1" applyAlignment="1" applyProtection="1">
      <alignment horizontal="left"/>
    </xf>
    <xf numFmtId="0" fontId="14" fillId="5" borderId="0" xfId="3" quotePrefix="1" applyFont="1" applyFill="1" applyAlignment="1" applyProtection="1">
      <alignment horizontal="left"/>
    </xf>
    <xf numFmtId="0" fontId="14" fillId="6" borderId="0" xfId="3" quotePrefix="1" applyFont="1" applyFill="1" applyAlignment="1" applyProtection="1">
      <alignment horizontal="left"/>
    </xf>
    <xf numFmtId="0" fontId="14" fillId="6" borderId="26" xfId="3" applyFont="1" applyFill="1" applyBorder="1" applyProtection="1"/>
    <xf numFmtId="0" fontId="14" fillId="5" borderId="34" xfId="3" applyFont="1" applyFill="1" applyBorder="1" applyProtection="1"/>
    <xf numFmtId="0" fontId="14" fillId="5" borderId="35" xfId="3" applyFont="1" applyFill="1" applyBorder="1" applyProtection="1"/>
    <xf numFmtId="0" fontId="14" fillId="5" borderId="36" xfId="3" applyFont="1" applyFill="1" applyBorder="1" applyProtection="1"/>
    <xf numFmtId="0" fontId="14" fillId="6" borderId="34" xfId="3" applyFont="1" applyFill="1" applyBorder="1" applyProtection="1"/>
    <xf numFmtId="0" fontId="14" fillId="6" borderId="35" xfId="3" applyFont="1" applyFill="1" applyBorder="1" applyProtection="1"/>
    <xf numFmtId="0" fontId="14" fillId="6" borderId="36" xfId="3" applyFont="1" applyFill="1" applyBorder="1" applyProtection="1"/>
    <xf numFmtId="0" fontId="1" fillId="3" borderId="0" xfId="3" quotePrefix="1" applyFont="1" applyFill="1" applyAlignment="1" applyProtection="1">
      <alignment horizontal="center"/>
    </xf>
    <xf numFmtId="0" fontId="1" fillId="4" borderId="0" xfId="3" quotePrefix="1" applyFont="1" applyFill="1" applyAlignment="1" applyProtection="1">
      <alignment horizontal="left"/>
    </xf>
    <xf numFmtId="0" fontId="1" fillId="5" borderId="0" xfId="3" quotePrefix="1" applyFont="1" applyFill="1" applyAlignment="1" applyProtection="1">
      <alignment horizontal="left"/>
    </xf>
    <xf numFmtId="0" fontId="1" fillId="6" borderId="0" xfId="3" quotePrefix="1" applyFont="1" applyFill="1" applyAlignment="1" applyProtection="1">
      <alignment horizontal="left"/>
    </xf>
    <xf numFmtId="0" fontId="15" fillId="5" borderId="24" xfId="3" applyFont="1" applyFill="1" applyBorder="1" applyProtection="1"/>
    <xf numFmtId="0" fontId="15" fillId="5" borderId="33" xfId="3" applyFont="1" applyFill="1" applyBorder="1" applyProtection="1"/>
    <xf numFmtId="0" fontId="14" fillId="4" borderId="26" xfId="3" applyFont="1" applyFill="1" applyBorder="1" applyAlignment="1" applyProtection="1">
      <alignment horizontal="center"/>
    </xf>
    <xf numFmtId="0" fontId="14" fillId="5" borderId="26" xfId="3" applyFont="1" applyFill="1" applyBorder="1" applyAlignment="1" applyProtection="1">
      <alignment horizontal="center"/>
    </xf>
    <xf numFmtId="0" fontId="14" fillId="6" borderId="26" xfId="3" applyFont="1" applyFill="1" applyBorder="1" applyAlignment="1" applyProtection="1">
      <alignment horizontal="center"/>
    </xf>
    <xf numFmtId="0" fontId="14" fillId="0" borderId="37" xfId="3" applyFont="1" applyBorder="1" applyAlignment="1" applyProtection="1">
      <alignment horizontal="center"/>
    </xf>
    <xf numFmtId="0" fontId="15" fillId="5" borderId="20" xfId="3" applyFont="1" applyFill="1" applyBorder="1" applyProtection="1"/>
    <xf numFmtId="0" fontId="15" fillId="5" borderId="43" xfId="3" applyFont="1" applyFill="1" applyBorder="1" applyProtection="1"/>
    <xf numFmtId="0" fontId="11" fillId="5" borderId="25" xfId="3" quotePrefix="1" applyFont="1" applyFill="1" applyBorder="1" applyAlignment="1" applyProtection="1">
      <alignment horizontal="center"/>
    </xf>
    <xf numFmtId="0" fontId="9" fillId="0" borderId="0" xfId="3" applyFont="1" applyBorder="1" applyProtection="1"/>
    <xf numFmtId="0" fontId="1" fillId="0" borderId="0" xfId="3" quotePrefix="1" applyFont="1" applyAlignment="1" applyProtection="1">
      <alignment horizontal="left"/>
    </xf>
    <xf numFmtId="0" fontId="1" fillId="3" borderId="11" xfId="3" applyFont="1" applyFill="1" applyBorder="1" applyProtection="1"/>
    <xf numFmtId="0" fontId="1" fillId="3" borderId="12" xfId="3" applyFont="1" applyFill="1" applyBorder="1" applyProtection="1"/>
    <xf numFmtId="0" fontId="1" fillId="3" borderId="16" xfId="3" applyFont="1" applyFill="1" applyBorder="1" applyAlignment="1" applyProtection="1">
      <alignment horizontal="left"/>
    </xf>
    <xf numFmtId="0" fontId="1" fillId="3" borderId="4" xfId="3" applyFont="1" applyFill="1" applyBorder="1" applyAlignment="1" applyProtection="1">
      <alignment horizontal="center"/>
    </xf>
    <xf numFmtId="0" fontId="13" fillId="3" borderId="6" xfId="3" applyFont="1" applyFill="1" applyBorder="1" applyProtection="1"/>
    <xf numFmtId="0" fontId="13" fillId="3" borderId="0" xfId="3" quotePrefix="1" applyFont="1" applyFill="1" applyBorder="1" applyAlignment="1" applyProtection="1">
      <alignment horizontal="center"/>
    </xf>
    <xf numFmtId="0" fontId="13" fillId="3" borderId="17" xfId="3" applyFont="1" applyFill="1" applyBorder="1" applyAlignment="1" applyProtection="1">
      <alignment horizontal="center"/>
    </xf>
    <xf numFmtId="0" fontId="13" fillId="3" borderId="7" xfId="3" applyFont="1" applyFill="1" applyBorder="1" applyAlignment="1" applyProtection="1">
      <alignment horizontal="center"/>
    </xf>
    <xf numFmtId="0" fontId="5" fillId="3" borderId="6" xfId="3" quotePrefix="1" applyFont="1" applyFill="1" applyBorder="1" applyAlignment="1" applyProtection="1">
      <alignment horizontal="right"/>
    </xf>
    <xf numFmtId="164" fontId="14" fillId="3" borderId="0" xfId="3" applyNumberFormat="1" applyFont="1" applyFill="1" applyBorder="1" applyProtection="1"/>
    <xf numFmtId="164" fontId="14" fillId="3" borderId="17" xfId="3" applyNumberFormat="1" applyFont="1" applyFill="1" applyBorder="1" applyProtection="1"/>
    <xf numFmtId="164" fontId="14" fillId="3" borderId="7" xfId="3" applyNumberFormat="1" applyFont="1" applyFill="1" applyBorder="1" applyProtection="1"/>
    <xf numFmtId="0" fontId="5" fillId="3" borderId="8" xfId="3" quotePrefix="1" applyFont="1" applyFill="1" applyBorder="1" applyAlignment="1" applyProtection="1">
      <alignment horizontal="right"/>
    </xf>
    <xf numFmtId="164" fontId="14" fillId="3" borderId="9" xfId="3" applyNumberFormat="1" applyFont="1" applyFill="1" applyBorder="1" applyProtection="1"/>
    <xf numFmtId="164" fontId="14" fillId="3" borderId="18" xfId="3" applyNumberFormat="1" applyFont="1" applyFill="1" applyBorder="1" applyProtection="1"/>
    <xf numFmtId="164" fontId="14" fillId="3" borderId="10" xfId="3" applyNumberFormat="1" applyFont="1" applyFill="1" applyBorder="1" applyProtection="1"/>
    <xf numFmtId="0" fontId="5" fillId="3" borderId="2" xfId="3" quotePrefix="1" applyFont="1" applyFill="1" applyBorder="1" applyAlignment="1" applyProtection="1">
      <alignment horizontal="right"/>
    </xf>
    <xf numFmtId="0" fontId="14" fillId="3" borderId="4" xfId="3" applyFont="1" applyFill="1" applyBorder="1" applyProtection="1"/>
    <xf numFmtId="0" fontId="1" fillId="4" borderId="11" xfId="3" applyFont="1" applyFill="1" applyBorder="1" applyProtection="1"/>
    <xf numFmtId="0" fontId="1" fillId="4" borderId="12" xfId="3" applyFont="1" applyFill="1" applyBorder="1" applyProtection="1"/>
    <xf numFmtId="0" fontId="1" fillId="4" borderId="2" xfId="3" applyFont="1" applyFill="1" applyBorder="1" applyAlignment="1" applyProtection="1">
      <alignment horizontal="left"/>
    </xf>
    <xf numFmtId="0" fontId="1" fillId="4" borderId="4" xfId="3" applyFont="1" applyFill="1" applyBorder="1" applyProtection="1"/>
    <xf numFmtId="0" fontId="13" fillId="4" borderId="6" xfId="3" applyFont="1" applyFill="1" applyBorder="1" applyProtection="1"/>
    <xf numFmtId="0" fontId="13" fillId="4" borderId="0" xfId="3" quotePrefix="1" applyFont="1" applyFill="1" applyBorder="1" applyAlignment="1" applyProtection="1">
      <alignment horizontal="center"/>
    </xf>
    <xf numFmtId="0" fontId="13" fillId="4" borderId="17" xfId="3" applyFont="1" applyFill="1" applyBorder="1" applyAlignment="1" applyProtection="1">
      <alignment horizontal="center"/>
    </xf>
    <xf numFmtId="0" fontId="13" fillId="4" borderId="7" xfId="3" applyFont="1" applyFill="1" applyBorder="1" applyAlignment="1" applyProtection="1">
      <alignment horizontal="center"/>
    </xf>
    <xf numFmtId="0" fontId="5" fillId="4" borderId="6" xfId="3" quotePrefix="1" applyFont="1" applyFill="1" applyBorder="1" applyAlignment="1" applyProtection="1">
      <alignment horizontal="right"/>
    </xf>
    <xf numFmtId="164" fontId="14" fillId="4" borderId="0" xfId="3" applyNumberFormat="1" applyFont="1" applyFill="1" applyBorder="1" applyProtection="1"/>
    <xf numFmtId="164" fontId="14" fillId="4" borderId="17" xfId="3" applyNumberFormat="1" applyFont="1" applyFill="1" applyBorder="1" applyProtection="1"/>
    <xf numFmtId="164" fontId="14" fillId="4" borderId="7" xfId="3" applyNumberFormat="1" applyFont="1" applyFill="1" applyBorder="1" applyProtection="1"/>
    <xf numFmtId="0" fontId="5" fillId="4" borderId="8" xfId="3" quotePrefix="1" applyFont="1" applyFill="1" applyBorder="1" applyAlignment="1" applyProtection="1">
      <alignment horizontal="right"/>
    </xf>
    <xf numFmtId="164" fontId="14" fillId="4" borderId="9" xfId="3" applyNumberFormat="1" applyFont="1" applyFill="1" applyBorder="1" applyProtection="1"/>
    <xf numFmtId="164" fontId="14" fillId="4" borderId="18" xfId="3" applyNumberFormat="1" applyFont="1" applyFill="1" applyBorder="1" applyProtection="1"/>
    <xf numFmtId="164" fontId="14" fillId="4" borderId="10" xfId="3" applyNumberFormat="1" applyFont="1" applyFill="1" applyBorder="1" applyProtection="1"/>
    <xf numFmtId="0" fontId="5" fillId="4" borderId="2" xfId="3" quotePrefix="1" applyFont="1" applyFill="1" applyBorder="1" applyAlignment="1" applyProtection="1">
      <alignment horizontal="right"/>
    </xf>
    <xf numFmtId="0" fontId="14" fillId="4" borderId="4" xfId="3" applyFont="1" applyFill="1" applyBorder="1" applyProtection="1"/>
    <xf numFmtId="0" fontId="1" fillId="0" borderId="0" xfId="3" quotePrefix="1" applyFont="1" applyAlignment="1" applyProtection="1">
      <alignment horizontal="right"/>
    </xf>
    <xf numFmtId="2" fontId="14" fillId="0" borderId="0" xfId="3" applyNumberFormat="1" applyFont="1" applyProtection="1"/>
    <xf numFmtId="164" fontId="14" fillId="0" borderId="0" xfId="3" applyNumberFormat="1" applyFont="1" applyProtection="1"/>
    <xf numFmtId="0" fontId="14" fillId="0" borderId="0" xfId="3" quotePrefix="1" applyFont="1" applyAlignment="1" applyProtection="1">
      <alignment horizontal="left"/>
    </xf>
    <xf numFmtId="0" fontId="1" fillId="5" borderId="11" xfId="3" quotePrefix="1" applyFont="1" applyFill="1" applyBorder="1" applyAlignment="1" applyProtection="1">
      <alignment horizontal="left"/>
    </xf>
    <xf numFmtId="0" fontId="1" fillId="5" borderId="12" xfId="3" applyFont="1" applyFill="1" applyBorder="1" applyProtection="1"/>
    <xf numFmtId="0" fontId="1" fillId="5" borderId="16" xfId="3" applyFont="1" applyFill="1" applyBorder="1" applyAlignment="1" applyProtection="1">
      <alignment horizontal="left"/>
    </xf>
    <xf numFmtId="0" fontId="1" fillId="5" borderId="4" xfId="3" applyFont="1" applyFill="1" applyBorder="1" applyAlignment="1" applyProtection="1">
      <alignment horizontal="center"/>
    </xf>
    <xf numFmtId="0" fontId="13" fillId="5" borderId="6" xfId="3" applyFont="1" applyFill="1" applyBorder="1" applyProtection="1"/>
    <xf numFmtId="0" fontId="13" fillId="5" borderId="0" xfId="3" quotePrefix="1" applyFont="1" applyFill="1" applyBorder="1" applyAlignment="1" applyProtection="1">
      <alignment horizontal="center"/>
    </xf>
    <xf numFmtId="0" fontId="13" fillId="5" borderId="17" xfId="3" applyFont="1" applyFill="1" applyBorder="1" applyAlignment="1" applyProtection="1">
      <alignment horizontal="center"/>
    </xf>
    <xf numFmtId="0" fontId="13" fillId="5" borderId="7" xfId="3" applyFont="1" applyFill="1" applyBorder="1" applyAlignment="1" applyProtection="1">
      <alignment horizontal="center"/>
    </xf>
    <xf numFmtId="0" fontId="5" fillId="5" borderId="6" xfId="3" quotePrefix="1" applyFont="1" applyFill="1" applyBorder="1" applyAlignment="1" applyProtection="1">
      <alignment horizontal="right"/>
    </xf>
    <xf numFmtId="164" fontId="14" fillId="5" borderId="0" xfId="3" applyNumberFormat="1" applyFont="1" applyFill="1" applyBorder="1" applyProtection="1"/>
    <xf numFmtId="164" fontId="14" fillId="5" borderId="17" xfId="3" applyNumberFormat="1" applyFont="1" applyFill="1" applyBorder="1" applyProtection="1"/>
    <xf numFmtId="164" fontId="14" fillId="5" borderId="7" xfId="3" applyNumberFormat="1" applyFont="1" applyFill="1" applyBorder="1" applyProtection="1"/>
    <xf numFmtId="0" fontId="5" fillId="5" borderId="8" xfId="3" quotePrefix="1" applyFont="1" applyFill="1" applyBorder="1" applyAlignment="1" applyProtection="1">
      <alignment horizontal="right"/>
    </xf>
    <xf numFmtId="164" fontId="14" fillId="5" borderId="9" xfId="3" applyNumberFormat="1" applyFont="1" applyFill="1" applyBorder="1" applyProtection="1"/>
    <xf numFmtId="164" fontId="14" fillId="5" borderId="18" xfId="3" applyNumberFormat="1" applyFont="1" applyFill="1" applyBorder="1" applyProtection="1"/>
    <xf numFmtId="164" fontId="14" fillId="5" borderId="10" xfId="3" applyNumberFormat="1" applyFont="1" applyFill="1" applyBorder="1" applyProtection="1"/>
    <xf numFmtId="0" fontId="5" fillId="5" borderId="2" xfId="3" quotePrefix="1" applyFont="1" applyFill="1" applyBorder="1" applyAlignment="1" applyProtection="1">
      <alignment horizontal="right"/>
    </xf>
    <xf numFmtId="0" fontId="14" fillId="5" borderId="4" xfId="3" applyFont="1" applyFill="1" applyBorder="1" applyProtection="1"/>
    <xf numFmtId="0" fontId="14" fillId="0" borderId="0" xfId="3" applyFont="1" applyProtection="1"/>
    <xf numFmtId="0" fontId="1" fillId="6" borderId="11" xfId="3" quotePrefix="1" applyFont="1" applyFill="1" applyBorder="1" applyAlignment="1" applyProtection="1">
      <alignment horizontal="left"/>
    </xf>
    <xf numFmtId="0" fontId="1" fillId="6" borderId="12" xfId="3" applyFont="1" applyFill="1" applyBorder="1" applyProtection="1"/>
    <xf numFmtId="0" fontId="1" fillId="6" borderId="16" xfId="3" applyFont="1" applyFill="1" applyBorder="1" applyAlignment="1" applyProtection="1">
      <alignment horizontal="left"/>
    </xf>
    <xf numFmtId="0" fontId="1" fillId="6" borderId="4" xfId="3" applyFont="1" applyFill="1" applyBorder="1" applyAlignment="1" applyProtection="1">
      <alignment horizontal="center"/>
    </xf>
    <xf numFmtId="0" fontId="13" fillId="6" borderId="6" xfId="3" applyFont="1" applyFill="1" applyBorder="1" applyProtection="1"/>
    <xf numFmtId="0" fontId="13" fillId="6" borderId="0" xfId="3" quotePrefix="1" applyFont="1" applyFill="1" applyBorder="1" applyAlignment="1" applyProtection="1">
      <alignment horizontal="center"/>
    </xf>
    <xf numFmtId="0" fontId="13" fillId="6" borderId="17" xfId="3" applyFont="1" applyFill="1" applyBorder="1" applyAlignment="1" applyProtection="1">
      <alignment horizontal="center"/>
    </xf>
    <xf numFmtId="0" fontId="13" fillId="6" borderId="7" xfId="3" applyFont="1" applyFill="1" applyBorder="1" applyAlignment="1" applyProtection="1">
      <alignment horizontal="center"/>
    </xf>
    <xf numFmtId="0" fontId="5" fillId="6" borderId="6" xfId="3" quotePrefix="1" applyFont="1" applyFill="1" applyBorder="1" applyAlignment="1" applyProtection="1">
      <alignment horizontal="right"/>
    </xf>
    <xf numFmtId="164" fontId="14" fillId="6" borderId="0" xfId="3" applyNumberFormat="1" applyFont="1" applyFill="1" applyBorder="1" applyProtection="1"/>
    <xf numFmtId="164" fontId="14" fillId="6" borderId="17" xfId="3" applyNumberFormat="1" applyFont="1" applyFill="1" applyBorder="1" applyProtection="1"/>
    <xf numFmtId="164" fontId="14" fillId="6" borderId="7" xfId="3" applyNumberFormat="1" applyFont="1" applyFill="1" applyBorder="1" applyProtection="1"/>
    <xf numFmtId="0" fontId="5" fillId="6" borderId="8" xfId="3" quotePrefix="1" applyFont="1" applyFill="1" applyBorder="1" applyAlignment="1" applyProtection="1">
      <alignment horizontal="right"/>
    </xf>
    <xf numFmtId="164" fontId="14" fillId="6" borderId="9" xfId="3" applyNumberFormat="1" applyFont="1" applyFill="1" applyBorder="1" applyProtection="1"/>
    <xf numFmtId="164" fontId="14" fillId="6" borderId="18" xfId="3" applyNumberFormat="1" applyFont="1" applyFill="1" applyBorder="1" applyProtection="1"/>
    <xf numFmtId="164" fontId="14" fillId="6" borderId="10" xfId="3" applyNumberFormat="1" applyFont="1" applyFill="1" applyBorder="1" applyProtection="1"/>
    <xf numFmtId="0" fontId="5" fillId="6" borderId="2" xfId="3" quotePrefix="1" applyFont="1" applyFill="1" applyBorder="1" applyAlignment="1" applyProtection="1">
      <alignment horizontal="right"/>
    </xf>
    <xf numFmtId="0" fontId="14" fillId="6" borderId="4" xfId="3" applyFont="1" applyFill="1" applyBorder="1" applyProtection="1"/>
    <xf numFmtId="0" fontId="7" fillId="0" borderId="0" xfId="3" quotePrefix="1" applyFont="1" applyAlignment="1" applyProtection="1">
      <alignment horizontal="left"/>
    </xf>
    <xf numFmtId="0" fontId="7" fillId="0" borderId="0" xfId="3" applyFont="1" applyProtection="1"/>
    <xf numFmtId="0" fontId="2" fillId="0" borderId="0" xfId="3" quotePrefix="1" applyFont="1" applyAlignment="1" applyProtection="1">
      <alignment horizontal="left"/>
    </xf>
    <xf numFmtId="164" fontId="14" fillId="0" borderId="26" xfId="3" applyNumberFormat="1" applyFont="1" applyBorder="1" applyProtection="1"/>
    <xf numFmtId="0" fontId="14" fillId="0" borderId="26" xfId="3" applyFont="1" applyBorder="1" applyProtection="1"/>
    <xf numFmtId="164" fontId="15" fillId="5" borderId="28" xfId="0" applyNumberFormat="1" applyFont="1" applyFill="1" applyBorder="1" applyProtection="1"/>
    <xf numFmtId="0" fontId="32" fillId="0" borderId="0" xfId="0" applyFont="1" applyProtection="1"/>
    <xf numFmtId="0" fontId="38" fillId="0" borderId="0" xfId="3" applyFont="1" applyProtection="1"/>
    <xf numFmtId="0" fontId="1" fillId="7" borderId="1" xfId="3" applyFont="1" applyFill="1" applyBorder="1" applyProtection="1"/>
    <xf numFmtId="0" fontId="15" fillId="7" borderId="1" xfId="3" applyFont="1" applyFill="1" applyBorder="1" applyProtection="1"/>
    <xf numFmtId="0" fontId="32" fillId="0" borderId="0" xfId="0" applyFont="1" applyAlignment="1" applyProtection="1">
      <alignment vertical="center"/>
    </xf>
    <xf numFmtId="0" fontId="40" fillId="0" borderId="0" xfId="3" applyFont="1" applyProtection="1"/>
    <xf numFmtId="0" fontId="40" fillId="0" borderId="0" xfId="3" applyFont="1" applyFill="1" applyProtection="1"/>
    <xf numFmtId="0" fontId="14" fillId="0" borderId="0" xfId="0" applyFont="1" applyProtection="1"/>
    <xf numFmtId="0" fontId="15" fillId="0" borderId="0" xfId="3" applyFont="1" applyFill="1" applyBorder="1" applyProtection="1"/>
    <xf numFmtId="0" fontId="41" fillId="0" borderId="0" xfId="0" applyFont="1" applyProtection="1"/>
    <xf numFmtId="0" fontId="32" fillId="0" borderId="0" xfId="0" applyFont="1" applyAlignment="1" applyProtection="1">
      <alignment horizontal="left"/>
    </xf>
    <xf numFmtId="0" fontId="41" fillId="0" borderId="0" xfId="0" applyFont="1" applyAlignment="1" applyProtection="1">
      <alignment horizontal="center"/>
    </xf>
    <xf numFmtId="0" fontId="38" fillId="4" borderId="44" xfId="3" applyFont="1" applyFill="1" applyBorder="1" applyProtection="1"/>
    <xf numFmtId="0" fontId="39" fillId="0" borderId="0" xfId="0" applyFont="1" applyProtection="1"/>
    <xf numFmtId="0" fontId="14" fillId="4" borderId="44" xfId="3" applyFont="1" applyFill="1" applyBorder="1" applyProtection="1"/>
    <xf numFmtId="165" fontId="38" fillId="4" borderId="44" xfId="3" applyNumberFormat="1" applyFont="1" applyFill="1" applyBorder="1" applyAlignment="1" applyProtection="1">
      <alignment horizontal="center"/>
    </xf>
    <xf numFmtId="0" fontId="40" fillId="0" borderId="0" xfId="0" applyFont="1" applyProtection="1"/>
    <xf numFmtId="0" fontId="40" fillId="0" borderId="0" xfId="0" applyFont="1" applyProtection="1"/>
    <xf numFmtId="0" fontId="33" fillId="0" borderId="0" xfId="0" applyFont="1" applyFill="1" applyProtection="1"/>
    <xf numFmtId="0" fontId="36" fillId="0" borderId="0" xfId="0" applyFont="1" applyFill="1" applyProtection="1"/>
    <xf numFmtId="0" fontId="39" fillId="0" borderId="0" xfId="0" applyFont="1" applyFill="1" applyProtection="1"/>
    <xf numFmtId="0" fontId="38" fillId="0" borderId="0" xfId="0" applyFont="1" applyFill="1" applyProtection="1"/>
    <xf numFmtId="0" fontId="38" fillId="3" borderId="0" xfId="3" applyFont="1" applyFill="1" applyProtection="1"/>
    <xf numFmtId="0" fontId="32" fillId="3" borderId="0" xfId="0" applyFont="1" applyFill="1" applyProtection="1"/>
    <xf numFmtId="10" fontId="14" fillId="3" borderId="0" xfId="5" applyNumberFormat="1" applyFont="1" applyFill="1" applyProtection="1"/>
    <xf numFmtId="43" fontId="38" fillId="3" borderId="0" xfId="1" applyFont="1" applyFill="1" applyProtection="1"/>
    <xf numFmtId="0" fontId="1" fillId="3" borderId="0" xfId="3" applyFont="1" applyFill="1" applyAlignment="1" applyProtection="1">
      <alignment horizontal="center"/>
    </xf>
    <xf numFmtId="43" fontId="14" fillId="3" borderId="0" xfId="3" applyNumberFormat="1" applyFont="1" applyFill="1" applyAlignment="1" applyProtection="1">
      <alignment horizontal="center"/>
    </xf>
    <xf numFmtId="43" fontId="14" fillId="3" borderId="0" xfId="3" applyNumberFormat="1" applyFont="1" applyFill="1" applyProtection="1"/>
    <xf numFmtId="0" fontId="14" fillId="3" borderId="0" xfId="3" applyFont="1" applyFill="1" applyAlignment="1" applyProtection="1">
      <alignment horizontal="center"/>
    </xf>
    <xf numFmtId="0" fontId="42" fillId="0" borderId="0" xfId="0" applyFont="1" applyProtection="1"/>
    <xf numFmtId="166" fontId="34" fillId="9" borderId="0" xfId="0" applyNumberFormat="1" applyFont="1" applyFill="1" applyProtection="1"/>
    <xf numFmtId="0" fontId="36" fillId="0" borderId="0" xfId="0" applyFont="1" applyProtection="1"/>
    <xf numFmtId="0" fontId="11" fillId="5" borderId="25" xfId="3" applyFont="1" applyFill="1" applyBorder="1" applyAlignment="1" applyProtection="1">
      <alignment horizontal="center"/>
    </xf>
    <xf numFmtId="0" fontId="32" fillId="0" borderId="0" xfId="0" applyFont="1" applyFill="1" applyProtection="1"/>
    <xf numFmtId="0" fontId="38" fillId="0" borderId="0" xfId="3" applyFont="1" applyFill="1" applyProtection="1"/>
    <xf numFmtId="0" fontId="38" fillId="0" borderId="0" xfId="0" applyFont="1" applyProtection="1"/>
    <xf numFmtId="0" fontId="2" fillId="0" borderId="0" xfId="3" applyFont="1" applyFill="1" applyProtection="1"/>
    <xf numFmtId="0" fontId="14" fillId="0" borderId="0" xfId="3" applyFont="1" applyFill="1" applyProtection="1"/>
    <xf numFmtId="0" fontId="41" fillId="0" borderId="0" xfId="3" applyFont="1" applyFill="1" applyBorder="1" applyAlignment="1" applyProtection="1">
      <alignment horizontal="center"/>
    </xf>
    <xf numFmtId="0" fontId="41" fillId="0" borderId="0" xfId="0" applyFont="1" applyAlignment="1" applyProtection="1">
      <alignment horizontal="right"/>
    </xf>
    <xf numFmtId="165" fontId="38" fillId="0" borderId="0" xfId="3" applyNumberFormat="1" applyFont="1" applyFill="1" applyBorder="1" applyAlignment="1" applyProtection="1">
      <alignment horizontal="center"/>
    </xf>
    <xf numFmtId="0" fontId="41" fillId="0" borderId="0" xfId="0" applyFont="1" applyAlignment="1" applyProtection="1">
      <alignment horizontal="center" wrapText="1"/>
    </xf>
    <xf numFmtId="0" fontId="44" fillId="0" borderId="0" xfId="0" applyFont="1" applyAlignment="1" applyProtection="1">
      <alignment horizontal="center" vertical="top" wrapText="1"/>
    </xf>
    <xf numFmtId="0" fontId="45" fillId="0" borderId="0" xfId="0" applyFont="1" applyAlignment="1" applyProtection="1">
      <alignment horizontal="center" vertical="top" wrapText="1"/>
    </xf>
  </cellXfs>
  <cellStyles count="7">
    <cellStyle name="Comma" xfId="1" builtinId="3"/>
    <cellStyle name="Comma 2" xfId="2"/>
    <cellStyle name="Normal" xfId="0" builtinId="0"/>
    <cellStyle name="Normal 2" xfId="3"/>
    <cellStyle name="Normal 2 2" xfId="4"/>
    <cellStyle name="Percent" xfId="5" builtinId="5"/>
    <cellStyle name="Percent 2" xfId="6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7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Linear Model</a:t>
            </a:r>
          </a:p>
        </c:rich>
      </c:tx>
      <c:layout>
        <c:manualLayout>
          <c:xMode val="edge"/>
          <c:yMode val="edge"/>
          <c:x val="0.35407412586190323"/>
          <c:y val="1.960788343545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13213703099510604"/>
          <c:w val="0.78579356270810208"/>
          <c:h val="0.72430668841761825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'Chart Data Zero Gas'!$B$12:$B$113</c:f>
              <c:numCache>
                <c:formatCode>General</c:formatCode>
                <c:ptCount val="102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4000</c:v>
                </c:pt>
                <c:pt idx="52">
                  <c:v>4240</c:v>
                </c:pt>
                <c:pt idx="53">
                  <c:v>4480</c:v>
                </c:pt>
                <c:pt idx="54">
                  <c:v>4720</c:v>
                </c:pt>
                <c:pt idx="55">
                  <c:v>4960</c:v>
                </c:pt>
                <c:pt idx="56">
                  <c:v>5200</c:v>
                </c:pt>
                <c:pt idx="57">
                  <c:v>5440</c:v>
                </c:pt>
                <c:pt idx="58">
                  <c:v>5680</c:v>
                </c:pt>
                <c:pt idx="59">
                  <c:v>5920</c:v>
                </c:pt>
                <c:pt idx="60">
                  <c:v>6160</c:v>
                </c:pt>
                <c:pt idx="61">
                  <c:v>6400</c:v>
                </c:pt>
                <c:pt idx="62">
                  <c:v>6640</c:v>
                </c:pt>
                <c:pt idx="63">
                  <c:v>6880</c:v>
                </c:pt>
                <c:pt idx="64">
                  <c:v>7120</c:v>
                </c:pt>
                <c:pt idx="65">
                  <c:v>7360</c:v>
                </c:pt>
                <c:pt idx="66">
                  <c:v>7600</c:v>
                </c:pt>
                <c:pt idx="67">
                  <c:v>7840</c:v>
                </c:pt>
                <c:pt idx="68">
                  <c:v>8080</c:v>
                </c:pt>
                <c:pt idx="69">
                  <c:v>8320</c:v>
                </c:pt>
                <c:pt idx="70">
                  <c:v>8560</c:v>
                </c:pt>
                <c:pt idx="71">
                  <c:v>8800</c:v>
                </c:pt>
                <c:pt idx="72">
                  <c:v>9040</c:v>
                </c:pt>
                <c:pt idx="73">
                  <c:v>9280</c:v>
                </c:pt>
                <c:pt idx="74">
                  <c:v>9520</c:v>
                </c:pt>
                <c:pt idx="75">
                  <c:v>9760</c:v>
                </c:pt>
                <c:pt idx="76">
                  <c:v>10000</c:v>
                </c:pt>
                <c:pt idx="77">
                  <c:v>10240</c:v>
                </c:pt>
                <c:pt idx="78">
                  <c:v>10480</c:v>
                </c:pt>
                <c:pt idx="79">
                  <c:v>10720</c:v>
                </c:pt>
                <c:pt idx="80">
                  <c:v>10960</c:v>
                </c:pt>
                <c:pt idx="81">
                  <c:v>11200</c:v>
                </c:pt>
                <c:pt idx="82">
                  <c:v>11440</c:v>
                </c:pt>
                <c:pt idx="83">
                  <c:v>11680</c:v>
                </c:pt>
                <c:pt idx="84">
                  <c:v>11920</c:v>
                </c:pt>
                <c:pt idx="85">
                  <c:v>12160</c:v>
                </c:pt>
                <c:pt idx="86">
                  <c:v>12400</c:v>
                </c:pt>
                <c:pt idx="87">
                  <c:v>12640</c:v>
                </c:pt>
                <c:pt idx="88">
                  <c:v>12880</c:v>
                </c:pt>
                <c:pt idx="89">
                  <c:v>13120</c:v>
                </c:pt>
                <c:pt idx="90">
                  <c:v>13360</c:v>
                </c:pt>
                <c:pt idx="91">
                  <c:v>13600</c:v>
                </c:pt>
                <c:pt idx="92">
                  <c:v>13840</c:v>
                </c:pt>
                <c:pt idx="93">
                  <c:v>14080</c:v>
                </c:pt>
                <c:pt idx="94">
                  <c:v>14320</c:v>
                </c:pt>
                <c:pt idx="95">
                  <c:v>14560</c:v>
                </c:pt>
                <c:pt idx="96">
                  <c:v>14800</c:v>
                </c:pt>
                <c:pt idx="97">
                  <c:v>15040</c:v>
                </c:pt>
                <c:pt idx="98">
                  <c:v>15280</c:v>
                </c:pt>
                <c:pt idx="99">
                  <c:v>15520</c:v>
                </c:pt>
                <c:pt idx="100">
                  <c:v>15760</c:v>
                </c:pt>
                <c:pt idx="101">
                  <c:v>16000</c:v>
                </c:pt>
              </c:numCache>
            </c:numRef>
          </c:xVal>
          <c:yVal>
            <c:numRef>
              <c:f>'Chart Data Zero Gas'!$C$12:$C$61</c:f>
              <c:numCache>
                <c:formatCode>General</c:formatCode>
                <c:ptCount val="50"/>
                <c:pt idx="0">
                  <c:v>16023.021428571428</c:v>
                </c:pt>
                <c:pt idx="1">
                  <c:v>12049.85367647059</c:v>
                </c:pt>
                <c:pt idx="2">
                  <c:v>8052.8167968750076</c:v>
                </c:pt>
                <c:pt idx="3">
                  <c:v>6021.3230452674898</c:v>
                </c:pt>
                <c:pt idx="4">
                  <c:v>4024.5459090909085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Line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'Chart Data Zero Gas'!$B$12:$B$113</c:f>
              <c:numCache>
                <c:formatCode>General</c:formatCode>
                <c:ptCount val="102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4000</c:v>
                </c:pt>
                <c:pt idx="52">
                  <c:v>4240</c:v>
                </c:pt>
                <c:pt idx="53">
                  <c:v>4480</c:v>
                </c:pt>
                <c:pt idx="54">
                  <c:v>4720</c:v>
                </c:pt>
                <c:pt idx="55">
                  <c:v>4960</c:v>
                </c:pt>
                <c:pt idx="56">
                  <c:v>5200</c:v>
                </c:pt>
                <c:pt idx="57">
                  <c:v>5440</c:v>
                </c:pt>
                <c:pt idx="58">
                  <c:v>5680</c:v>
                </c:pt>
                <c:pt idx="59">
                  <c:v>5920</c:v>
                </c:pt>
                <c:pt idx="60">
                  <c:v>6160</c:v>
                </c:pt>
                <c:pt idx="61">
                  <c:v>6400</c:v>
                </c:pt>
                <c:pt idx="62">
                  <c:v>6640</c:v>
                </c:pt>
                <c:pt idx="63">
                  <c:v>6880</c:v>
                </c:pt>
                <c:pt idx="64">
                  <c:v>7120</c:v>
                </c:pt>
                <c:pt idx="65">
                  <c:v>7360</c:v>
                </c:pt>
                <c:pt idx="66">
                  <c:v>7600</c:v>
                </c:pt>
                <c:pt idx="67">
                  <c:v>7840</c:v>
                </c:pt>
                <c:pt idx="68">
                  <c:v>8080</c:v>
                </c:pt>
                <c:pt idx="69">
                  <c:v>8320</c:v>
                </c:pt>
                <c:pt idx="70">
                  <c:v>8560</c:v>
                </c:pt>
                <c:pt idx="71">
                  <c:v>8800</c:v>
                </c:pt>
                <c:pt idx="72">
                  <c:v>9040</c:v>
                </c:pt>
                <c:pt idx="73">
                  <c:v>9280</c:v>
                </c:pt>
                <c:pt idx="74">
                  <c:v>9520</c:v>
                </c:pt>
                <c:pt idx="75">
                  <c:v>9760</c:v>
                </c:pt>
                <c:pt idx="76">
                  <c:v>10000</c:v>
                </c:pt>
                <c:pt idx="77">
                  <c:v>10240</c:v>
                </c:pt>
                <c:pt idx="78">
                  <c:v>10480</c:v>
                </c:pt>
                <c:pt idx="79">
                  <c:v>10720</c:v>
                </c:pt>
                <c:pt idx="80">
                  <c:v>10960</c:v>
                </c:pt>
                <c:pt idx="81">
                  <c:v>11200</c:v>
                </c:pt>
                <c:pt idx="82">
                  <c:v>11440</c:v>
                </c:pt>
                <c:pt idx="83">
                  <c:v>11680</c:v>
                </c:pt>
                <c:pt idx="84">
                  <c:v>11920</c:v>
                </c:pt>
                <c:pt idx="85">
                  <c:v>12160</c:v>
                </c:pt>
                <c:pt idx="86">
                  <c:v>12400</c:v>
                </c:pt>
                <c:pt idx="87">
                  <c:v>12640</c:v>
                </c:pt>
                <c:pt idx="88">
                  <c:v>12880</c:v>
                </c:pt>
                <c:pt idx="89">
                  <c:v>13120</c:v>
                </c:pt>
                <c:pt idx="90">
                  <c:v>13360</c:v>
                </c:pt>
                <c:pt idx="91">
                  <c:v>13600</c:v>
                </c:pt>
                <c:pt idx="92">
                  <c:v>13840</c:v>
                </c:pt>
                <c:pt idx="93">
                  <c:v>14080</c:v>
                </c:pt>
                <c:pt idx="94">
                  <c:v>14320</c:v>
                </c:pt>
                <c:pt idx="95">
                  <c:v>14560</c:v>
                </c:pt>
                <c:pt idx="96">
                  <c:v>14800</c:v>
                </c:pt>
                <c:pt idx="97">
                  <c:v>15040</c:v>
                </c:pt>
                <c:pt idx="98">
                  <c:v>15280</c:v>
                </c:pt>
                <c:pt idx="99">
                  <c:v>15520</c:v>
                </c:pt>
                <c:pt idx="100">
                  <c:v>15760</c:v>
                </c:pt>
                <c:pt idx="101">
                  <c:v>16000</c:v>
                </c:pt>
              </c:numCache>
            </c:numRef>
          </c:xVal>
          <c:yVal>
            <c:numRef>
              <c:f>'Chart Data Zero Gas'!$F$12:$F$113</c:f>
              <c:numCache>
                <c:formatCode>General</c:formatCode>
                <c:ptCount val="102"/>
                <c:pt idx="51">
                  <c:v>4032.2454301330031</c:v>
                </c:pt>
                <c:pt idx="52">
                  <c:v>4272.3408181847908</c:v>
                </c:pt>
                <c:pt idx="53">
                  <c:v>4512.4362062365781</c:v>
                </c:pt>
                <c:pt idx="54">
                  <c:v>4752.5315942883663</c:v>
                </c:pt>
                <c:pt idx="55">
                  <c:v>4992.6269823401544</c:v>
                </c:pt>
                <c:pt idx="56">
                  <c:v>5232.7223703919417</c:v>
                </c:pt>
                <c:pt idx="57">
                  <c:v>5472.8177584437299</c:v>
                </c:pt>
                <c:pt idx="58">
                  <c:v>5712.9131464955171</c:v>
                </c:pt>
                <c:pt idx="59">
                  <c:v>5953.0085345473053</c:v>
                </c:pt>
                <c:pt idx="60">
                  <c:v>6193.1039225990926</c:v>
                </c:pt>
                <c:pt idx="61">
                  <c:v>6433.1993106508808</c:v>
                </c:pt>
                <c:pt idx="62">
                  <c:v>6673.2946987026689</c:v>
                </c:pt>
                <c:pt idx="63">
                  <c:v>6913.3900867544562</c:v>
                </c:pt>
                <c:pt idx="64">
                  <c:v>7153.4854748062444</c:v>
                </c:pt>
                <c:pt idx="65">
                  <c:v>7393.5808628580317</c:v>
                </c:pt>
                <c:pt idx="66">
                  <c:v>7633.6762509098198</c:v>
                </c:pt>
                <c:pt idx="67">
                  <c:v>7873.7716389616071</c:v>
                </c:pt>
                <c:pt idx="68">
                  <c:v>8113.8670270133953</c:v>
                </c:pt>
                <c:pt idx="69">
                  <c:v>8353.9624150651834</c:v>
                </c:pt>
                <c:pt idx="70">
                  <c:v>8594.0578031169716</c:v>
                </c:pt>
                <c:pt idx="71">
                  <c:v>8834.153191168758</c:v>
                </c:pt>
                <c:pt idx="72">
                  <c:v>9074.2485792205462</c:v>
                </c:pt>
                <c:pt idx="73">
                  <c:v>9314.3439672723343</c:v>
                </c:pt>
                <c:pt idx="74">
                  <c:v>9554.4393553241225</c:v>
                </c:pt>
                <c:pt idx="75">
                  <c:v>9794.5347433759089</c:v>
                </c:pt>
                <c:pt idx="76">
                  <c:v>10034.630131427697</c:v>
                </c:pt>
                <c:pt idx="77">
                  <c:v>10274.725519479485</c:v>
                </c:pt>
                <c:pt idx="78">
                  <c:v>10514.820907531273</c:v>
                </c:pt>
                <c:pt idx="79">
                  <c:v>10754.916295583062</c:v>
                </c:pt>
                <c:pt idx="80">
                  <c:v>10995.011683634848</c:v>
                </c:pt>
                <c:pt idx="81">
                  <c:v>11235.107071686636</c:v>
                </c:pt>
                <c:pt idx="82">
                  <c:v>11475.202459738424</c:v>
                </c:pt>
                <c:pt idx="83">
                  <c:v>11715.297847790212</c:v>
                </c:pt>
                <c:pt idx="84">
                  <c:v>11955.393235841999</c:v>
                </c:pt>
                <c:pt idx="85">
                  <c:v>12195.488623893787</c:v>
                </c:pt>
                <c:pt idx="86">
                  <c:v>12435.584011945575</c:v>
                </c:pt>
                <c:pt idx="87">
                  <c:v>12675.679399997363</c:v>
                </c:pt>
                <c:pt idx="88">
                  <c:v>12915.774788049152</c:v>
                </c:pt>
                <c:pt idx="89">
                  <c:v>13155.870176100938</c:v>
                </c:pt>
                <c:pt idx="90">
                  <c:v>13395.965564152726</c:v>
                </c:pt>
                <c:pt idx="91">
                  <c:v>13636.060952204514</c:v>
                </c:pt>
                <c:pt idx="92">
                  <c:v>13876.156340256302</c:v>
                </c:pt>
                <c:pt idx="93">
                  <c:v>14116.251728308089</c:v>
                </c:pt>
                <c:pt idx="94">
                  <c:v>14356.347116359877</c:v>
                </c:pt>
                <c:pt idx="95">
                  <c:v>14596.442504411665</c:v>
                </c:pt>
                <c:pt idx="96">
                  <c:v>14836.537892463453</c:v>
                </c:pt>
                <c:pt idx="97">
                  <c:v>15076.633280515241</c:v>
                </c:pt>
                <c:pt idx="98">
                  <c:v>15316.728668567028</c:v>
                </c:pt>
                <c:pt idx="99">
                  <c:v>15556.824056618816</c:v>
                </c:pt>
                <c:pt idx="100">
                  <c:v>15796.919444670604</c:v>
                </c:pt>
                <c:pt idx="101">
                  <c:v>16037.014832722392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20884"/>
              </a:solidFill>
              <a:prstDash val="sysDash"/>
            </a:ln>
          </c:spPr>
          <c:marker>
            <c:symbol val="none"/>
          </c:marker>
          <c:xVal>
            <c:numRef>
              <c:f>'Chart Data Zero Gas'!$B$12:$B$113</c:f>
              <c:numCache>
                <c:formatCode>General</c:formatCode>
                <c:ptCount val="102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4000</c:v>
                </c:pt>
                <c:pt idx="52">
                  <c:v>4240</c:v>
                </c:pt>
                <c:pt idx="53">
                  <c:v>4480</c:v>
                </c:pt>
                <c:pt idx="54">
                  <c:v>4720</c:v>
                </c:pt>
                <c:pt idx="55">
                  <c:v>4960</c:v>
                </c:pt>
                <c:pt idx="56">
                  <c:v>5200</c:v>
                </c:pt>
                <c:pt idx="57">
                  <c:v>5440</c:v>
                </c:pt>
                <c:pt idx="58">
                  <c:v>5680</c:v>
                </c:pt>
                <c:pt idx="59">
                  <c:v>5920</c:v>
                </c:pt>
                <c:pt idx="60">
                  <c:v>6160</c:v>
                </c:pt>
                <c:pt idx="61">
                  <c:v>6400</c:v>
                </c:pt>
                <c:pt idx="62">
                  <c:v>6640</c:v>
                </c:pt>
                <c:pt idx="63">
                  <c:v>6880</c:v>
                </c:pt>
                <c:pt idx="64">
                  <c:v>7120</c:v>
                </c:pt>
                <c:pt idx="65">
                  <c:v>7360</c:v>
                </c:pt>
                <c:pt idx="66">
                  <c:v>7600</c:v>
                </c:pt>
                <c:pt idx="67">
                  <c:v>7840</c:v>
                </c:pt>
                <c:pt idx="68">
                  <c:v>8080</c:v>
                </c:pt>
                <c:pt idx="69">
                  <c:v>8320</c:v>
                </c:pt>
                <c:pt idx="70">
                  <c:v>8560</c:v>
                </c:pt>
                <c:pt idx="71">
                  <c:v>8800</c:v>
                </c:pt>
                <c:pt idx="72">
                  <c:v>9040</c:v>
                </c:pt>
                <c:pt idx="73">
                  <c:v>9280</c:v>
                </c:pt>
                <c:pt idx="74">
                  <c:v>9520</c:v>
                </c:pt>
                <c:pt idx="75">
                  <c:v>9760</c:v>
                </c:pt>
                <c:pt idx="76">
                  <c:v>10000</c:v>
                </c:pt>
                <c:pt idx="77">
                  <c:v>10240</c:v>
                </c:pt>
                <c:pt idx="78">
                  <c:v>10480</c:v>
                </c:pt>
                <c:pt idx="79">
                  <c:v>10720</c:v>
                </c:pt>
                <c:pt idx="80">
                  <c:v>10960</c:v>
                </c:pt>
                <c:pt idx="81">
                  <c:v>11200</c:v>
                </c:pt>
                <c:pt idx="82">
                  <c:v>11440</c:v>
                </c:pt>
                <c:pt idx="83">
                  <c:v>11680</c:v>
                </c:pt>
                <c:pt idx="84">
                  <c:v>11920</c:v>
                </c:pt>
                <c:pt idx="85">
                  <c:v>12160</c:v>
                </c:pt>
                <c:pt idx="86">
                  <c:v>12400</c:v>
                </c:pt>
                <c:pt idx="87">
                  <c:v>12640</c:v>
                </c:pt>
                <c:pt idx="88">
                  <c:v>12880</c:v>
                </c:pt>
                <c:pt idx="89">
                  <c:v>13120</c:v>
                </c:pt>
                <c:pt idx="90">
                  <c:v>13360</c:v>
                </c:pt>
                <c:pt idx="91">
                  <c:v>13600</c:v>
                </c:pt>
                <c:pt idx="92">
                  <c:v>13840</c:v>
                </c:pt>
                <c:pt idx="93">
                  <c:v>14080</c:v>
                </c:pt>
                <c:pt idx="94">
                  <c:v>14320</c:v>
                </c:pt>
                <c:pt idx="95">
                  <c:v>14560</c:v>
                </c:pt>
                <c:pt idx="96">
                  <c:v>14800</c:v>
                </c:pt>
                <c:pt idx="97">
                  <c:v>15040</c:v>
                </c:pt>
                <c:pt idx="98">
                  <c:v>15280</c:v>
                </c:pt>
                <c:pt idx="99">
                  <c:v>15520</c:v>
                </c:pt>
                <c:pt idx="100">
                  <c:v>15760</c:v>
                </c:pt>
                <c:pt idx="101">
                  <c:v>16000</c:v>
                </c:pt>
              </c:numCache>
            </c:numRef>
          </c:xVal>
          <c:yVal>
            <c:numRef>
              <c:f>'Chart Data Zero Gas'!$G$12:$G$113</c:f>
              <c:numCache>
                <c:formatCode>General</c:formatCode>
                <c:ptCount val="102"/>
                <c:pt idx="51">
                  <c:v>3992.3205975725236</c:v>
                </c:pt>
                <c:pt idx="52">
                  <c:v>4233.4981146678447</c:v>
                </c:pt>
                <c:pt idx="53">
                  <c:v>4474.6533277619237</c:v>
                </c:pt>
                <c:pt idx="54">
                  <c:v>4715.7843070013068</c:v>
                </c:pt>
                <c:pt idx="55">
                  <c:v>4956.8889456301322</c:v>
                </c:pt>
                <c:pt idx="56">
                  <c:v>5197.9649490172451</c:v>
                </c:pt>
                <c:pt idx="57">
                  <c:v>5439.0098253340066</c:v>
                </c:pt>
                <c:pt idx="58">
                  <c:v>5680.0208788709378</c:v>
                </c:pt>
                <c:pt idx="59">
                  <c:v>5920.9952072346932</c:v>
                </c:pt>
                <c:pt idx="60">
                  <c:v>6161.9297039310331</c:v>
                </c:pt>
                <c:pt idx="61">
                  <c:v>6402.821068086414</c:v>
                </c:pt>
                <c:pt idx="62">
                  <c:v>6643.6658232456221</c:v>
                </c:pt>
                <c:pt idx="63">
                  <c:v>6884.4603472430999</c:v>
                </c:pt>
                <c:pt idx="64">
                  <c:v>7125.2009150015965</c:v>
                </c:pt>
                <c:pt idx="65">
                  <c:v>7365.8837556752851</c:v>
                </c:pt>
                <c:pt idx="66">
                  <c:v>7606.5051247453703</c:v>
                </c:pt>
                <c:pt idx="67">
                  <c:v>7847.0613904491274</c:v>
                </c:pt>
                <c:pt idx="68">
                  <c:v>8087.5491323036276</c:v>
                </c:pt>
                <c:pt idx="69">
                  <c:v>8327.9652476019291</c:v>
                </c:pt>
                <c:pt idx="70">
                  <c:v>8568.3070598641516</c:v>
                </c:pt>
                <c:pt idx="71">
                  <c:v>8808.5724216761319</c:v>
                </c:pt>
                <c:pt idx="72">
                  <c:v>9048.7598035457686</c:v>
                </c:pt>
                <c:pt idx="73">
                  <c:v>9288.8683606894592</c:v>
                </c:pt>
                <c:pt idx="74">
                  <c:v>9528.8979711812499</c:v>
                </c:pt>
                <c:pt idx="75">
                  <c:v>9768.8492415333458</c:v>
                </c:pt>
                <c:pt idx="76">
                  <c:v>10008.723479122222</c:v>
                </c:pt>
                <c:pt idx="77">
                  <c:v>10248.522634328203</c:v>
                </c:pt>
                <c:pt idx="78">
                  <c:v>10488.249218186635</c:v>
                </c:pt>
                <c:pt idx="79">
                  <c:v>10727.906203269138</c:v>
                </c:pt>
                <c:pt idx="80">
                  <c:v>10967.496916203751</c:v>
                </c:pt>
                <c:pt idx="81">
                  <c:v>11207.024929770994</c:v>
                </c:pt>
                <c:pt idx="82">
                  <c:v>11446.493961168226</c:v>
                </c:pt>
                <c:pt idx="83">
                  <c:v>11685.907781210804</c:v>
                </c:pt>
                <c:pt idx="84">
                  <c:v>11925.270137317262</c:v>
                </c:pt>
                <c:pt idx="85">
                  <c:v>12164.584691397711</c:v>
                </c:pt>
                <c:pt idx="86">
                  <c:v>12403.85497239952</c:v>
                </c:pt>
                <c:pt idx="87">
                  <c:v>12643.084342318163</c:v>
                </c:pt>
                <c:pt idx="88">
                  <c:v>12882.275973928237</c:v>
                </c:pt>
                <c:pt idx="89">
                  <c:v>13121.432838258026</c:v>
                </c:pt>
                <c:pt idx="90">
                  <c:v>13360.55769983266</c:v>
                </c:pt>
                <c:pt idx="91">
                  <c:v>13599.653117862004</c:v>
                </c:pt>
                <c:pt idx="92">
                  <c:v>13838.72145178155</c:v>
                </c:pt>
                <c:pt idx="93">
                  <c:v>14077.76486981685</c:v>
                </c:pt>
                <c:pt idx="94">
                  <c:v>14316.785359501337</c:v>
                </c:pt>
                <c:pt idx="95">
                  <c:v>14555.784739313889</c:v>
                </c:pt>
                <c:pt idx="96">
                  <c:v>14794.764670806995</c:v>
                </c:pt>
                <c:pt idx="97">
                  <c:v>15033.72667076598</c:v>
                </c:pt>
                <c:pt idx="98">
                  <c:v>15272.67212307611</c:v>
                </c:pt>
                <c:pt idx="99">
                  <c:v>15511.602290080864</c:v>
                </c:pt>
                <c:pt idx="100">
                  <c:v>15750.518323295846</c:v>
                </c:pt>
                <c:pt idx="101">
                  <c:v>15989.42127340331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'Chart Data Zero Gas'!$B$12:$B$113</c:f>
              <c:numCache>
                <c:formatCode>General</c:formatCode>
                <c:ptCount val="102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4000</c:v>
                </c:pt>
                <c:pt idx="52">
                  <c:v>4240</c:v>
                </c:pt>
                <c:pt idx="53">
                  <c:v>4480</c:v>
                </c:pt>
                <c:pt idx="54">
                  <c:v>4720</c:v>
                </c:pt>
                <c:pt idx="55">
                  <c:v>4960</c:v>
                </c:pt>
                <c:pt idx="56">
                  <c:v>5200</c:v>
                </c:pt>
                <c:pt idx="57">
                  <c:v>5440</c:v>
                </c:pt>
                <c:pt idx="58">
                  <c:v>5680</c:v>
                </c:pt>
                <c:pt idx="59">
                  <c:v>5920</c:v>
                </c:pt>
                <c:pt idx="60">
                  <c:v>6160</c:v>
                </c:pt>
                <c:pt idx="61">
                  <c:v>6400</c:v>
                </c:pt>
                <c:pt idx="62">
                  <c:v>6640</c:v>
                </c:pt>
                <c:pt idx="63">
                  <c:v>6880</c:v>
                </c:pt>
                <c:pt idx="64">
                  <c:v>7120</c:v>
                </c:pt>
                <c:pt idx="65">
                  <c:v>7360</c:v>
                </c:pt>
                <c:pt idx="66">
                  <c:v>7600</c:v>
                </c:pt>
                <c:pt idx="67">
                  <c:v>7840</c:v>
                </c:pt>
                <c:pt idx="68">
                  <c:v>8080</c:v>
                </c:pt>
                <c:pt idx="69">
                  <c:v>8320</c:v>
                </c:pt>
                <c:pt idx="70">
                  <c:v>8560</c:v>
                </c:pt>
                <c:pt idx="71">
                  <c:v>8800</c:v>
                </c:pt>
                <c:pt idx="72">
                  <c:v>9040</c:v>
                </c:pt>
                <c:pt idx="73">
                  <c:v>9280</c:v>
                </c:pt>
                <c:pt idx="74">
                  <c:v>9520</c:v>
                </c:pt>
                <c:pt idx="75">
                  <c:v>9760</c:v>
                </c:pt>
                <c:pt idx="76">
                  <c:v>10000</c:v>
                </c:pt>
                <c:pt idx="77">
                  <c:v>10240</c:v>
                </c:pt>
                <c:pt idx="78">
                  <c:v>10480</c:v>
                </c:pt>
                <c:pt idx="79">
                  <c:v>10720</c:v>
                </c:pt>
                <c:pt idx="80">
                  <c:v>10960</c:v>
                </c:pt>
                <c:pt idx="81">
                  <c:v>11200</c:v>
                </c:pt>
                <c:pt idx="82">
                  <c:v>11440</c:v>
                </c:pt>
                <c:pt idx="83">
                  <c:v>11680</c:v>
                </c:pt>
                <c:pt idx="84">
                  <c:v>11920</c:v>
                </c:pt>
                <c:pt idx="85">
                  <c:v>12160</c:v>
                </c:pt>
                <c:pt idx="86">
                  <c:v>12400</c:v>
                </c:pt>
                <c:pt idx="87">
                  <c:v>12640</c:v>
                </c:pt>
                <c:pt idx="88">
                  <c:v>12880</c:v>
                </c:pt>
                <c:pt idx="89">
                  <c:v>13120</c:v>
                </c:pt>
                <c:pt idx="90">
                  <c:v>13360</c:v>
                </c:pt>
                <c:pt idx="91">
                  <c:v>13600</c:v>
                </c:pt>
                <c:pt idx="92">
                  <c:v>13840</c:v>
                </c:pt>
                <c:pt idx="93">
                  <c:v>14080</c:v>
                </c:pt>
                <c:pt idx="94">
                  <c:v>14320</c:v>
                </c:pt>
                <c:pt idx="95">
                  <c:v>14560</c:v>
                </c:pt>
                <c:pt idx="96">
                  <c:v>14800</c:v>
                </c:pt>
                <c:pt idx="97">
                  <c:v>15040</c:v>
                </c:pt>
                <c:pt idx="98">
                  <c:v>15280</c:v>
                </c:pt>
                <c:pt idx="99">
                  <c:v>15520</c:v>
                </c:pt>
                <c:pt idx="100">
                  <c:v>15760</c:v>
                </c:pt>
                <c:pt idx="101">
                  <c:v>16000</c:v>
                </c:pt>
              </c:numCache>
            </c:numRef>
          </c:xVal>
          <c:yVal>
            <c:numRef>
              <c:f>'Chart Data Zero Gas'!$H$12:$H$113</c:f>
              <c:numCache>
                <c:formatCode>General</c:formatCode>
                <c:ptCount val="102"/>
                <c:pt idx="51">
                  <c:v>4072.1702626934825</c:v>
                </c:pt>
                <c:pt idx="52">
                  <c:v>4311.1835217017369</c:v>
                </c:pt>
                <c:pt idx="53">
                  <c:v>4550.2190847112324</c:v>
                </c:pt>
                <c:pt idx="54">
                  <c:v>4789.2788815754257</c:v>
                </c:pt>
                <c:pt idx="55">
                  <c:v>5028.3650190501767</c:v>
                </c:pt>
                <c:pt idx="56">
                  <c:v>5267.4797917666383</c:v>
                </c:pt>
                <c:pt idx="57">
                  <c:v>5506.6256915534532</c:v>
                </c:pt>
                <c:pt idx="58">
                  <c:v>5745.8054141200964</c:v>
                </c:pt>
                <c:pt idx="59">
                  <c:v>5985.0218618599174</c:v>
                </c:pt>
                <c:pt idx="60">
                  <c:v>6224.278141267152</c:v>
                </c:pt>
                <c:pt idx="61">
                  <c:v>6463.5775532153475</c:v>
                </c:pt>
                <c:pt idx="62">
                  <c:v>6702.9235741597158</c:v>
                </c:pt>
                <c:pt idx="63">
                  <c:v>6942.3198262658125</c:v>
                </c:pt>
                <c:pt idx="64">
                  <c:v>7181.7700346108923</c:v>
                </c:pt>
                <c:pt idx="65">
                  <c:v>7421.2779700407782</c:v>
                </c:pt>
                <c:pt idx="66">
                  <c:v>7660.8473770742694</c:v>
                </c:pt>
                <c:pt idx="67">
                  <c:v>7900.4818874740868</c:v>
                </c:pt>
                <c:pt idx="68">
                  <c:v>8140.1849217231629</c:v>
                </c:pt>
                <c:pt idx="69">
                  <c:v>8379.9595825284377</c:v>
                </c:pt>
                <c:pt idx="70">
                  <c:v>8619.8085463697917</c:v>
                </c:pt>
                <c:pt idx="71">
                  <c:v>8859.7339606613841</c:v>
                </c:pt>
                <c:pt idx="72">
                  <c:v>9099.7373548953237</c:v>
                </c:pt>
                <c:pt idx="73">
                  <c:v>9339.8195738552095</c:v>
                </c:pt>
                <c:pt idx="74">
                  <c:v>9579.9807394669951</c:v>
                </c:pt>
                <c:pt idx="75">
                  <c:v>9820.220245218472</c:v>
                </c:pt>
                <c:pt idx="76">
                  <c:v>10060.536783733172</c:v>
                </c:pt>
                <c:pt idx="77">
                  <c:v>10300.928404630768</c:v>
                </c:pt>
                <c:pt idx="78">
                  <c:v>10541.392596875912</c:v>
                </c:pt>
                <c:pt idx="79">
                  <c:v>10781.926387896985</c:v>
                </c:pt>
                <c:pt idx="80">
                  <c:v>11022.526451065945</c:v>
                </c:pt>
                <c:pt idx="81">
                  <c:v>11263.189213602278</c:v>
                </c:pt>
                <c:pt idx="82">
                  <c:v>11503.910958308623</c:v>
                </c:pt>
                <c:pt idx="83">
                  <c:v>11744.687914369621</c:v>
                </c:pt>
                <c:pt idx="84">
                  <c:v>11985.516334366735</c:v>
                </c:pt>
                <c:pt idx="85">
                  <c:v>12226.392556389863</c:v>
                </c:pt>
                <c:pt idx="86">
                  <c:v>12467.31305149163</c:v>
                </c:pt>
                <c:pt idx="87">
                  <c:v>12708.274457676564</c:v>
                </c:pt>
                <c:pt idx="88">
                  <c:v>12949.273602170066</c:v>
                </c:pt>
                <c:pt idx="89">
                  <c:v>13190.30751394385</c:v>
                </c:pt>
                <c:pt idx="90">
                  <c:v>13431.373428472793</c:v>
                </c:pt>
                <c:pt idx="91">
                  <c:v>13672.468786547024</c:v>
                </c:pt>
                <c:pt idx="92">
                  <c:v>13913.591228731055</c:v>
                </c:pt>
                <c:pt idx="93">
                  <c:v>14154.738586799327</c:v>
                </c:pt>
                <c:pt idx="94">
                  <c:v>14395.908873218417</c:v>
                </c:pt>
                <c:pt idx="95">
                  <c:v>14637.100269509441</c:v>
                </c:pt>
                <c:pt idx="96">
                  <c:v>14878.311114119912</c:v>
                </c:pt>
                <c:pt idx="97">
                  <c:v>15119.539890264503</c:v>
                </c:pt>
                <c:pt idx="98">
                  <c:v>15360.785214057945</c:v>
                </c:pt>
                <c:pt idx="99">
                  <c:v>15602.045823156768</c:v>
                </c:pt>
                <c:pt idx="100">
                  <c:v>15843.320566045362</c:v>
                </c:pt>
                <c:pt idx="101">
                  <c:v>16084.608392041475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449616"/>
        <c:axId val="301449224"/>
      </c:scatterChart>
      <c:valAx>
        <c:axId val="30144961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370372959761826"/>
              <c:y val="0.92810454158156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449224"/>
        <c:crosses val="autoZero"/>
        <c:crossBetween val="midCat"/>
      </c:valAx>
      <c:valAx>
        <c:axId val="3014492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4814801867857528E-2"/>
              <c:y val="0.416122079356719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4496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26193118756938"/>
          <c:y val="0.3099510603588907"/>
          <c:w val="0.23862375138734737"/>
          <c:h val="0.114192495921696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Linear Model</a:t>
            </a:r>
          </a:p>
        </c:rich>
      </c:tx>
      <c:layout>
        <c:manualLayout>
          <c:xMode val="edge"/>
          <c:yMode val="edge"/>
          <c:x val="0.38518519813214247"/>
          <c:y val="1.960788343545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1864594894561"/>
          <c:y val="0.13213703099510604"/>
          <c:w val="0.86903440621531636"/>
          <c:h val="0.7699836867862969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'Chart Data Zero Gas'!$B$12:$B$61</c:f>
              <c:numCache>
                <c:formatCode>General</c:formatCode>
                <c:ptCount val="50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Zero Gas'!$F$12:$F$61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xVal>
            <c:numRef>
              <c:f>'Chart Data Zero Gas'!$B$12:$B$61</c:f>
              <c:numCache>
                <c:formatCode>General</c:formatCode>
                <c:ptCount val="50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Zero Gas'!$G$12:$G$61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 Zero Gas'!$B$12:$B$61</c:f>
              <c:numCache>
                <c:formatCode>General</c:formatCode>
                <c:ptCount val="50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Zero Gas'!$H$12:$H$61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'Chart Data Zero Gas'!$B$12:$B$61</c:f>
              <c:numCache>
                <c:formatCode>General</c:formatCode>
                <c:ptCount val="50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Zero Gas'!$I$12:$I$61</c:f>
              <c:numCache>
                <c:formatCode>General</c:formatCode>
                <c:ptCount val="50"/>
                <c:pt idx="0">
                  <c:v>-13.993404150964125</c:v>
                </c:pt>
                <c:pt idx="1">
                  <c:v>14.4286446113274</c:v>
                </c:pt>
                <c:pt idx="2">
                  <c:v>18.98156587887479</c:v>
                </c:pt>
                <c:pt idx="3">
                  <c:v>-11.717285297077979</c:v>
                </c:pt>
                <c:pt idx="4">
                  <c:v>-7.6995210420946023</c:v>
                </c:pt>
                <c:pt idx="5">
                  <c:v>-7.6995210420946023</c:v>
                </c:pt>
                <c:pt idx="6">
                  <c:v>-7.6995210420946023</c:v>
                </c:pt>
                <c:pt idx="7">
                  <c:v>-7.6995210420946023</c:v>
                </c:pt>
                <c:pt idx="8">
                  <c:v>-7.6995210420946023</c:v>
                </c:pt>
                <c:pt idx="9">
                  <c:v>-7.6995210420946023</c:v>
                </c:pt>
                <c:pt idx="10">
                  <c:v>-7.6995210420946023</c:v>
                </c:pt>
                <c:pt idx="11">
                  <c:v>-7.6995210420946023</c:v>
                </c:pt>
                <c:pt idx="12">
                  <c:v>-7.6995210420946023</c:v>
                </c:pt>
                <c:pt idx="13">
                  <c:v>-7.6995210420946023</c:v>
                </c:pt>
                <c:pt idx="14">
                  <c:v>-7.6995210420946023</c:v>
                </c:pt>
                <c:pt idx="15">
                  <c:v>-7.6995210420946023</c:v>
                </c:pt>
                <c:pt idx="16">
                  <c:v>-7.6995210420946023</c:v>
                </c:pt>
                <c:pt idx="17">
                  <c:v>-7.6995210420946023</c:v>
                </c:pt>
                <c:pt idx="18">
                  <c:v>-7.6995210420946023</c:v>
                </c:pt>
                <c:pt idx="19">
                  <c:v>-7.6995210420946023</c:v>
                </c:pt>
                <c:pt idx="20">
                  <c:v>-7.6995210420946023</c:v>
                </c:pt>
                <c:pt idx="21">
                  <c:v>-7.6995210420946023</c:v>
                </c:pt>
                <c:pt idx="22">
                  <c:v>-7.6995210420946023</c:v>
                </c:pt>
                <c:pt idx="23">
                  <c:v>-7.6995210420946023</c:v>
                </c:pt>
                <c:pt idx="24">
                  <c:v>-7.6995210420946023</c:v>
                </c:pt>
                <c:pt idx="25">
                  <c:v>-7.6995210420946023</c:v>
                </c:pt>
                <c:pt idx="26">
                  <c:v>-7.6995210420946023</c:v>
                </c:pt>
                <c:pt idx="27">
                  <c:v>-7.6995210420946023</c:v>
                </c:pt>
                <c:pt idx="28">
                  <c:v>-7.6995210420946023</c:v>
                </c:pt>
                <c:pt idx="29">
                  <c:v>-7.6995210420946023</c:v>
                </c:pt>
                <c:pt idx="30">
                  <c:v>-7.6995210420946023</c:v>
                </c:pt>
                <c:pt idx="31">
                  <c:v>-7.6995210420946023</c:v>
                </c:pt>
                <c:pt idx="32">
                  <c:v>-7.6995210420946023</c:v>
                </c:pt>
                <c:pt idx="33">
                  <c:v>-7.6995210420946023</c:v>
                </c:pt>
                <c:pt idx="34">
                  <c:v>-7.6995210420946023</c:v>
                </c:pt>
                <c:pt idx="35">
                  <c:v>-7.6995210420946023</c:v>
                </c:pt>
                <c:pt idx="36">
                  <c:v>-7.6995210420946023</c:v>
                </c:pt>
                <c:pt idx="37">
                  <c:v>-7.6995210420946023</c:v>
                </c:pt>
                <c:pt idx="38">
                  <c:v>-7.6995210420946023</c:v>
                </c:pt>
                <c:pt idx="39">
                  <c:v>-7.6995210420946023</c:v>
                </c:pt>
                <c:pt idx="40">
                  <c:v>-7.6995210420946023</c:v>
                </c:pt>
                <c:pt idx="41">
                  <c:v>-7.6995210420946023</c:v>
                </c:pt>
                <c:pt idx="42">
                  <c:v>-7.6995210420946023</c:v>
                </c:pt>
                <c:pt idx="43">
                  <c:v>-7.6995210420946023</c:v>
                </c:pt>
                <c:pt idx="44">
                  <c:v>-7.6995210420946023</c:v>
                </c:pt>
                <c:pt idx="45">
                  <c:v>-7.6995210420946023</c:v>
                </c:pt>
                <c:pt idx="46">
                  <c:v>-7.6995210420946023</c:v>
                </c:pt>
                <c:pt idx="47">
                  <c:v>-7.6995210420946023</c:v>
                </c:pt>
                <c:pt idx="48">
                  <c:v>-7.6995210420946023</c:v>
                </c:pt>
                <c:pt idx="49">
                  <c:v>-7.6995210420946023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448440"/>
        <c:axId val="301448048"/>
      </c:scatterChart>
      <c:valAx>
        <c:axId val="3014484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6814813520119081"/>
              <c:y val="0.92810454158156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448048"/>
        <c:crosses val="autoZero"/>
        <c:crossBetween val="midCat"/>
      </c:valAx>
      <c:valAx>
        <c:axId val="30144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4814801867857528E-2"/>
              <c:y val="0.2461873750283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4484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Quadratic Model</a:t>
            </a:r>
          </a:p>
        </c:rich>
      </c:tx>
      <c:layout>
        <c:manualLayout>
          <c:xMode val="edge"/>
          <c:yMode val="edge"/>
          <c:x val="0.33925920747143012"/>
          <c:y val="1.960788343545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13213703099510604"/>
          <c:w val="0.78579356270810208"/>
          <c:h val="0.72430668841761825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'Chart Data Zero Gas'!$B$12:$B$113</c:f>
              <c:numCache>
                <c:formatCode>General</c:formatCode>
                <c:ptCount val="102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4000</c:v>
                </c:pt>
                <c:pt idx="52">
                  <c:v>4240</c:v>
                </c:pt>
                <c:pt idx="53">
                  <c:v>4480</c:v>
                </c:pt>
                <c:pt idx="54">
                  <c:v>4720</c:v>
                </c:pt>
                <c:pt idx="55">
                  <c:v>4960</c:v>
                </c:pt>
                <c:pt idx="56">
                  <c:v>5200</c:v>
                </c:pt>
                <c:pt idx="57">
                  <c:v>5440</c:v>
                </c:pt>
                <c:pt idx="58">
                  <c:v>5680</c:v>
                </c:pt>
                <c:pt idx="59">
                  <c:v>5920</c:v>
                </c:pt>
                <c:pt idx="60">
                  <c:v>6160</c:v>
                </c:pt>
                <c:pt idx="61">
                  <c:v>6400</c:v>
                </c:pt>
                <c:pt idx="62">
                  <c:v>6640</c:v>
                </c:pt>
                <c:pt idx="63">
                  <c:v>6880</c:v>
                </c:pt>
                <c:pt idx="64">
                  <c:v>7120</c:v>
                </c:pt>
                <c:pt idx="65">
                  <c:v>7360</c:v>
                </c:pt>
                <c:pt idx="66">
                  <c:v>7600</c:v>
                </c:pt>
                <c:pt idx="67">
                  <c:v>7840</c:v>
                </c:pt>
                <c:pt idx="68">
                  <c:v>8080</c:v>
                </c:pt>
                <c:pt idx="69">
                  <c:v>8320</c:v>
                </c:pt>
                <c:pt idx="70">
                  <c:v>8560</c:v>
                </c:pt>
                <c:pt idx="71">
                  <c:v>8800</c:v>
                </c:pt>
                <c:pt idx="72">
                  <c:v>9040</c:v>
                </c:pt>
                <c:pt idx="73">
                  <c:v>9280</c:v>
                </c:pt>
                <c:pt idx="74">
                  <c:v>9520</c:v>
                </c:pt>
                <c:pt idx="75">
                  <c:v>9760</c:v>
                </c:pt>
                <c:pt idx="76">
                  <c:v>10000</c:v>
                </c:pt>
                <c:pt idx="77">
                  <c:v>10240</c:v>
                </c:pt>
                <c:pt idx="78">
                  <c:v>10480</c:v>
                </c:pt>
                <c:pt idx="79">
                  <c:v>10720</c:v>
                </c:pt>
                <c:pt idx="80">
                  <c:v>10960</c:v>
                </c:pt>
                <c:pt idx="81">
                  <c:v>11200</c:v>
                </c:pt>
                <c:pt idx="82">
                  <c:v>11440</c:v>
                </c:pt>
                <c:pt idx="83">
                  <c:v>11680</c:v>
                </c:pt>
                <c:pt idx="84">
                  <c:v>11920</c:v>
                </c:pt>
                <c:pt idx="85">
                  <c:v>12160</c:v>
                </c:pt>
                <c:pt idx="86">
                  <c:v>12400</c:v>
                </c:pt>
                <c:pt idx="87">
                  <c:v>12640</c:v>
                </c:pt>
                <c:pt idx="88">
                  <c:v>12880</c:v>
                </c:pt>
                <c:pt idx="89">
                  <c:v>13120</c:v>
                </c:pt>
                <c:pt idx="90">
                  <c:v>13360</c:v>
                </c:pt>
                <c:pt idx="91">
                  <c:v>13600</c:v>
                </c:pt>
                <c:pt idx="92">
                  <c:v>13840</c:v>
                </c:pt>
                <c:pt idx="93">
                  <c:v>14080</c:v>
                </c:pt>
                <c:pt idx="94">
                  <c:v>14320</c:v>
                </c:pt>
                <c:pt idx="95">
                  <c:v>14560</c:v>
                </c:pt>
                <c:pt idx="96">
                  <c:v>14800</c:v>
                </c:pt>
                <c:pt idx="97">
                  <c:v>15040</c:v>
                </c:pt>
                <c:pt idx="98">
                  <c:v>15280</c:v>
                </c:pt>
                <c:pt idx="99">
                  <c:v>15520</c:v>
                </c:pt>
                <c:pt idx="100">
                  <c:v>15760</c:v>
                </c:pt>
                <c:pt idx="101">
                  <c:v>16000</c:v>
                </c:pt>
              </c:numCache>
            </c:numRef>
          </c:xVal>
          <c:yVal>
            <c:numRef>
              <c:f>'Chart Data Zero Gas'!$C$12:$C$61</c:f>
              <c:numCache>
                <c:formatCode>General</c:formatCode>
                <c:ptCount val="50"/>
                <c:pt idx="0">
                  <c:v>16023.021428571428</c:v>
                </c:pt>
                <c:pt idx="1">
                  <c:v>12049.85367647059</c:v>
                </c:pt>
                <c:pt idx="2">
                  <c:v>8052.8167968750076</c:v>
                </c:pt>
                <c:pt idx="3">
                  <c:v>6021.3230452674898</c:v>
                </c:pt>
                <c:pt idx="4">
                  <c:v>4024.5459090909085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Curve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'Chart Data Zero Gas'!$B$12:$B$113</c:f>
              <c:numCache>
                <c:formatCode>General</c:formatCode>
                <c:ptCount val="102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4000</c:v>
                </c:pt>
                <c:pt idx="52">
                  <c:v>4240</c:v>
                </c:pt>
                <c:pt idx="53">
                  <c:v>4480</c:v>
                </c:pt>
                <c:pt idx="54">
                  <c:v>4720</c:v>
                </c:pt>
                <c:pt idx="55">
                  <c:v>4960</c:v>
                </c:pt>
                <c:pt idx="56">
                  <c:v>5200</c:v>
                </c:pt>
                <c:pt idx="57">
                  <c:v>5440</c:v>
                </c:pt>
                <c:pt idx="58">
                  <c:v>5680</c:v>
                </c:pt>
                <c:pt idx="59">
                  <c:v>5920</c:v>
                </c:pt>
                <c:pt idx="60">
                  <c:v>6160</c:v>
                </c:pt>
                <c:pt idx="61">
                  <c:v>6400</c:v>
                </c:pt>
                <c:pt idx="62">
                  <c:v>6640</c:v>
                </c:pt>
                <c:pt idx="63">
                  <c:v>6880</c:v>
                </c:pt>
                <c:pt idx="64">
                  <c:v>7120</c:v>
                </c:pt>
                <c:pt idx="65">
                  <c:v>7360</c:v>
                </c:pt>
                <c:pt idx="66">
                  <c:v>7600</c:v>
                </c:pt>
                <c:pt idx="67">
                  <c:v>7840</c:v>
                </c:pt>
                <c:pt idx="68">
                  <c:v>8080</c:v>
                </c:pt>
                <c:pt idx="69">
                  <c:v>8320</c:v>
                </c:pt>
                <c:pt idx="70">
                  <c:v>8560</c:v>
                </c:pt>
                <c:pt idx="71">
                  <c:v>8800</c:v>
                </c:pt>
                <c:pt idx="72">
                  <c:v>9040</c:v>
                </c:pt>
                <c:pt idx="73">
                  <c:v>9280</c:v>
                </c:pt>
                <c:pt idx="74">
                  <c:v>9520</c:v>
                </c:pt>
                <c:pt idx="75">
                  <c:v>9760</c:v>
                </c:pt>
                <c:pt idx="76">
                  <c:v>10000</c:v>
                </c:pt>
                <c:pt idx="77">
                  <c:v>10240</c:v>
                </c:pt>
                <c:pt idx="78">
                  <c:v>10480</c:v>
                </c:pt>
                <c:pt idx="79">
                  <c:v>10720</c:v>
                </c:pt>
                <c:pt idx="80">
                  <c:v>10960</c:v>
                </c:pt>
                <c:pt idx="81">
                  <c:v>11200</c:v>
                </c:pt>
                <c:pt idx="82">
                  <c:v>11440</c:v>
                </c:pt>
                <c:pt idx="83">
                  <c:v>11680</c:v>
                </c:pt>
                <c:pt idx="84">
                  <c:v>11920</c:v>
                </c:pt>
                <c:pt idx="85">
                  <c:v>12160</c:v>
                </c:pt>
                <c:pt idx="86">
                  <c:v>12400</c:v>
                </c:pt>
                <c:pt idx="87">
                  <c:v>12640</c:v>
                </c:pt>
                <c:pt idx="88">
                  <c:v>12880</c:v>
                </c:pt>
                <c:pt idx="89">
                  <c:v>13120</c:v>
                </c:pt>
                <c:pt idx="90">
                  <c:v>13360</c:v>
                </c:pt>
                <c:pt idx="91">
                  <c:v>13600</c:v>
                </c:pt>
                <c:pt idx="92">
                  <c:v>13840</c:v>
                </c:pt>
                <c:pt idx="93">
                  <c:v>14080</c:v>
                </c:pt>
                <c:pt idx="94">
                  <c:v>14320</c:v>
                </c:pt>
                <c:pt idx="95">
                  <c:v>14560</c:v>
                </c:pt>
                <c:pt idx="96">
                  <c:v>14800</c:v>
                </c:pt>
                <c:pt idx="97">
                  <c:v>15040</c:v>
                </c:pt>
                <c:pt idx="98">
                  <c:v>15280</c:v>
                </c:pt>
                <c:pt idx="99">
                  <c:v>15520</c:v>
                </c:pt>
                <c:pt idx="100">
                  <c:v>15760</c:v>
                </c:pt>
                <c:pt idx="101">
                  <c:v>16000</c:v>
                </c:pt>
              </c:numCache>
            </c:numRef>
          </c:xVal>
          <c:yVal>
            <c:numRef>
              <c:f>'Chart Data Zero Gas'!$J$12:$J$113</c:f>
              <c:numCache>
                <c:formatCode>General</c:formatCode>
                <c:ptCount val="102"/>
                <c:pt idx="51">
                  <c:v>4018.1173396777685</c:v>
                </c:pt>
                <c:pt idx="52">
                  <c:v>4260.5157622165261</c:v>
                </c:pt>
                <c:pt idx="53">
                  <c:v>4502.821273092698</c:v>
                </c:pt>
                <c:pt idx="54">
                  <c:v>4745.0338723062832</c:v>
                </c:pt>
                <c:pt idx="55">
                  <c:v>4987.1535598572837</c:v>
                </c:pt>
                <c:pt idx="56">
                  <c:v>5229.1803357456984</c:v>
                </c:pt>
                <c:pt idx="57">
                  <c:v>5471.1141999715264</c:v>
                </c:pt>
                <c:pt idx="58">
                  <c:v>5712.9551525347697</c:v>
                </c:pt>
                <c:pt idx="59">
                  <c:v>5954.7031934354272</c:v>
                </c:pt>
                <c:pt idx="60">
                  <c:v>6196.3583226734991</c:v>
                </c:pt>
                <c:pt idx="61">
                  <c:v>6437.9205402489843</c:v>
                </c:pt>
                <c:pt idx="62">
                  <c:v>6679.3898461618846</c:v>
                </c:pt>
                <c:pt idx="63">
                  <c:v>6920.7662404121984</c:v>
                </c:pt>
                <c:pt idx="64">
                  <c:v>7162.0497229999273</c:v>
                </c:pt>
                <c:pt idx="65">
                  <c:v>7403.2402939250705</c:v>
                </c:pt>
                <c:pt idx="66">
                  <c:v>7644.3379531876271</c:v>
                </c:pt>
                <c:pt idx="67">
                  <c:v>7885.3427007875989</c:v>
                </c:pt>
                <c:pt idx="68">
                  <c:v>8126.2545367249859</c:v>
                </c:pt>
                <c:pt idx="69">
                  <c:v>8367.0734609997853</c:v>
                </c:pt>
                <c:pt idx="70">
                  <c:v>8607.7994736119981</c:v>
                </c:pt>
                <c:pt idx="71">
                  <c:v>8848.4325745616279</c:v>
                </c:pt>
                <c:pt idx="72">
                  <c:v>9088.9727638486711</c:v>
                </c:pt>
                <c:pt idx="73">
                  <c:v>9329.4200414731276</c:v>
                </c:pt>
                <c:pt idx="74">
                  <c:v>9569.7744074349976</c:v>
                </c:pt>
                <c:pt idx="75">
                  <c:v>9810.0358617342845</c:v>
                </c:pt>
                <c:pt idx="76">
                  <c:v>10050.204404370985</c:v>
                </c:pt>
                <c:pt idx="77">
                  <c:v>10290.280035345098</c:v>
                </c:pt>
                <c:pt idx="78">
                  <c:v>10530.262754656625</c:v>
                </c:pt>
                <c:pt idx="79">
                  <c:v>10770.15256230557</c:v>
                </c:pt>
                <c:pt idx="80">
                  <c:v>11009.949458291927</c:v>
                </c:pt>
                <c:pt idx="81">
                  <c:v>11249.653442615698</c:v>
                </c:pt>
                <c:pt idx="82">
                  <c:v>11489.264515276882</c:v>
                </c:pt>
                <c:pt idx="83">
                  <c:v>11728.782676275483</c:v>
                </c:pt>
                <c:pt idx="84">
                  <c:v>11968.207925611498</c:v>
                </c:pt>
                <c:pt idx="85">
                  <c:v>12207.540263284925</c:v>
                </c:pt>
                <c:pt idx="86">
                  <c:v>12446.779689295767</c:v>
                </c:pt>
                <c:pt idx="87">
                  <c:v>12685.926203644025</c:v>
                </c:pt>
                <c:pt idx="88">
                  <c:v>12924.979806329697</c:v>
                </c:pt>
                <c:pt idx="89">
                  <c:v>13163.940497352782</c:v>
                </c:pt>
                <c:pt idx="90">
                  <c:v>13402.80827671328</c:v>
                </c:pt>
                <c:pt idx="91">
                  <c:v>13641.583144411195</c:v>
                </c:pt>
                <c:pt idx="92">
                  <c:v>13880.265100446524</c:v>
                </c:pt>
                <c:pt idx="93">
                  <c:v>14118.854144819266</c:v>
                </c:pt>
                <c:pt idx="94">
                  <c:v>14357.350277529422</c:v>
                </c:pt>
                <c:pt idx="95">
                  <c:v>14595.753498576994</c:v>
                </c:pt>
                <c:pt idx="96">
                  <c:v>14834.06380796198</c:v>
                </c:pt>
                <c:pt idx="97">
                  <c:v>15072.28120568438</c:v>
                </c:pt>
                <c:pt idx="98">
                  <c:v>15310.405691744192</c:v>
                </c:pt>
                <c:pt idx="99">
                  <c:v>15548.437266141422</c:v>
                </c:pt>
                <c:pt idx="100">
                  <c:v>15786.375928876065</c:v>
                </c:pt>
                <c:pt idx="101">
                  <c:v>16024.221679948121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20884"/>
              </a:solidFill>
              <a:prstDash val="sysDash"/>
            </a:ln>
          </c:spPr>
          <c:marker>
            <c:symbol val="none"/>
          </c:marker>
          <c:xVal>
            <c:numRef>
              <c:f>'Chart Data Zero Gas'!$B$12:$B$113</c:f>
              <c:numCache>
                <c:formatCode>General</c:formatCode>
                <c:ptCount val="102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4000</c:v>
                </c:pt>
                <c:pt idx="52">
                  <c:v>4240</c:v>
                </c:pt>
                <c:pt idx="53">
                  <c:v>4480</c:v>
                </c:pt>
                <c:pt idx="54">
                  <c:v>4720</c:v>
                </c:pt>
                <c:pt idx="55">
                  <c:v>4960</c:v>
                </c:pt>
                <c:pt idx="56">
                  <c:v>5200</c:v>
                </c:pt>
                <c:pt idx="57">
                  <c:v>5440</c:v>
                </c:pt>
                <c:pt idx="58">
                  <c:v>5680</c:v>
                </c:pt>
                <c:pt idx="59">
                  <c:v>5920</c:v>
                </c:pt>
                <c:pt idx="60">
                  <c:v>6160</c:v>
                </c:pt>
                <c:pt idx="61">
                  <c:v>6400</c:v>
                </c:pt>
                <c:pt idx="62">
                  <c:v>6640</c:v>
                </c:pt>
                <c:pt idx="63">
                  <c:v>6880</c:v>
                </c:pt>
                <c:pt idx="64">
                  <c:v>7120</c:v>
                </c:pt>
                <c:pt idx="65">
                  <c:v>7360</c:v>
                </c:pt>
                <c:pt idx="66">
                  <c:v>7600</c:v>
                </c:pt>
                <c:pt idx="67">
                  <c:v>7840</c:v>
                </c:pt>
                <c:pt idx="68">
                  <c:v>8080</c:v>
                </c:pt>
                <c:pt idx="69">
                  <c:v>8320</c:v>
                </c:pt>
                <c:pt idx="70">
                  <c:v>8560</c:v>
                </c:pt>
                <c:pt idx="71">
                  <c:v>8800</c:v>
                </c:pt>
                <c:pt idx="72">
                  <c:v>9040</c:v>
                </c:pt>
                <c:pt idx="73">
                  <c:v>9280</c:v>
                </c:pt>
                <c:pt idx="74">
                  <c:v>9520</c:v>
                </c:pt>
                <c:pt idx="75">
                  <c:v>9760</c:v>
                </c:pt>
                <c:pt idx="76">
                  <c:v>10000</c:v>
                </c:pt>
                <c:pt idx="77">
                  <c:v>10240</c:v>
                </c:pt>
                <c:pt idx="78">
                  <c:v>10480</c:v>
                </c:pt>
                <c:pt idx="79">
                  <c:v>10720</c:v>
                </c:pt>
                <c:pt idx="80">
                  <c:v>10960</c:v>
                </c:pt>
                <c:pt idx="81">
                  <c:v>11200</c:v>
                </c:pt>
                <c:pt idx="82">
                  <c:v>11440</c:v>
                </c:pt>
                <c:pt idx="83">
                  <c:v>11680</c:v>
                </c:pt>
                <c:pt idx="84">
                  <c:v>11920</c:v>
                </c:pt>
                <c:pt idx="85">
                  <c:v>12160</c:v>
                </c:pt>
                <c:pt idx="86">
                  <c:v>12400</c:v>
                </c:pt>
                <c:pt idx="87">
                  <c:v>12640</c:v>
                </c:pt>
                <c:pt idx="88">
                  <c:v>12880</c:v>
                </c:pt>
                <c:pt idx="89">
                  <c:v>13120</c:v>
                </c:pt>
                <c:pt idx="90">
                  <c:v>13360</c:v>
                </c:pt>
                <c:pt idx="91">
                  <c:v>13600</c:v>
                </c:pt>
                <c:pt idx="92">
                  <c:v>13840</c:v>
                </c:pt>
                <c:pt idx="93">
                  <c:v>14080</c:v>
                </c:pt>
                <c:pt idx="94">
                  <c:v>14320</c:v>
                </c:pt>
                <c:pt idx="95">
                  <c:v>14560</c:v>
                </c:pt>
                <c:pt idx="96">
                  <c:v>14800</c:v>
                </c:pt>
                <c:pt idx="97">
                  <c:v>15040</c:v>
                </c:pt>
                <c:pt idx="98">
                  <c:v>15280</c:v>
                </c:pt>
                <c:pt idx="99">
                  <c:v>15520</c:v>
                </c:pt>
                <c:pt idx="100">
                  <c:v>15760</c:v>
                </c:pt>
                <c:pt idx="101">
                  <c:v>16000</c:v>
                </c:pt>
              </c:numCache>
            </c:numRef>
          </c:xVal>
          <c:yVal>
            <c:numRef>
              <c:f>'Chart Data Zero Gas'!$K$12:$K$113</c:f>
              <c:numCache>
                <c:formatCode>General</c:formatCode>
                <c:ptCount val="102"/>
                <c:pt idx="51">
                  <c:v>3972.319855620975</c:v>
                </c:pt>
                <c:pt idx="52">
                  <c:v>4218.1941918483471</c:v>
                </c:pt>
                <c:pt idx="53">
                  <c:v>4463.6153842086696</c:v>
                </c:pt>
                <c:pt idx="54">
                  <c:v>4708.5578944176568</c:v>
                </c:pt>
                <c:pt idx="55">
                  <c:v>4952.9975348169537</c:v>
                </c:pt>
                <c:pt idx="56">
                  <c:v>5196.9150170719522</c:v>
                </c:pt>
                <c:pt idx="57">
                  <c:v>5440.3004074128903</c:v>
                </c:pt>
                <c:pt idx="58">
                  <c:v>5683.1575260834197</c:v>
                </c:pt>
                <c:pt idx="59">
                  <c:v>5925.5068030156863</c:v>
                </c:pt>
                <c:pt idx="60">
                  <c:v>6167.3852512830154</c:v>
                </c:pt>
                <c:pt idx="61">
                  <c:v>6408.8432407733135</c:v>
                </c:pt>
                <c:pt idx="62">
                  <c:v>6649.9390855162983</c:v>
                </c:pt>
                <c:pt idx="63">
                  <c:v>6890.7331886617521</c:v>
                </c:pt>
                <c:pt idx="64">
                  <c:v>7131.2832429653408</c:v>
                </c:pt>
                <c:pt idx="65">
                  <c:v>7371.6411695386523</c:v>
                </c:pt>
                <c:pt idx="66">
                  <c:v>7611.851722581644</c:v>
                </c:pt>
                <c:pt idx="67">
                  <c:v>7851.9523050485977</c:v>
                </c:pt>
                <c:pt idx="68">
                  <c:v>8091.9734895280353</c:v>
                </c:pt>
                <c:pt idx="69">
                  <c:v>8331.9398519885435</c:v>
                </c:pt>
                <c:pt idx="70">
                  <c:v>8571.8708710130577</c:v>
                </c:pt>
                <c:pt idx="71">
                  <c:v>8811.7817613079042</c:v>
                </c:pt>
                <c:pt idx="72">
                  <c:v>9051.6841854602553</c:v>
                </c:pt>
                <c:pt idx="73">
                  <c:v>9291.5868298354326</c:v>
                </c:pt>
                <c:pt idx="74">
                  <c:v>9531.4958506177882</c:v>
                </c:pt>
                <c:pt idx="75">
                  <c:v>9771.4152035573297</c:v>
                </c:pt>
                <c:pt idx="76">
                  <c:v>10011.346872034721</c:v>
                </c:pt>
                <c:pt idx="77">
                  <c:v>10251.291006114998</c:v>
                </c:pt>
                <c:pt idx="78">
                  <c:v>10491.245982213437</c:v>
                </c:pt>
                <c:pt idx="79">
                  <c:v>10731.208389815953</c:v>
                </c:pt>
                <c:pt idx="80">
                  <c:v>10971.172948902487</c:v>
                </c:pt>
                <c:pt idx="81">
                  <c:v>11211.132359690806</c:v>
                </c:pt>
                <c:pt idx="82">
                  <c:v>11451.077085484636</c:v>
                </c:pt>
                <c:pt idx="83">
                  <c:v>11690.99507043315</c:v>
                </c:pt>
                <c:pt idx="84">
                  <c:v>11930.871397908464</c:v>
                </c:pt>
                <c:pt idx="85">
                  <c:v>12170.687903456605</c:v>
                </c:pt>
                <c:pt idx="86">
                  <c:v>12410.422770733279</c:v>
                </c:pt>
                <c:pt idx="87">
                  <c:v>12650.050161296936</c:v>
                </c:pt>
                <c:pt idx="88">
                  <c:v>12889.539960129174</c:v>
                </c:pt>
                <c:pt idx="89">
                  <c:v>13128.857755176405</c:v>
                </c:pt>
                <c:pt idx="90">
                  <c:v>13367.96520080249</c:v>
                </c:pt>
                <c:pt idx="91">
                  <c:v>13606.820921372975</c:v>
                </c:pt>
                <c:pt idx="92">
                  <c:v>13845.382063442954</c:v>
                </c:pt>
                <c:pt idx="93">
                  <c:v>14083.60647904876</c:v>
                </c:pt>
                <c:pt idx="94">
                  <c:v>14321.455325029096</c:v>
                </c:pt>
                <c:pt idx="95">
                  <c:v>14558.895656204379</c:v>
                </c:pt>
                <c:pt idx="96">
                  <c:v>14795.902482092635</c:v>
                </c:pt>
                <c:pt idx="97">
                  <c:v>15032.459839231955</c:v>
                </c:pt>
                <c:pt idx="98">
                  <c:v>15268.560697771913</c:v>
                </c:pt>
                <c:pt idx="99">
                  <c:v>15504.205850207061</c:v>
                </c:pt>
                <c:pt idx="100">
                  <c:v>15739.40216579914</c:v>
                </c:pt>
                <c:pt idx="101">
                  <c:v>15974.160653198094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'Chart Data Zero Gas'!$B$12:$B$113</c:f>
              <c:numCache>
                <c:formatCode>General</c:formatCode>
                <c:ptCount val="102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4000</c:v>
                </c:pt>
                <c:pt idx="52">
                  <c:v>4240</c:v>
                </c:pt>
                <c:pt idx="53">
                  <c:v>4480</c:v>
                </c:pt>
                <c:pt idx="54">
                  <c:v>4720</c:v>
                </c:pt>
                <c:pt idx="55">
                  <c:v>4960</c:v>
                </c:pt>
                <c:pt idx="56">
                  <c:v>5200</c:v>
                </c:pt>
                <c:pt idx="57">
                  <c:v>5440</c:v>
                </c:pt>
                <c:pt idx="58">
                  <c:v>5680</c:v>
                </c:pt>
                <c:pt idx="59">
                  <c:v>5920</c:v>
                </c:pt>
                <c:pt idx="60">
                  <c:v>6160</c:v>
                </c:pt>
                <c:pt idx="61">
                  <c:v>6400</c:v>
                </c:pt>
                <c:pt idx="62">
                  <c:v>6640</c:v>
                </c:pt>
                <c:pt idx="63">
                  <c:v>6880</c:v>
                </c:pt>
                <c:pt idx="64">
                  <c:v>7120</c:v>
                </c:pt>
                <c:pt idx="65">
                  <c:v>7360</c:v>
                </c:pt>
                <c:pt idx="66">
                  <c:v>7600</c:v>
                </c:pt>
                <c:pt idx="67">
                  <c:v>7840</c:v>
                </c:pt>
                <c:pt idx="68">
                  <c:v>8080</c:v>
                </c:pt>
                <c:pt idx="69">
                  <c:v>8320</c:v>
                </c:pt>
                <c:pt idx="70">
                  <c:v>8560</c:v>
                </c:pt>
                <c:pt idx="71">
                  <c:v>8800</c:v>
                </c:pt>
                <c:pt idx="72">
                  <c:v>9040</c:v>
                </c:pt>
                <c:pt idx="73">
                  <c:v>9280</c:v>
                </c:pt>
                <c:pt idx="74">
                  <c:v>9520</c:v>
                </c:pt>
                <c:pt idx="75">
                  <c:v>9760</c:v>
                </c:pt>
                <c:pt idx="76">
                  <c:v>10000</c:v>
                </c:pt>
                <c:pt idx="77">
                  <c:v>10240</c:v>
                </c:pt>
                <c:pt idx="78">
                  <c:v>10480</c:v>
                </c:pt>
                <c:pt idx="79">
                  <c:v>10720</c:v>
                </c:pt>
                <c:pt idx="80">
                  <c:v>10960</c:v>
                </c:pt>
                <c:pt idx="81">
                  <c:v>11200</c:v>
                </c:pt>
                <c:pt idx="82">
                  <c:v>11440</c:v>
                </c:pt>
                <c:pt idx="83">
                  <c:v>11680</c:v>
                </c:pt>
                <c:pt idx="84">
                  <c:v>11920</c:v>
                </c:pt>
                <c:pt idx="85">
                  <c:v>12160</c:v>
                </c:pt>
                <c:pt idx="86">
                  <c:v>12400</c:v>
                </c:pt>
                <c:pt idx="87">
                  <c:v>12640</c:v>
                </c:pt>
                <c:pt idx="88">
                  <c:v>12880</c:v>
                </c:pt>
                <c:pt idx="89">
                  <c:v>13120</c:v>
                </c:pt>
                <c:pt idx="90">
                  <c:v>13360</c:v>
                </c:pt>
                <c:pt idx="91">
                  <c:v>13600</c:v>
                </c:pt>
                <c:pt idx="92">
                  <c:v>13840</c:v>
                </c:pt>
                <c:pt idx="93">
                  <c:v>14080</c:v>
                </c:pt>
                <c:pt idx="94">
                  <c:v>14320</c:v>
                </c:pt>
                <c:pt idx="95">
                  <c:v>14560</c:v>
                </c:pt>
                <c:pt idx="96">
                  <c:v>14800</c:v>
                </c:pt>
                <c:pt idx="97">
                  <c:v>15040</c:v>
                </c:pt>
                <c:pt idx="98">
                  <c:v>15280</c:v>
                </c:pt>
                <c:pt idx="99">
                  <c:v>15520</c:v>
                </c:pt>
                <c:pt idx="100">
                  <c:v>15760</c:v>
                </c:pt>
                <c:pt idx="101">
                  <c:v>16000</c:v>
                </c:pt>
              </c:numCache>
            </c:numRef>
          </c:xVal>
          <c:yVal>
            <c:numRef>
              <c:f>'Chart Data Zero Gas'!$L$12:$L$113</c:f>
              <c:numCache>
                <c:formatCode>General</c:formatCode>
                <c:ptCount val="102"/>
                <c:pt idx="51">
                  <c:v>4063.9148237345621</c:v>
                </c:pt>
                <c:pt idx="52">
                  <c:v>4302.8373325847051</c:v>
                </c:pt>
                <c:pt idx="53">
                  <c:v>4542.0271619767263</c:v>
                </c:pt>
                <c:pt idx="54">
                  <c:v>4781.5098501949096</c:v>
                </c:pt>
                <c:pt idx="55">
                  <c:v>5021.3095848976136</c:v>
                </c:pt>
                <c:pt idx="56">
                  <c:v>5261.4456544194445</c:v>
                </c:pt>
                <c:pt idx="57">
                  <c:v>5501.9279925301626</c:v>
                </c:pt>
                <c:pt idx="58">
                  <c:v>5742.7527789861197</c:v>
                </c:pt>
                <c:pt idx="59">
                  <c:v>5983.8995838551682</c:v>
                </c:pt>
                <c:pt idx="60">
                  <c:v>6225.3313940639828</c:v>
                </c:pt>
                <c:pt idx="61">
                  <c:v>6466.997839724655</c:v>
                </c:pt>
                <c:pt idx="62">
                  <c:v>6708.840606807471</c:v>
                </c:pt>
                <c:pt idx="63">
                  <c:v>6950.7992921626446</c:v>
                </c:pt>
                <c:pt idx="64">
                  <c:v>7192.8162030345138</c:v>
                </c:pt>
                <c:pt idx="65">
                  <c:v>7434.8394183114888</c:v>
                </c:pt>
                <c:pt idx="66">
                  <c:v>7676.8241837936102</c:v>
                </c:pt>
                <c:pt idx="67">
                  <c:v>7918.7330965266001</c:v>
                </c:pt>
                <c:pt idx="68">
                  <c:v>8160.5355839219364</c:v>
                </c:pt>
                <c:pt idx="69">
                  <c:v>8402.2070700110271</c:v>
                </c:pt>
                <c:pt idx="70">
                  <c:v>8643.7280762109385</c:v>
                </c:pt>
                <c:pt idx="71">
                  <c:v>8885.0833878153517</c:v>
                </c:pt>
                <c:pt idx="72">
                  <c:v>9126.2613422370869</c:v>
                </c:pt>
                <c:pt idx="73">
                  <c:v>9367.2532531108227</c:v>
                </c:pt>
                <c:pt idx="74">
                  <c:v>9608.0529642522069</c:v>
                </c:pt>
                <c:pt idx="75">
                  <c:v>9848.6565199112392</c:v>
                </c:pt>
                <c:pt idx="76">
                  <c:v>10089.061936707249</c:v>
                </c:pt>
                <c:pt idx="77">
                  <c:v>10329.269064575199</c:v>
                </c:pt>
                <c:pt idx="78">
                  <c:v>10569.279527099814</c:v>
                </c:pt>
                <c:pt idx="79">
                  <c:v>10809.096734795186</c:v>
                </c:pt>
                <c:pt idx="80">
                  <c:v>11048.725967681366</c:v>
                </c:pt>
                <c:pt idx="81">
                  <c:v>11288.174525540589</c:v>
                </c:pt>
                <c:pt idx="82">
                  <c:v>11527.451945069128</c:v>
                </c:pt>
                <c:pt idx="83">
                  <c:v>11766.570282117817</c:v>
                </c:pt>
                <c:pt idx="84">
                  <c:v>12005.544453314531</c:v>
                </c:pt>
                <c:pt idx="85">
                  <c:v>12244.392623113246</c:v>
                </c:pt>
                <c:pt idx="86">
                  <c:v>12483.136607858254</c:v>
                </c:pt>
                <c:pt idx="87">
                  <c:v>12721.802245991114</c:v>
                </c:pt>
                <c:pt idx="88">
                  <c:v>12960.41965253022</c:v>
                </c:pt>
                <c:pt idx="89">
                  <c:v>13199.023239529159</c:v>
                </c:pt>
                <c:pt idx="90">
                  <c:v>13437.651352624071</c:v>
                </c:pt>
                <c:pt idx="91">
                  <c:v>13676.345367449416</c:v>
                </c:pt>
                <c:pt idx="92">
                  <c:v>13915.148137450095</c:v>
                </c:pt>
                <c:pt idx="93">
                  <c:v>14154.101810589773</c:v>
                </c:pt>
                <c:pt idx="94">
                  <c:v>14393.245230029748</c:v>
                </c:pt>
                <c:pt idx="95">
                  <c:v>14632.61134094961</c:v>
                </c:pt>
                <c:pt idx="96">
                  <c:v>14872.225133831325</c:v>
                </c:pt>
                <c:pt idx="97">
                  <c:v>15112.102572136804</c:v>
                </c:pt>
                <c:pt idx="98">
                  <c:v>15352.250685716472</c:v>
                </c:pt>
                <c:pt idx="99">
                  <c:v>15592.668682075782</c:v>
                </c:pt>
                <c:pt idx="100">
                  <c:v>15833.34969195299</c:v>
                </c:pt>
                <c:pt idx="101">
                  <c:v>16074.282706698148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53704"/>
        <c:axId val="220685840"/>
      </c:scatterChart>
      <c:valAx>
        <c:axId val="21745370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370372959761826"/>
              <c:y val="0.92810454158156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85840"/>
        <c:crosses val="autoZero"/>
        <c:crossBetween val="midCat"/>
      </c:valAx>
      <c:valAx>
        <c:axId val="220685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4814801867857528E-2"/>
              <c:y val="0.416122079356719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4537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203107658157601"/>
          <c:y val="0.3099510603588907"/>
          <c:w val="0.24972253052164262"/>
          <c:h val="0.114192495921696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Quadratic Model</a:t>
            </a:r>
          </a:p>
        </c:rich>
      </c:tx>
      <c:layout>
        <c:manualLayout>
          <c:xMode val="edge"/>
          <c:yMode val="edge"/>
          <c:x val="0.36888892772976073"/>
          <c:y val="1.960788343545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2730299667037"/>
          <c:y val="0.13213703099510604"/>
          <c:w val="0.85904550499445065"/>
          <c:h val="0.7699836867862969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'Chart Data Zero Gas'!$B$12:$B$61</c:f>
              <c:numCache>
                <c:formatCode>General</c:formatCode>
                <c:ptCount val="50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Zero Gas'!$F$12:$F$61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xVal>
            <c:numRef>
              <c:f>'Chart Data Zero Gas'!$B$12:$B$61</c:f>
              <c:numCache>
                <c:formatCode>General</c:formatCode>
                <c:ptCount val="50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Zero Gas'!$G$12:$G$61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 Zero Gas'!$B$12:$B$61</c:f>
              <c:numCache>
                <c:formatCode>General</c:formatCode>
                <c:ptCount val="50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Zero Gas'!$H$12:$H$61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'Chart Data Zero Gas'!$B$12:$B$61</c:f>
              <c:numCache>
                <c:formatCode>General</c:formatCode>
                <c:ptCount val="50"/>
                <c:pt idx="0">
                  <c:v>16000</c:v>
                </c:pt>
                <c:pt idx="1">
                  <c:v>12000</c:v>
                </c:pt>
                <c:pt idx="2">
                  <c:v>8000</c:v>
                </c:pt>
                <c:pt idx="3">
                  <c:v>6000</c:v>
                </c:pt>
                <c:pt idx="4">
                  <c:v>4000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Zero Gas'!$M$12:$M$61</c:f>
              <c:numCache>
                <c:formatCode>General</c:formatCode>
                <c:ptCount val="50"/>
                <c:pt idx="0">
                  <c:v>-1.2002513766929042</c:v>
                </c:pt>
                <c:pt idx="1">
                  <c:v>1.8579814498843916</c:v>
                </c:pt>
                <c:pt idx="2">
                  <c:v>6.855881944419707</c:v>
                </c:pt>
                <c:pt idx="3">
                  <c:v>-13.9421814320267</c:v>
                </c:pt>
                <c:pt idx="4">
                  <c:v>6.4285694131399396</c:v>
                </c:pt>
                <c:pt idx="5">
                  <c:v>6.4285694131399396</c:v>
                </c:pt>
                <c:pt idx="6">
                  <c:v>6.4285694131399396</c:v>
                </c:pt>
                <c:pt idx="7">
                  <c:v>6.4285694131399396</c:v>
                </c:pt>
                <c:pt idx="8">
                  <c:v>6.4285694131399396</c:v>
                </c:pt>
                <c:pt idx="9">
                  <c:v>6.4285694131399396</c:v>
                </c:pt>
                <c:pt idx="10">
                  <c:v>6.4285694131399396</c:v>
                </c:pt>
                <c:pt idx="11">
                  <c:v>6.4285694131399396</c:v>
                </c:pt>
                <c:pt idx="12">
                  <c:v>6.4285694131399396</c:v>
                </c:pt>
                <c:pt idx="13">
                  <c:v>6.4285694131399396</c:v>
                </c:pt>
                <c:pt idx="14">
                  <c:v>6.4285694131399396</c:v>
                </c:pt>
                <c:pt idx="15">
                  <c:v>6.4285694131399396</c:v>
                </c:pt>
                <c:pt idx="16">
                  <c:v>6.4285694131399396</c:v>
                </c:pt>
                <c:pt idx="17">
                  <c:v>6.4285694131399396</c:v>
                </c:pt>
                <c:pt idx="18">
                  <c:v>6.4285694131399396</c:v>
                </c:pt>
                <c:pt idx="19">
                  <c:v>6.4285694131399396</c:v>
                </c:pt>
                <c:pt idx="20">
                  <c:v>6.4285694131399396</c:v>
                </c:pt>
                <c:pt idx="21">
                  <c:v>6.4285694131399396</c:v>
                </c:pt>
                <c:pt idx="22">
                  <c:v>6.4285694131399396</c:v>
                </c:pt>
                <c:pt idx="23">
                  <c:v>6.4285694131399396</c:v>
                </c:pt>
                <c:pt idx="24">
                  <c:v>6.4285694131399396</c:v>
                </c:pt>
                <c:pt idx="25">
                  <c:v>6.4285694131399396</c:v>
                </c:pt>
                <c:pt idx="26">
                  <c:v>6.4285694131399396</c:v>
                </c:pt>
                <c:pt idx="27">
                  <c:v>6.4285694131399396</c:v>
                </c:pt>
                <c:pt idx="28">
                  <c:v>6.4285694131399396</c:v>
                </c:pt>
                <c:pt idx="29">
                  <c:v>6.4285694131399396</c:v>
                </c:pt>
                <c:pt idx="30">
                  <c:v>6.4285694131399396</c:v>
                </c:pt>
                <c:pt idx="31">
                  <c:v>6.4285694131399396</c:v>
                </c:pt>
                <c:pt idx="32">
                  <c:v>6.4285694131399396</c:v>
                </c:pt>
                <c:pt idx="33">
                  <c:v>6.4285694131399396</c:v>
                </c:pt>
                <c:pt idx="34">
                  <c:v>6.4285694131399396</c:v>
                </c:pt>
                <c:pt idx="35">
                  <c:v>6.4285694131399396</c:v>
                </c:pt>
                <c:pt idx="36">
                  <c:v>6.4285694131399396</c:v>
                </c:pt>
                <c:pt idx="37">
                  <c:v>6.4285694131399396</c:v>
                </c:pt>
                <c:pt idx="38">
                  <c:v>6.4285694131399396</c:v>
                </c:pt>
                <c:pt idx="39">
                  <c:v>6.4285694131399396</c:v>
                </c:pt>
                <c:pt idx="40">
                  <c:v>6.4285694131399396</c:v>
                </c:pt>
                <c:pt idx="41">
                  <c:v>6.4285694131399396</c:v>
                </c:pt>
                <c:pt idx="42">
                  <c:v>6.4285694131399396</c:v>
                </c:pt>
                <c:pt idx="43">
                  <c:v>6.4285694131399396</c:v>
                </c:pt>
                <c:pt idx="44">
                  <c:v>6.4285694131399396</c:v>
                </c:pt>
                <c:pt idx="45">
                  <c:v>6.4285694131399396</c:v>
                </c:pt>
                <c:pt idx="46">
                  <c:v>6.4285694131399396</c:v>
                </c:pt>
                <c:pt idx="47">
                  <c:v>6.4285694131399396</c:v>
                </c:pt>
                <c:pt idx="48">
                  <c:v>6.4285694131399396</c:v>
                </c:pt>
                <c:pt idx="49">
                  <c:v>6.4285694131399396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86232"/>
        <c:axId val="183880008"/>
      </c:scatterChart>
      <c:valAx>
        <c:axId val="2206862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7407412586190317"/>
              <c:y val="0.92810454158156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880008"/>
        <c:crosses val="autoZero"/>
        <c:crossBetween val="midCat"/>
      </c:valAx>
      <c:valAx>
        <c:axId val="183880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4814801867857528E-2"/>
              <c:y val="0.2461873750283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86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Linear Model</a:t>
            </a:r>
          </a:p>
        </c:rich>
      </c:tx>
      <c:layout>
        <c:manualLayout>
          <c:xMode val="edge"/>
          <c:yMode val="edge"/>
          <c:x val="0.35407412586190323"/>
          <c:y val="1.960788343545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213703099510604"/>
          <c:w val="0.79800221975582686"/>
          <c:h val="0.72430668841761825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'Chart Data Pollutant'!$B$12:$B$113</c:f>
              <c:numCache>
                <c:formatCode>General</c:formatCode>
                <c:ptCount val="102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</c:v>
                </c:pt>
                <c:pt idx="52">
                  <c:v>40.76</c:v>
                </c:pt>
                <c:pt idx="53">
                  <c:v>41.519999999999996</c:v>
                </c:pt>
                <c:pt idx="54">
                  <c:v>42.279999999999994</c:v>
                </c:pt>
                <c:pt idx="55">
                  <c:v>43.039999999999992</c:v>
                </c:pt>
                <c:pt idx="56">
                  <c:v>43.79999999999999</c:v>
                </c:pt>
                <c:pt idx="57">
                  <c:v>44.559999999999988</c:v>
                </c:pt>
                <c:pt idx="58">
                  <c:v>45.319999999999986</c:v>
                </c:pt>
                <c:pt idx="59">
                  <c:v>46.079999999999984</c:v>
                </c:pt>
                <c:pt idx="60">
                  <c:v>46.839999999999982</c:v>
                </c:pt>
                <c:pt idx="61">
                  <c:v>47.59999999999998</c:v>
                </c:pt>
                <c:pt idx="62">
                  <c:v>48.359999999999978</c:v>
                </c:pt>
                <c:pt idx="63">
                  <c:v>49.119999999999976</c:v>
                </c:pt>
                <c:pt idx="64">
                  <c:v>49.879999999999974</c:v>
                </c:pt>
                <c:pt idx="65">
                  <c:v>50.639999999999972</c:v>
                </c:pt>
                <c:pt idx="66">
                  <c:v>51.39999999999997</c:v>
                </c:pt>
                <c:pt idx="67">
                  <c:v>52.159999999999968</c:v>
                </c:pt>
                <c:pt idx="68">
                  <c:v>52.919999999999966</c:v>
                </c:pt>
                <c:pt idx="69">
                  <c:v>53.679999999999964</c:v>
                </c:pt>
                <c:pt idx="70">
                  <c:v>54.439999999999962</c:v>
                </c:pt>
                <c:pt idx="71">
                  <c:v>55.19999999999996</c:v>
                </c:pt>
                <c:pt idx="72">
                  <c:v>55.959999999999958</c:v>
                </c:pt>
                <c:pt idx="73">
                  <c:v>56.719999999999956</c:v>
                </c:pt>
                <c:pt idx="74">
                  <c:v>57.479999999999954</c:v>
                </c:pt>
                <c:pt idx="75">
                  <c:v>58.239999999999952</c:v>
                </c:pt>
                <c:pt idx="76">
                  <c:v>58.99999999999995</c:v>
                </c:pt>
                <c:pt idx="77">
                  <c:v>59.759999999999948</c:v>
                </c:pt>
                <c:pt idx="78">
                  <c:v>60.519999999999946</c:v>
                </c:pt>
                <c:pt idx="79">
                  <c:v>61.279999999999944</c:v>
                </c:pt>
                <c:pt idx="80">
                  <c:v>62.039999999999942</c:v>
                </c:pt>
                <c:pt idx="81">
                  <c:v>62.79999999999994</c:v>
                </c:pt>
                <c:pt idx="82">
                  <c:v>63.559999999999938</c:v>
                </c:pt>
                <c:pt idx="83">
                  <c:v>64.319999999999936</c:v>
                </c:pt>
                <c:pt idx="84">
                  <c:v>65.079999999999941</c:v>
                </c:pt>
                <c:pt idx="85">
                  <c:v>65.839999999999947</c:v>
                </c:pt>
                <c:pt idx="86">
                  <c:v>66.599999999999952</c:v>
                </c:pt>
                <c:pt idx="87">
                  <c:v>67.359999999999957</c:v>
                </c:pt>
                <c:pt idx="88">
                  <c:v>68.119999999999962</c:v>
                </c:pt>
                <c:pt idx="89">
                  <c:v>68.879999999999967</c:v>
                </c:pt>
                <c:pt idx="90">
                  <c:v>69.639999999999972</c:v>
                </c:pt>
                <c:pt idx="91">
                  <c:v>70.399999999999977</c:v>
                </c:pt>
                <c:pt idx="92">
                  <c:v>71.159999999999982</c:v>
                </c:pt>
                <c:pt idx="93">
                  <c:v>71.919999999999987</c:v>
                </c:pt>
                <c:pt idx="94">
                  <c:v>72.679999999999993</c:v>
                </c:pt>
                <c:pt idx="95">
                  <c:v>73.44</c:v>
                </c:pt>
                <c:pt idx="96">
                  <c:v>74.2</c:v>
                </c:pt>
                <c:pt idx="97">
                  <c:v>74.960000000000008</c:v>
                </c:pt>
                <c:pt idx="98">
                  <c:v>75.720000000000013</c:v>
                </c:pt>
                <c:pt idx="99">
                  <c:v>76.480000000000018</c:v>
                </c:pt>
                <c:pt idx="100">
                  <c:v>77.240000000000023</c:v>
                </c:pt>
                <c:pt idx="101">
                  <c:v>78.000000000000028</c:v>
                </c:pt>
              </c:numCache>
            </c:numRef>
          </c:xVal>
          <c:yVal>
            <c:numRef>
              <c:f>'Chart Data Pollutant'!$C$12:$C$61</c:f>
              <c:numCache>
                <c:formatCode>General</c:formatCode>
                <c:ptCount val="50"/>
                <c:pt idx="0">
                  <c:v>78.452904109589028</c:v>
                </c:pt>
                <c:pt idx="1">
                  <c:v>70.198350364963531</c:v>
                </c:pt>
                <c:pt idx="2">
                  <c:v>60.277616000000002</c:v>
                </c:pt>
                <c:pt idx="3">
                  <c:v>50.198524271844661</c:v>
                </c:pt>
                <c:pt idx="4">
                  <c:v>40.026208333333329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Line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'Chart Data Pollutant'!$B$12:$B$113</c:f>
              <c:numCache>
                <c:formatCode>General</c:formatCode>
                <c:ptCount val="102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</c:v>
                </c:pt>
                <c:pt idx="52">
                  <c:v>40.76</c:v>
                </c:pt>
                <c:pt idx="53">
                  <c:v>41.519999999999996</c:v>
                </c:pt>
                <c:pt idx="54">
                  <c:v>42.279999999999994</c:v>
                </c:pt>
                <c:pt idx="55">
                  <c:v>43.039999999999992</c:v>
                </c:pt>
                <c:pt idx="56">
                  <c:v>43.79999999999999</c:v>
                </c:pt>
                <c:pt idx="57">
                  <c:v>44.559999999999988</c:v>
                </c:pt>
                <c:pt idx="58">
                  <c:v>45.319999999999986</c:v>
                </c:pt>
                <c:pt idx="59">
                  <c:v>46.079999999999984</c:v>
                </c:pt>
                <c:pt idx="60">
                  <c:v>46.839999999999982</c:v>
                </c:pt>
                <c:pt idx="61">
                  <c:v>47.59999999999998</c:v>
                </c:pt>
                <c:pt idx="62">
                  <c:v>48.359999999999978</c:v>
                </c:pt>
                <c:pt idx="63">
                  <c:v>49.119999999999976</c:v>
                </c:pt>
                <c:pt idx="64">
                  <c:v>49.879999999999974</c:v>
                </c:pt>
                <c:pt idx="65">
                  <c:v>50.639999999999972</c:v>
                </c:pt>
                <c:pt idx="66">
                  <c:v>51.39999999999997</c:v>
                </c:pt>
                <c:pt idx="67">
                  <c:v>52.159999999999968</c:v>
                </c:pt>
                <c:pt idx="68">
                  <c:v>52.919999999999966</c:v>
                </c:pt>
                <c:pt idx="69">
                  <c:v>53.679999999999964</c:v>
                </c:pt>
                <c:pt idx="70">
                  <c:v>54.439999999999962</c:v>
                </c:pt>
                <c:pt idx="71">
                  <c:v>55.19999999999996</c:v>
                </c:pt>
                <c:pt idx="72">
                  <c:v>55.959999999999958</c:v>
                </c:pt>
                <c:pt idx="73">
                  <c:v>56.719999999999956</c:v>
                </c:pt>
                <c:pt idx="74">
                  <c:v>57.479999999999954</c:v>
                </c:pt>
                <c:pt idx="75">
                  <c:v>58.239999999999952</c:v>
                </c:pt>
                <c:pt idx="76">
                  <c:v>58.99999999999995</c:v>
                </c:pt>
                <c:pt idx="77">
                  <c:v>59.759999999999948</c:v>
                </c:pt>
                <c:pt idx="78">
                  <c:v>60.519999999999946</c:v>
                </c:pt>
                <c:pt idx="79">
                  <c:v>61.279999999999944</c:v>
                </c:pt>
                <c:pt idx="80">
                  <c:v>62.039999999999942</c:v>
                </c:pt>
                <c:pt idx="81">
                  <c:v>62.79999999999994</c:v>
                </c:pt>
                <c:pt idx="82">
                  <c:v>63.559999999999938</c:v>
                </c:pt>
                <c:pt idx="83">
                  <c:v>64.319999999999936</c:v>
                </c:pt>
                <c:pt idx="84">
                  <c:v>65.079999999999941</c:v>
                </c:pt>
                <c:pt idx="85">
                  <c:v>65.839999999999947</c:v>
                </c:pt>
                <c:pt idx="86">
                  <c:v>66.599999999999952</c:v>
                </c:pt>
                <c:pt idx="87">
                  <c:v>67.359999999999957</c:v>
                </c:pt>
                <c:pt idx="88">
                  <c:v>68.119999999999962</c:v>
                </c:pt>
                <c:pt idx="89">
                  <c:v>68.879999999999967</c:v>
                </c:pt>
                <c:pt idx="90">
                  <c:v>69.639999999999972</c:v>
                </c:pt>
                <c:pt idx="91">
                  <c:v>70.399999999999977</c:v>
                </c:pt>
                <c:pt idx="92">
                  <c:v>71.159999999999982</c:v>
                </c:pt>
                <c:pt idx="93">
                  <c:v>71.919999999999987</c:v>
                </c:pt>
                <c:pt idx="94">
                  <c:v>72.679999999999993</c:v>
                </c:pt>
                <c:pt idx="95">
                  <c:v>73.44</c:v>
                </c:pt>
                <c:pt idx="96">
                  <c:v>74.2</c:v>
                </c:pt>
                <c:pt idx="97">
                  <c:v>74.960000000000008</c:v>
                </c:pt>
                <c:pt idx="98">
                  <c:v>75.720000000000013</c:v>
                </c:pt>
                <c:pt idx="99">
                  <c:v>76.480000000000018</c:v>
                </c:pt>
                <c:pt idx="100">
                  <c:v>77.240000000000023</c:v>
                </c:pt>
                <c:pt idx="101">
                  <c:v>78.000000000000028</c:v>
                </c:pt>
              </c:numCache>
            </c:numRef>
          </c:xVal>
          <c:yVal>
            <c:numRef>
              <c:f>'Chart Data Pollutant'!$F$12:$F$113</c:f>
              <c:numCache>
                <c:formatCode>General</c:formatCode>
                <c:ptCount val="102"/>
                <c:pt idx="51">
                  <c:v>40.059012355988557</c:v>
                </c:pt>
                <c:pt idx="52">
                  <c:v>40.825670431374661</c:v>
                </c:pt>
                <c:pt idx="53">
                  <c:v>41.592328506760758</c:v>
                </c:pt>
                <c:pt idx="54">
                  <c:v>42.358986582146862</c:v>
                </c:pt>
                <c:pt idx="55">
                  <c:v>43.125644657532966</c:v>
                </c:pt>
                <c:pt idx="56">
                  <c:v>43.89230273291907</c:v>
                </c:pt>
                <c:pt idx="57">
                  <c:v>44.658960808305167</c:v>
                </c:pt>
                <c:pt idx="58">
                  <c:v>45.425618883691271</c:v>
                </c:pt>
                <c:pt idx="59">
                  <c:v>46.192276959077375</c:v>
                </c:pt>
                <c:pt idx="60">
                  <c:v>46.958935034463472</c:v>
                </c:pt>
                <c:pt idx="61">
                  <c:v>47.725593109849576</c:v>
                </c:pt>
                <c:pt idx="62">
                  <c:v>48.492251185235681</c:v>
                </c:pt>
                <c:pt idx="63">
                  <c:v>49.258909260621785</c:v>
                </c:pt>
                <c:pt idx="64">
                  <c:v>50.025567336007882</c:v>
                </c:pt>
                <c:pt idx="65">
                  <c:v>50.792225411393986</c:v>
                </c:pt>
                <c:pt idx="66">
                  <c:v>51.55888348678009</c:v>
                </c:pt>
                <c:pt idx="67">
                  <c:v>52.325541562166187</c:v>
                </c:pt>
                <c:pt idx="68">
                  <c:v>53.092199637552291</c:v>
                </c:pt>
                <c:pt idx="69">
                  <c:v>53.858857712938395</c:v>
                </c:pt>
                <c:pt idx="70">
                  <c:v>54.625515788324499</c:v>
                </c:pt>
                <c:pt idx="71">
                  <c:v>55.392173863710596</c:v>
                </c:pt>
                <c:pt idx="72">
                  <c:v>56.1588319390967</c:v>
                </c:pt>
                <c:pt idx="73">
                  <c:v>56.925490014482804</c:v>
                </c:pt>
                <c:pt idx="74">
                  <c:v>57.692148089868908</c:v>
                </c:pt>
                <c:pt idx="75">
                  <c:v>58.458806165255005</c:v>
                </c:pt>
                <c:pt idx="76">
                  <c:v>59.225464240641109</c:v>
                </c:pt>
                <c:pt idx="77">
                  <c:v>59.992122316027213</c:v>
                </c:pt>
                <c:pt idx="78">
                  <c:v>60.75878039141331</c:v>
                </c:pt>
                <c:pt idx="79">
                  <c:v>61.525438466799415</c:v>
                </c:pt>
                <c:pt idx="80">
                  <c:v>62.292096542185519</c:v>
                </c:pt>
                <c:pt idx="81">
                  <c:v>63.058754617571623</c:v>
                </c:pt>
                <c:pt idx="82">
                  <c:v>63.825412692957727</c:v>
                </c:pt>
                <c:pt idx="83">
                  <c:v>64.592070768343817</c:v>
                </c:pt>
                <c:pt idx="84">
                  <c:v>65.358728843729935</c:v>
                </c:pt>
                <c:pt idx="85">
                  <c:v>66.125386919116039</c:v>
                </c:pt>
                <c:pt idx="86">
                  <c:v>66.892044994502157</c:v>
                </c:pt>
                <c:pt idx="87">
                  <c:v>67.658703069888261</c:v>
                </c:pt>
                <c:pt idx="88">
                  <c:v>68.425361145274366</c:v>
                </c:pt>
                <c:pt idx="89">
                  <c:v>69.192019220660484</c:v>
                </c:pt>
                <c:pt idx="90">
                  <c:v>69.958677296046588</c:v>
                </c:pt>
                <c:pt idx="91">
                  <c:v>70.725335371432692</c:v>
                </c:pt>
                <c:pt idx="92">
                  <c:v>71.49199344681881</c:v>
                </c:pt>
                <c:pt idx="93">
                  <c:v>72.258651522204914</c:v>
                </c:pt>
                <c:pt idx="94">
                  <c:v>73.025309597591018</c:v>
                </c:pt>
                <c:pt idx="95">
                  <c:v>73.791967672977137</c:v>
                </c:pt>
                <c:pt idx="96">
                  <c:v>74.558625748363241</c:v>
                </c:pt>
                <c:pt idx="97">
                  <c:v>75.325283823749359</c:v>
                </c:pt>
                <c:pt idx="98">
                  <c:v>76.091941899135463</c:v>
                </c:pt>
                <c:pt idx="99">
                  <c:v>76.858599974521567</c:v>
                </c:pt>
                <c:pt idx="100">
                  <c:v>77.625258049907686</c:v>
                </c:pt>
                <c:pt idx="101">
                  <c:v>78.39191612529379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20884"/>
              </a:solidFill>
              <a:prstDash val="sysDash"/>
            </a:ln>
          </c:spPr>
          <c:marker>
            <c:symbol val="none"/>
          </c:marker>
          <c:xVal>
            <c:numRef>
              <c:f>'Chart Data Pollutant'!$B$12:$B$113</c:f>
              <c:numCache>
                <c:formatCode>General</c:formatCode>
                <c:ptCount val="102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</c:v>
                </c:pt>
                <c:pt idx="52">
                  <c:v>40.76</c:v>
                </c:pt>
                <c:pt idx="53">
                  <c:v>41.519999999999996</c:v>
                </c:pt>
                <c:pt idx="54">
                  <c:v>42.279999999999994</c:v>
                </c:pt>
                <c:pt idx="55">
                  <c:v>43.039999999999992</c:v>
                </c:pt>
                <c:pt idx="56">
                  <c:v>43.79999999999999</c:v>
                </c:pt>
                <c:pt idx="57">
                  <c:v>44.559999999999988</c:v>
                </c:pt>
                <c:pt idx="58">
                  <c:v>45.319999999999986</c:v>
                </c:pt>
                <c:pt idx="59">
                  <c:v>46.079999999999984</c:v>
                </c:pt>
                <c:pt idx="60">
                  <c:v>46.839999999999982</c:v>
                </c:pt>
                <c:pt idx="61">
                  <c:v>47.59999999999998</c:v>
                </c:pt>
                <c:pt idx="62">
                  <c:v>48.359999999999978</c:v>
                </c:pt>
                <c:pt idx="63">
                  <c:v>49.119999999999976</c:v>
                </c:pt>
                <c:pt idx="64">
                  <c:v>49.879999999999974</c:v>
                </c:pt>
                <c:pt idx="65">
                  <c:v>50.639999999999972</c:v>
                </c:pt>
                <c:pt idx="66">
                  <c:v>51.39999999999997</c:v>
                </c:pt>
                <c:pt idx="67">
                  <c:v>52.159999999999968</c:v>
                </c:pt>
                <c:pt idx="68">
                  <c:v>52.919999999999966</c:v>
                </c:pt>
                <c:pt idx="69">
                  <c:v>53.679999999999964</c:v>
                </c:pt>
                <c:pt idx="70">
                  <c:v>54.439999999999962</c:v>
                </c:pt>
                <c:pt idx="71">
                  <c:v>55.19999999999996</c:v>
                </c:pt>
                <c:pt idx="72">
                  <c:v>55.959999999999958</c:v>
                </c:pt>
                <c:pt idx="73">
                  <c:v>56.719999999999956</c:v>
                </c:pt>
                <c:pt idx="74">
                  <c:v>57.479999999999954</c:v>
                </c:pt>
                <c:pt idx="75">
                  <c:v>58.239999999999952</c:v>
                </c:pt>
                <c:pt idx="76">
                  <c:v>58.99999999999995</c:v>
                </c:pt>
                <c:pt idx="77">
                  <c:v>59.759999999999948</c:v>
                </c:pt>
                <c:pt idx="78">
                  <c:v>60.519999999999946</c:v>
                </c:pt>
                <c:pt idx="79">
                  <c:v>61.279999999999944</c:v>
                </c:pt>
                <c:pt idx="80">
                  <c:v>62.039999999999942</c:v>
                </c:pt>
                <c:pt idx="81">
                  <c:v>62.79999999999994</c:v>
                </c:pt>
                <c:pt idx="82">
                  <c:v>63.559999999999938</c:v>
                </c:pt>
                <c:pt idx="83">
                  <c:v>64.319999999999936</c:v>
                </c:pt>
                <c:pt idx="84">
                  <c:v>65.079999999999941</c:v>
                </c:pt>
                <c:pt idx="85">
                  <c:v>65.839999999999947</c:v>
                </c:pt>
                <c:pt idx="86">
                  <c:v>66.599999999999952</c:v>
                </c:pt>
                <c:pt idx="87">
                  <c:v>67.359999999999957</c:v>
                </c:pt>
                <c:pt idx="88">
                  <c:v>68.119999999999962</c:v>
                </c:pt>
                <c:pt idx="89">
                  <c:v>68.879999999999967</c:v>
                </c:pt>
                <c:pt idx="90">
                  <c:v>69.639999999999972</c:v>
                </c:pt>
                <c:pt idx="91">
                  <c:v>70.399999999999977</c:v>
                </c:pt>
                <c:pt idx="92">
                  <c:v>71.159999999999982</c:v>
                </c:pt>
                <c:pt idx="93">
                  <c:v>71.919999999999987</c:v>
                </c:pt>
                <c:pt idx="94">
                  <c:v>72.679999999999993</c:v>
                </c:pt>
                <c:pt idx="95">
                  <c:v>73.44</c:v>
                </c:pt>
                <c:pt idx="96">
                  <c:v>74.2</c:v>
                </c:pt>
                <c:pt idx="97">
                  <c:v>74.960000000000008</c:v>
                </c:pt>
                <c:pt idx="98">
                  <c:v>75.720000000000013</c:v>
                </c:pt>
                <c:pt idx="99">
                  <c:v>76.480000000000018</c:v>
                </c:pt>
                <c:pt idx="100">
                  <c:v>77.240000000000023</c:v>
                </c:pt>
                <c:pt idx="101">
                  <c:v>78.000000000000028</c:v>
                </c:pt>
              </c:numCache>
            </c:numRef>
          </c:xVal>
          <c:yVal>
            <c:numRef>
              <c:f>'Chart Data Pollutant'!$G$12:$G$113</c:f>
              <c:numCache>
                <c:formatCode>General</c:formatCode>
                <c:ptCount val="102"/>
                <c:pt idx="51">
                  <c:v>39.832716048952719</c:v>
                </c:pt>
                <c:pt idx="52">
                  <c:v>40.605262180355027</c:v>
                </c:pt>
                <c:pt idx="53">
                  <c:v>41.377727527611775</c:v>
                </c:pt>
                <c:pt idx="54">
                  <c:v>42.150105352782994</c:v>
                </c:pt>
                <c:pt idx="55">
                  <c:v>42.922388266971403</c:v>
                </c:pt>
                <c:pt idx="56">
                  <c:v>43.694568170380393</c:v>
                </c:pt>
                <c:pt idx="57">
                  <c:v>44.466636190184396</c:v>
                </c:pt>
                <c:pt idx="58">
                  <c:v>45.238582617574416</c:v>
                </c:pt>
                <c:pt idx="59">
                  <c:v>46.010396845966405</c:v>
                </c:pt>
                <c:pt idx="60">
                  <c:v>46.782067313150968</c:v>
                </c:pt>
                <c:pt idx="61">
                  <c:v>47.553581451134271</c:v>
                </c:pt>
                <c:pt idx="62">
                  <c:v>48.324925648570193</c:v>
                </c:pt>
                <c:pt idx="63">
                  <c:v>49.096085231985064</c:v>
                </c:pt>
                <c:pt idx="64">
                  <c:v>49.867044473375131</c:v>
                </c:pt>
                <c:pt idx="65">
                  <c:v>50.637786633077894</c:v>
                </c:pt>
                <c:pt idx="66">
                  <c:v>51.408294047864402</c:v>
                </c:pt>
                <c:pt idx="67">
                  <c:v>52.178548274656819</c:v>
                </c:pt>
                <c:pt idx="68">
                  <c:v>52.94853029974017</c:v>
                </c:pt>
                <c:pt idx="69">
                  <c:v>53.718220821346506</c:v>
                </c:pt>
                <c:pt idx="70">
                  <c:v>54.48760060960737</c:v>
                </c:pt>
                <c:pt idx="71">
                  <c:v>55.256650941814634</c:v>
                </c:pt>
                <c:pt idx="72">
                  <c:v>56.025354102762144</c:v>
                </c:pt>
                <c:pt idx="73">
                  <c:v>56.79369393024438</c:v>
                </c:pt>
                <c:pt idx="74">
                  <c:v>57.561656375789809</c:v>
                </c:pt>
                <c:pt idx="75">
                  <c:v>58.32923004222026</c:v>
                </c:pt>
                <c:pt idx="76">
                  <c:v>59.096406654762475</c:v>
                </c:pt>
                <c:pt idx="77">
                  <c:v>59.8631814230583</c:v>
                </c:pt>
                <c:pt idx="78">
                  <c:v>60.629553258499541</c:v>
                </c:pt>
                <c:pt idx="79">
                  <c:v>61.395524824416107</c:v>
                </c:pt>
                <c:pt idx="80">
                  <c:v>62.161102413812614</c:v>
                </c:pt>
                <c:pt idx="81">
                  <c:v>62.926295667501236</c:v>
                </c:pt>
                <c:pt idx="82">
                  <c:v>63.691117161259861</c:v>
                </c:pt>
                <c:pt idx="83">
                  <c:v>64.455581901365704</c:v>
                </c:pt>
                <c:pt idx="84">
                  <c:v>65.219706772177901</c:v>
                </c:pt>
                <c:pt idx="85">
                  <c:v>65.983509977568218</c:v>
                </c:pt>
                <c:pt idx="86">
                  <c:v>66.747010511354176</c:v>
                </c:pt>
                <c:pt idx="87">
                  <c:v>67.510227682514696</c:v>
                </c:pt>
                <c:pt idx="88">
                  <c:v>68.273180710907283</c:v>
                </c:pt>
                <c:pt idx="89">
                  <c:v>69.035888400041145</c:v>
                </c:pt>
                <c:pt idx="90">
                  <c:v>69.798368886145312</c:v>
                </c:pt>
                <c:pt idx="91">
                  <c:v>70.560639457647383</c:v>
                </c:pt>
                <c:pt idx="92">
                  <c:v>71.322716436138762</c:v>
                </c:pt>
                <c:pt idx="93">
                  <c:v>72.084615108582199</c:v>
                </c:pt>
                <c:pt idx="94">
                  <c:v>72.846349700454155</c:v>
                </c:pt>
                <c:pt idx="95">
                  <c:v>73.607933380263759</c:v>
                </c:pt>
                <c:pt idx="96">
                  <c:v>74.369378287084416</c:v>
                </c:pt>
                <c:pt idx="97">
                  <c:v>75.130695574101196</c:v>
                </c:pt>
                <c:pt idx="98">
                  <c:v>75.891895462535132</c:v>
                </c:pt>
                <c:pt idx="99">
                  <c:v>76.652987301549942</c:v>
                </c:pt>
                <c:pt idx="100">
                  <c:v>77.413979630822169</c:v>
                </c:pt>
                <c:pt idx="101">
                  <c:v>78.174880243350955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'Chart Data Pollutant'!$B$12:$B$113</c:f>
              <c:numCache>
                <c:formatCode>General</c:formatCode>
                <c:ptCount val="102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</c:v>
                </c:pt>
                <c:pt idx="52">
                  <c:v>40.76</c:v>
                </c:pt>
                <c:pt idx="53">
                  <c:v>41.519999999999996</c:v>
                </c:pt>
                <c:pt idx="54">
                  <c:v>42.279999999999994</c:v>
                </c:pt>
                <c:pt idx="55">
                  <c:v>43.039999999999992</c:v>
                </c:pt>
                <c:pt idx="56">
                  <c:v>43.79999999999999</c:v>
                </c:pt>
                <c:pt idx="57">
                  <c:v>44.559999999999988</c:v>
                </c:pt>
                <c:pt idx="58">
                  <c:v>45.319999999999986</c:v>
                </c:pt>
                <c:pt idx="59">
                  <c:v>46.079999999999984</c:v>
                </c:pt>
                <c:pt idx="60">
                  <c:v>46.839999999999982</c:v>
                </c:pt>
                <c:pt idx="61">
                  <c:v>47.59999999999998</c:v>
                </c:pt>
                <c:pt idx="62">
                  <c:v>48.359999999999978</c:v>
                </c:pt>
                <c:pt idx="63">
                  <c:v>49.119999999999976</c:v>
                </c:pt>
                <c:pt idx="64">
                  <c:v>49.879999999999974</c:v>
                </c:pt>
                <c:pt idx="65">
                  <c:v>50.639999999999972</c:v>
                </c:pt>
                <c:pt idx="66">
                  <c:v>51.39999999999997</c:v>
                </c:pt>
                <c:pt idx="67">
                  <c:v>52.159999999999968</c:v>
                </c:pt>
                <c:pt idx="68">
                  <c:v>52.919999999999966</c:v>
                </c:pt>
                <c:pt idx="69">
                  <c:v>53.679999999999964</c:v>
                </c:pt>
                <c:pt idx="70">
                  <c:v>54.439999999999962</c:v>
                </c:pt>
                <c:pt idx="71">
                  <c:v>55.19999999999996</c:v>
                </c:pt>
                <c:pt idx="72">
                  <c:v>55.959999999999958</c:v>
                </c:pt>
                <c:pt idx="73">
                  <c:v>56.719999999999956</c:v>
                </c:pt>
                <c:pt idx="74">
                  <c:v>57.479999999999954</c:v>
                </c:pt>
                <c:pt idx="75">
                  <c:v>58.239999999999952</c:v>
                </c:pt>
                <c:pt idx="76">
                  <c:v>58.99999999999995</c:v>
                </c:pt>
                <c:pt idx="77">
                  <c:v>59.759999999999948</c:v>
                </c:pt>
                <c:pt idx="78">
                  <c:v>60.519999999999946</c:v>
                </c:pt>
                <c:pt idx="79">
                  <c:v>61.279999999999944</c:v>
                </c:pt>
                <c:pt idx="80">
                  <c:v>62.039999999999942</c:v>
                </c:pt>
                <c:pt idx="81">
                  <c:v>62.79999999999994</c:v>
                </c:pt>
                <c:pt idx="82">
                  <c:v>63.559999999999938</c:v>
                </c:pt>
                <c:pt idx="83">
                  <c:v>64.319999999999936</c:v>
                </c:pt>
                <c:pt idx="84">
                  <c:v>65.079999999999941</c:v>
                </c:pt>
                <c:pt idx="85">
                  <c:v>65.839999999999947</c:v>
                </c:pt>
                <c:pt idx="86">
                  <c:v>66.599999999999952</c:v>
                </c:pt>
                <c:pt idx="87">
                  <c:v>67.359999999999957</c:v>
                </c:pt>
                <c:pt idx="88">
                  <c:v>68.119999999999962</c:v>
                </c:pt>
                <c:pt idx="89">
                  <c:v>68.879999999999967</c:v>
                </c:pt>
                <c:pt idx="90">
                  <c:v>69.639999999999972</c:v>
                </c:pt>
                <c:pt idx="91">
                  <c:v>70.399999999999977</c:v>
                </c:pt>
                <c:pt idx="92">
                  <c:v>71.159999999999982</c:v>
                </c:pt>
                <c:pt idx="93">
                  <c:v>71.919999999999987</c:v>
                </c:pt>
                <c:pt idx="94">
                  <c:v>72.679999999999993</c:v>
                </c:pt>
                <c:pt idx="95">
                  <c:v>73.44</c:v>
                </c:pt>
                <c:pt idx="96">
                  <c:v>74.2</c:v>
                </c:pt>
                <c:pt idx="97">
                  <c:v>74.960000000000008</c:v>
                </c:pt>
                <c:pt idx="98">
                  <c:v>75.720000000000013</c:v>
                </c:pt>
                <c:pt idx="99">
                  <c:v>76.480000000000018</c:v>
                </c:pt>
                <c:pt idx="100">
                  <c:v>77.240000000000023</c:v>
                </c:pt>
                <c:pt idx="101">
                  <c:v>78.000000000000028</c:v>
                </c:pt>
              </c:numCache>
            </c:numRef>
          </c:xVal>
          <c:yVal>
            <c:numRef>
              <c:f>'Chart Data Pollutant'!$H$12:$H$113</c:f>
              <c:numCache>
                <c:formatCode>General</c:formatCode>
                <c:ptCount val="102"/>
                <c:pt idx="51">
                  <c:v>40.285308663024395</c:v>
                </c:pt>
                <c:pt idx="52">
                  <c:v>41.046078682394295</c:v>
                </c:pt>
                <c:pt idx="53">
                  <c:v>41.806929485909741</c:v>
                </c:pt>
                <c:pt idx="54">
                  <c:v>42.56786781151073</c:v>
                </c:pt>
                <c:pt idx="55">
                  <c:v>43.328901048094529</c:v>
                </c:pt>
                <c:pt idx="56">
                  <c:v>44.090037295457748</c:v>
                </c:pt>
                <c:pt idx="57">
                  <c:v>44.851285426425939</c:v>
                </c:pt>
                <c:pt idx="58">
                  <c:v>45.612655149808127</c:v>
                </c:pt>
                <c:pt idx="59">
                  <c:v>46.374157072188346</c:v>
                </c:pt>
                <c:pt idx="60">
                  <c:v>47.135802755775977</c:v>
                </c:pt>
                <c:pt idx="61">
                  <c:v>47.897604768564882</c:v>
                </c:pt>
                <c:pt idx="62">
                  <c:v>48.659576721901168</c:v>
                </c:pt>
                <c:pt idx="63">
                  <c:v>49.421733289258505</c:v>
                </c:pt>
                <c:pt idx="64">
                  <c:v>50.184090198640632</c:v>
                </c:pt>
                <c:pt idx="65">
                  <c:v>50.946664189710077</c:v>
                </c:pt>
                <c:pt idx="66">
                  <c:v>51.709472925695778</c:v>
                </c:pt>
                <c:pt idx="67">
                  <c:v>52.472534849675554</c:v>
                </c:pt>
                <c:pt idx="68">
                  <c:v>53.235868975364411</c:v>
                </c:pt>
                <c:pt idx="69">
                  <c:v>53.999494604530284</c:v>
                </c:pt>
                <c:pt idx="70">
                  <c:v>54.763430967041629</c:v>
                </c:pt>
                <c:pt idx="71">
                  <c:v>55.527696785606558</c:v>
                </c:pt>
                <c:pt idx="72">
                  <c:v>56.292309775431256</c:v>
                </c:pt>
                <c:pt idx="73">
                  <c:v>57.057286098721228</c:v>
                </c:pt>
                <c:pt idx="74">
                  <c:v>57.822639803948007</c:v>
                </c:pt>
                <c:pt idx="75">
                  <c:v>58.58838228828975</c:v>
                </c:pt>
                <c:pt idx="76">
                  <c:v>59.354521826519743</c:v>
                </c:pt>
                <c:pt idx="77">
                  <c:v>60.121063208996127</c:v>
                </c:pt>
                <c:pt idx="78">
                  <c:v>60.88800752432708</c:v>
                </c:pt>
                <c:pt idx="79">
                  <c:v>61.655352109182722</c:v>
                </c:pt>
                <c:pt idx="80">
                  <c:v>62.423090670558423</c:v>
                </c:pt>
                <c:pt idx="81">
                  <c:v>63.191213567642009</c:v>
                </c:pt>
                <c:pt idx="82">
                  <c:v>63.959708224655593</c:v>
                </c:pt>
                <c:pt idx="83">
                  <c:v>64.728559635321929</c:v>
                </c:pt>
                <c:pt idx="84">
                  <c:v>65.497750915281969</c:v>
                </c:pt>
                <c:pt idx="85">
                  <c:v>66.26726386066386</c:v>
                </c:pt>
                <c:pt idx="86">
                  <c:v>67.037079477650138</c:v>
                </c:pt>
                <c:pt idx="87">
                  <c:v>67.807178457261827</c:v>
                </c:pt>
                <c:pt idx="88">
                  <c:v>68.577541579641448</c:v>
                </c:pt>
                <c:pt idx="89">
                  <c:v>69.348150041279823</c:v>
                </c:pt>
                <c:pt idx="90">
                  <c:v>70.118985705947864</c:v>
                </c:pt>
                <c:pt idx="91">
                  <c:v>70.890031285218001</c:v>
                </c:pt>
                <c:pt idx="92">
                  <c:v>71.661270457498858</c:v>
                </c:pt>
                <c:pt idx="93">
                  <c:v>72.43268793582763</c:v>
                </c:pt>
                <c:pt idx="94">
                  <c:v>73.204269494727882</c:v>
                </c:pt>
                <c:pt idx="95">
                  <c:v>73.976001965690514</c:v>
                </c:pt>
                <c:pt idx="96">
                  <c:v>74.747873209642066</c:v>
                </c:pt>
                <c:pt idx="97">
                  <c:v>75.519872073397522</c:v>
                </c:pt>
                <c:pt idx="98">
                  <c:v>76.291988335735795</c:v>
                </c:pt>
                <c:pt idx="99">
                  <c:v>77.064212647493193</c:v>
                </c:pt>
                <c:pt idx="100">
                  <c:v>77.836536468993202</c:v>
                </c:pt>
                <c:pt idx="101">
                  <c:v>78.608952007236624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49592"/>
        <c:axId val="301549984"/>
      </c:scatterChart>
      <c:valAx>
        <c:axId val="3015495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370372959761826"/>
              <c:y val="0.92810454158156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549984"/>
        <c:crosses val="autoZero"/>
        <c:crossBetween val="midCat"/>
      </c:valAx>
      <c:valAx>
        <c:axId val="3015499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4814801867857528E-2"/>
              <c:y val="0.416122079356719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549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59156492785793"/>
          <c:y val="0.3099510603588907"/>
          <c:w val="0.23862375138734737"/>
          <c:h val="0.114192495921696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Linear Model</a:t>
            </a:r>
          </a:p>
        </c:rich>
      </c:tx>
      <c:layout>
        <c:manualLayout>
          <c:xMode val="edge"/>
          <c:yMode val="edge"/>
          <c:x val="0.38518519813214247"/>
          <c:y val="1.960788343545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1864594894561"/>
          <c:y val="0.13213703099510604"/>
          <c:w val="0.86903440621531636"/>
          <c:h val="0.7699836867862969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'Chart Data Pollutant'!$B$12:$B$61</c:f>
              <c:numCache>
                <c:formatCode>General</c:formatCode>
                <c:ptCount val="50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Pollutant'!$F$12:$F$61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xVal>
            <c:numRef>
              <c:f>'Chart Data Pollutant'!$B$12:$B$61</c:f>
              <c:numCache>
                <c:formatCode>General</c:formatCode>
                <c:ptCount val="50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Pollutant'!$G$12:$G$61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 Pollutant'!$B$12:$B$61</c:f>
              <c:numCache>
                <c:formatCode>General</c:formatCode>
                <c:ptCount val="50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Pollutant'!$H$12:$H$61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'Chart Data Pollutant'!$B$12:$B$61</c:f>
              <c:numCache>
                <c:formatCode>General</c:formatCode>
                <c:ptCount val="50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Pollutant'!$I$12:$I$61</c:f>
              <c:numCache>
                <c:formatCode>General</c:formatCode>
                <c:ptCount val="50"/>
                <c:pt idx="0">
                  <c:v>6.0987984295266529E-2</c:v>
                </c:pt>
                <c:pt idx="1">
                  <c:v>-0.12348075626597677</c:v>
                </c:pt>
                <c:pt idx="2">
                  <c:v>4.3391133850811059E-2</c:v>
                </c:pt>
                <c:pt idx="3">
                  <c:v>5.190566077578751E-2</c:v>
                </c:pt>
                <c:pt idx="4">
                  <c:v>-3.2804022655227527E-2</c:v>
                </c:pt>
                <c:pt idx="5">
                  <c:v>-3.2804022655227527E-2</c:v>
                </c:pt>
                <c:pt idx="6">
                  <c:v>-3.2804022655227527E-2</c:v>
                </c:pt>
                <c:pt idx="7">
                  <c:v>-3.2804022655227527E-2</c:v>
                </c:pt>
                <c:pt idx="8">
                  <c:v>-3.2804022655227527E-2</c:v>
                </c:pt>
                <c:pt idx="9">
                  <c:v>-3.2804022655227527E-2</c:v>
                </c:pt>
                <c:pt idx="10">
                  <c:v>-3.2804022655227527E-2</c:v>
                </c:pt>
                <c:pt idx="11">
                  <c:v>-3.2804022655227527E-2</c:v>
                </c:pt>
                <c:pt idx="12">
                  <c:v>-3.2804022655227527E-2</c:v>
                </c:pt>
                <c:pt idx="13">
                  <c:v>-3.2804022655227527E-2</c:v>
                </c:pt>
                <c:pt idx="14">
                  <c:v>-3.2804022655227527E-2</c:v>
                </c:pt>
                <c:pt idx="15">
                  <c:v>-3.2804022655227527E-2</c:v>
                </c:pt>
                <c:pt idx="16">
                  <c:v>-3.2804022655227527E-2</c:v>
                </c:pt>
                <c:pt idx="17">
                  <c:v>-3.2804022655227527E-2</c:v>
                </c:pt>
                <c:pt idx="18">
                  <c:v>-3.2804022655227527E-2</c:v>
                </c:pt>
                <c:pt idx="19">
                  <c:v>-3.2804022655227527E-2</c:v>
                </c:pt>
                <c:pt idx="20">
                  <c:v>-3.2804022655227527E-2</c:v>
                </c:pt>
                <c:pt idx="21">
                  <c:v>-3.2804022655227527E-2</c:v>
                </c:pt>
                <c:pt idx="22">
                  <c:v>-3.2804022655227527E-2</c:v>
                </c:pt>
                <c:pt idx="23">
                  <c:v>-3.2804022655227527E-2</c:v>
                </c:pt>
                <c:pt idx="24">
                  <c:v>-3.2804022655227527E-2</c:v>
                </c:pt>
                <c:pt idx="25">
                  <c:v>-3.2804022655227527E-2</c:v>
                </c:pt>
                <c:pt idx="26">
                  <c:v>-3.2804022655227527E-2</c:v>
                </c:pt>
                <c:pt idx="27">
                  <c:v>-3.2804022655227527E-2</c:v>
                </c:pt>
                <c:pt idx="28">
                  <c:v>-3.2804022655227527E-2</c:v>
                </c:pt>
                <c:pt idx="29">
                  <c:v>-3.2804022655227527E-2</c:v>
                </c:pt>
                <c:pt idx="30">
                  <c:v>-3.2804022655227527E-2</c:v>
                </c:pt>
                <c:pt idx="31">
                  <c:v>-3.2804022655227527E-2</c:v>
                </c:pt>
                <c:pt idx="32">
                  <c:v>-3.2804022655227527E-2</c:v>
                </c:pt>
                <c:pt idx="33">
                  <c:v>-3.2804022655227527E-2</c:v>
                </c:pt>
                <c:pt idx="34">
                  <c:v>-3.2804022655227527E-2</c:v>
                </c:pt>
                <c:pt idx="35">
                  <c:v>-3.2804022655227527E-2</c:v>
                </c:pt>
                <c:pt idx="36">
                  <c:v>-3.2804022655227527E-2</c:v>
                </c:pt>
                <c:pt idx="37">
                  <c:v>-3.2804022655227527E-2</c:v>
                </c:pt>
                <c:pt idx="38">
                  <c:v>-3.2804022655227527E-2</c:v>
                </c:pt>
                <c:pt idx="39">
                  <c:v>-3.2804022655227527E-2</c:v>
                </c:pt>
                <c:pt idx="40">
                  <c:v>-3.2804022655227527E-2</c:v>
                </c:pt>
                <c:pt idx="41">
                  <c:v>-3.2804022655227527E-2</c:v>
                </c:pt>
                <c:pt idx="42">
                  <c:v>-3.2804022655227527E-2</c:v>
                </c:pt>
                <c:pt idx="43">
                  <c:v>-3.2804022655227527E-2</c:v>
                </c:pt>
                <c:pt idx="44">
                  <c:v>-3.2804022655227527E-2</c:v>
                </c:pt>
                <c:pt idx="45">
                  <c:v>-3.2804022655227527E-2</c:v>
                </c:pt>
                <c:pt idx="46">
                  <c:v>-3.2804022655227527E-2</c:v>
                </c:pt>
                <c:pt idx="47">
                  <c:v>-3.2804022655227527E-2</c:v>
                </c:pt>
                <c:pt idx="48">
                  <c:v>-3.2804022655227527E-2</c:v>
                </c:pt>
                <c:pt idx="49">
                  <c:v>-3.2804022655227527E-2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48808"/>
        <c:axId val="301548416"/>
      </c:scatterChart>
      <c:valAx>
        <c:axId val="30154880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6814813520119081"/>
              <c:y val="0.92810454158156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548416"/>
        <c:crosses val="autoZero"/>
        <c:crossBetween val="midCat"/>
      </c:valAx>
      <c:valAx>
        <c:axId val="301548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4814801867857528E-2"/>
              <c:y val="0.2461873750283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5488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Initial Calibration, Quadratic Model</a:t>
            </a:r>
          </a:p>
        </c:rich>
      </c:tx>
      <c:layout>
        <c:manualLayout>
          <c:xMode val="edge"/>
          <c:yMode val="edge"/>
          <c:x val="0.33925920747143012"/>
          <c:y val="1.960788343545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3213703099510604"/>
          <c:w val="0.79800221975582686"/>
          <c:h val="0.72430668841761825"/>
        </c:manualLayout>
      </c:layout>
      <c:scatterChart>
        <c:scatterStyle val="lineMarker"/>
        <c:varyColors val="0"/>
        <c:ser>
          <c:idx val="0"/>
          <c:order val="0"/>
          <c:tx>
            <c:v>Calibration Points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'Chart Data Pollutant'!$B$12:$B$113</c:f>
              <c:numCache>
                <c:formatCode>General</c:formatCode>
                <c:ptCount val="102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</c:v>
                </c:pt>
                <c:pt idx="52">
                  <c:v>40.76</c:v>
                </c:pt>
                <c:pt idx="53">
                  <c:v>41.519999999999996</c:v>
                </c:pt>
                <c:pt idx="54">
                  <c:v>42.279999999999994</c:v>
                </c:pt>
                <c:pt idx="55">
                  <c:v>43.039999999999992</c:v>
                </c:pt>
                <c:pt idx="56">
                  <c:v>43.79999999999999</c:v>
                </c:pt>
                <c:pt idx="57">
                  <c:v>44.559999999999988</c:v>
                </c:pt>
                <c:pt idx="58">
                  <c:v>45.319999999999986</c:v>
                </c:pt>
                <c:pt idx="59">
                  <c:v>46.079999999999984</c:v>
                </c:pt>
                <c:pt idx="60">
                  <c:v>46.839999999999982</c:v>
                </c:pt>
                <c:pt idx="61">
                  <c:v>47.59999999999998</c:v>
                </c:pt>
                <c:pt idx="62">
                  <c:v>48.359999999999978</c:v>
                </c:pt>
                <c:pt idx="63">
                  <c:v>49.119999999999976</c:v>
                </c:pt>
                <c:pt idx="64">
                  <c:v>49.879999999999974</c:v>
                </c:pt>
                <c:pt idx="65">
                  <c:v>50.639999999999972</c:v>
                </c:pt>
                <c:pt idx="66">
                  <c:v>51.39999999999997</c:v>
                </c:pt>
                <c:pt idx="67">
                  <c:v>52.159999999999968</c:v>
                </c:pt>
                <c:pt idx="68">
                  <c:v>52.919999999999966</c:v>
                </c:pt>
                <c:pt idx="69">
                  <c:v>53.679999999999964</c:v>
                </c:pt>
                <c:pt idx="70">
                  <c:v>54.439999999999962</c:v>
                </c:pt>
                <c:pt idx="71">
                  <c:v>55.19999999999996</c:v>
                </c:pt>
                <c:pt idx="72">
                  <c:v>55.959999999999958</c:v>
                </c:pt>
                <c:pt idx="73">
                  <c:v>56.719999999999956</c:v>
                </c:pt>
                <c:pt idx="74">
                  <c:v>57.479999999999954</c:v>
                </c:pt>
                <c:pt idx="75">
                  <c:v>58.239999999999952</c:v>
                </c:pt>
                <c:pt idx="76">
                  <c:v>58.99999999999995</c:v>
                </c:pt>
                <c:pt idx="77">
                  <c:v>59.759999999999948</c:v>
                </c:pt>
                <c:pt idx="78">
                  <c:v>60.519999999999946</c:v>
                </c:pt>
                <c:pt idx="79">
                  <c:v>61.279999999999944</c:v>
                </c:pt>
                <c:pt idx="80">
                  <c:v>62.039999999999942</c:v>
                </c:pt>
                <c:pt idx="81">
                  <c:v>62.79999999999994</c:v>
                </c:pt>
                <c:pt idx="82">
                  <c:v>63.559999999999938</c:v>
                </c:pt>
                <c:pt idx="83">
                  <c:v>64.319999999999936</c:v>
                </c:pt>
                <c:pt idx="84">
                  <c:v>65.079999999999941</c:v>
                </c:pt>
                <c:pt idx="85">
                  <c:v>65.839999999999947</c:v>
                </c:pt>
                <c:pt idx="86">
                  <c:v>66.599999999999952</c:v>
                </c:pt>
                <c:pt idx="87">
                  <c:v>67.359999999999957</c:v>
                </c:pt>
                <c:pt idx="88">
                  <c:v>68.119999999999962</c:v>
                </c:pt>
                <c:pt idx="89">
                  <c:v>68.879999999999967</c:v>
                </c:pt>
                <c:pt idx="90">
                  <c:v>69.639999999999972</c:v>
                </c:pt>
                <c:pt idx="91">
                  <c:v>70.399999999999977</c:v>
                </c:pt>
                <c:pt idx="92">
                  <c:v>71.159999999999982</c:v>
                </c:pt>
                <c:pt idx="93">
                  <c:v>71.919999999999987</c:v>
                </c:pt>
                <c:pt idx="94">
                  <c:v>72.679999999999993</c:v>
                </c:pt>
                <c:pt idx="95">
                  <c:v>73.44</c:v>
                </c:pt>
                <c:pt idx="96">
                  <c:v>74.2</c:v>
                </c:pt>
                <c:pt idx="97">
                  <c:v>74.960000000000008</c:v>
                </c:pt>
                <c:pt idx="98">
                  <c:v>75.720000000000013</c:v>
                </c:pt>
                <c:pt idx="99">
                  <c:v>76.480000000000018</c:v>
                </c:pt>
                <c:pt idx="100">
                  <c:v>77.240000000000023</c:v>
                </c:pt>
                <c:pt idx="101">
                  <c:v>78.000000000000028</c:v>
                </c:pt>
              </c:numCache>
            </c:numRef>
          </c:xVal>
          <c:yVal>
            <c:numRef>
              <c:f>'Chart Data Pollutant'!$C$12:$C$61</c:f>
              <c:numCache>
                <c:formatCode>General</c:formatCode>
                <c:ptCount val="50"/>
                <c:pt idx="0">
                  <c:v>78.452904109589028</c:v>
                </c:pt>
                <c:pt idx="1">
                  <c:v>70.198350364963531</c:v>
                </c:pt>
                <c:pt idx="2">
                  <c:v>60.277616000000002</c:v>
                </c:pt>
                <c:pt idx="3">
                  <c:v>50.198524271844661</c:v>
                </c:pt>
                <c:pt idx="4">
                  <c:v>40.026208333333329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yVal>
          <c:smooth val="0"/>
        </c:ser>
        <c:ser>
          <c:idx val="1"/>
          <c:order val="1"/>
          <c:tx>
            <c:v>Estimated Calibration Curve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'Chart Data Pollutant'!$B$12:$B$113</c:f>
              <c:numCache>
                <c:formatCode>General</c:formatCode>
                <c:ptCount val="102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</c:v>
                </c:pt>
                <c:pt idx="52">
                  <c:v>40.76</c:v>
                </c:pt>
                <c:pt idx="53">
                  <c:v>41.519999999999996</c:v>
                </c:pt>
                <c:pt idx="54">
                  <c:v>42.279999999999994</c:v>
                </c:pt>
                <c:pt idx="55">
                  <c:v>43.039999999999992</c:v>
                </c:pt>
                <c:pt idx="56">
                  <c:v>43.79999999999999</c:v>
                </c:pt>
                <c:pt idx="57">
                  <c:v>44.559999999999988</c:v>
                </c:pt>
                <c:pt idx="58">
                  <c:v>45.319999999999986</c:v>
                </c:pt>
                <c:pt idx="59">
                  <c:v>46.079999999999984</c:v>
                </c:pt>
                <c:pt idx="60">
                  <c:v>46.839999999999982</c:v>
                </c:pt>
                <c:pt idx="61">
                  <c:v>47.59999999999998</c:v>
                </c:pt>
                <c:pt idx="62">
                  <c:v>48.359999999999978</c:v>
                </c:pt>
                <c:pt idx="63">
                  <c:v>49.119999999999976</c:v>
                </c:pt>
                <c:pt idx="64">
                  <c:v>49.879999999999974</c:v>
                </c:pt>
                <c:pt idx="65">
                  <c:v>50.639999999999972</c:v>
                </c:pt>
                <c:pt idx="66">
                  <c:v>51.39999999999997</c:v>
                </c:pt>
                <c:pt idx="67">
                  <c:v>52.159999999999968</c:v>
                </c:pt>
                <c:pt idx="68">
                  <c:v>52.919999999999966</c:v>
                </c:pt>
                <c:pt idx="69">
                  <c:v>53.679999999999964</c:v>
                </c:pt>
                <c:pt idx="70">
                  <c:v>54.439999999999962</c:v>
                </c:pt>
                <c:pt idx="71">
                  <c:v>55.19999999999996</c:v>
                </c:pt>
                <c:pt idx="72">
                  <c:v>55.959999999999958</c:v>
                </c:pt>
                <c:pt idx="73">
                  <c:v>56.719999999999956</c:v>
                </c:pt>
                <c:pt idx="74">
                  <c:v>57.479999999999954</c:v>
                </c:pt>
                <c:pt idx="75">
                  <c:v>58.239999999999952</c:v>
                </c:pt>
                <c:pt idx="76">
                  <c:v>58.99999999999995</c:v>
                </c:pt>
                <c:pt idx="77">
                  <c:v>59.759999999999948</c:v>
                </c:pt>
                <c:pt idx="78">
                  <c:v>60.519999999999946</c:v>
                </c:pt>
                <c:pt idx="79">
                  <c:v>61.279999999999944</c:v>
                </c:pt>
                <c:pt idx="80">
                  <c:v>62.039999999999942</c:v>
                </c:pt>
                <c:pt idx="81">
                  <c:v>62.79999999999994</c:v>
                </c:pt>
                <c:pt idx="82">
                  <c:v>63.559999999999938</c:v>
                </c:pt>
                <c:pt idx="83">
                  <c:v>64.319999999999936</c:v>
                </c:pt>
                <c:pt idx="84">
                  <c:v>65.079999999999941</c:v>
                </c:pt>
                <c:pt idx="85">
                  <c:v>65.839999999999947</c:v>
                </c:pt>
                <c:pt idx="86">
                  <c:v>66.599999999999952</c:v>
                </c:pt>
                <c:pt idx="87">
                  <c:v>67.359999999999957</c:v>
                </c:pt>
                <c:pt idx="88">
                  <c:v>68.119999999999962</c:v>
                </c:pt>
                <c:pt idx="89">
                  <c:v>68.879999999999967</c:v>
                </c:pt>
                <c:pt idx="90">
                  <c:v>69.639999999999972</c:v>
                </c:pt>
                <c:pt idx="91">
                  <c:v>70.399999999999977</c:v>
                </c:pt>
                <c:pt idx="92">
                  <c:v>71.159999999999982</c:v>
                </c:pt>
                <c:pt idx="93">
                  <c:v>71.919999999999987</c:v>
                </c:pt>
                <c:pt idx="94">
                  <c:v>72.679999999999993</c:v>
                </c:pt>
                <c:pt idx="95">
                  <c:v>73.44</c:v>
                </c:pt>
                <c:pt idx="96">
                  <c:v>74.2</c:v>
                </c:pt>
                <c:pt idx="97">
                  <c:v>74.960000000000008</c:v>
                </c:pt>
                <c:pt idx="98">
                  <c:v>75.720000000000013</c:v>
                </c:pt>
                <c:pt idx="99">
                  <c:v>76.480000000000018</c:v>
                </c:pt>
                <c:pt idx="100">
                  <c:v>77.240000000000023</c:v>
                </c:pt>
                <c:pt idx="101">
                  <c:v>78.000000000000028</c:v>
                </c:pt>
              </c:numCache>
            </c:numRef>
          </c:xVal>
          <c:yVal>
            <c:numRef>
              <c:f>'Chart Data Pollutant'!$J$12:$J$113</c:f>
              <c:numCache>
                <c:formatCode>General</c:formatCode>
                <c:ptCount val="102"/>
                <c:pt idx="51">
                  <c:v>40.058182541702649</c:v>
                </c:pt>
                <c:pt idx="52">
                  <c:v>40.824973475803155</c:v>
                </c:pt>
                <c:pt idx="53">
                  <c:v>41.591758994659536</c:v>
                </c:pt>
                <c:pt idx="54">
                  <c:v>42.358539098271784</c:v>
                </c:pt>
                <c:pt idx="55">
                  <c:v>43.125313786639907</c:v>
                </c:pt>
                <c:pt idx="56">
                  <c:v>43.892083059763898</c:v>
                </c:pt>
                <c:pt idx="57">
                  <c:v>44.658846917643764</c:v>
                </c:pt>
                <c:pt idx="58">
                  <c:v>45.425605360279498</c:v>
                </c:pt>
                <c:pt idx="59">
                  <c:v>46.192358387671106</c:v>
                </c:pt>
                <c:pt idx="60">
                  <c:v>46.959105999818583</c:v>
                </c:pt>
                <c:pt idx="61">
                  <c:v>47.725848196721934</c:v>
                </c:pt>
                <c:pt idx="62">
                  <c:v>48.492584978381153</c:v>
                </c:pt>
                <c:pt idx="63">
                  <c:v>49.25931634479624</c:v>
                </c:pt>
                <c:pt idx="64">
                  <c:v>50.026042295967201</c:v>
                </c:pt>
                <c:pt idx="65">
                  <c:v>50.792762831894038</c:v>
                </c:pt>
                <c:pt idx="66">
                  <c:v>51.559477952576742</c:v>
                </c:pt>
                <c:pt idx="67">
                  <c:v>52.326187658015321</c:v>
                </c:pt>
                <c:pt idx="68">
                  <c:v>53.092891948209768</c:v>
                </c:pt>
                <c:pt idx="69">
                  <c:v>53.85959082316009</c:v>
                </c:pt>
                <c:pt idx="70">
                  <c:v>54.62628428286628</c:v>
                </c:pt>
                <c:pt idx="71">
                  <c:v>55.392972327328344</c:v>
                </c:pt>
                <c:pt idx="72">
                  <c:v>56.159654956546277</c:v>
                </c:pt>
                <c:pt idx="73">
                  <c:v>56.926332170520084</c:v>
                </c:pt>
                <c:pt idx="74">
                  <c:v>57.693003969249759</c:v>
                </c:pt>
                <c:pt idx="75">
                  <c:v>58.459670352735309</c:v>
                </c:pt>
                <c:pt idx="76">
                  <c:v>59.226331320976726</c:v>
                </c:pt>
                <c:pt idx="77">
                  <c:v>59.992986873974019</c:v>
                </c:pt>
                <c:pt idx="78">
                  <c:v>60.759637011727179</c:v>
                </c:pt>
                <c:pt idx="79">
                  <c:v>61.526281734236214</c:v>
                </c:pt>
                <c:pt idx="80">
                  <c:v>62.292921041501117</c:v>
                </c:pt>
                <c:pt idx="81">
                  <c:v>63.059554933521895</c:v>
                </c:pt>
                <c:pt idx="82">
                  <c:v>63.826183410298533</c:v>
                </c:pt>
                <c:pt idx="83">
                  <c:v>64.592806471831054</c:v>
                </c:pt>
                <c:pt idx="84">
                  <c:v>65.359424118119463</c:v>
                </c:pt>
                <c:pt idx="85">
                  <c:v>66.126036349163726</c:v>
                </c:pt>
                <c:pt idx="86">
                  <c:v>66.892643164963872</c:v>
                </c:pt>
                <c:pt idx="87">
                  <c:v>67.65924456551987</c:v>
                </c:pt>
                <c:pt idx="88">
                  <c:v>68.425840550831765</c:v>
                </c:pt>
                <c:pt idx="89">
                  <c:v>69.192431120899514</c:v>
                </c:pt>
                <c:pt idx="90">
                  <c:v>69.959016275723144</c:v>
                </c:pt>
                <c:pt idx="91">
                  <c:v>70.725596015302628</c:v>
                </c:pt>
                <c:pt idx="92">
                  <c:v>71.492170339638008</c:v>
                </c:pt>
                <c:pt idx="93">
                  <c:v>72.258739248729242</c:v>
                </c:pt>
                <c:pt idx="94">
                  <c:v>73.025302742576358</c:v>
                </c:pt>
                <c:pt idx="95">
                  <c:v>73.791860821179327</c:v>
                </c:pt>
                <c:pt idx="96">
                  <c:v>74.558413484538193</c:v>
                </c:pt>
                <c:pt idx="97">
                  <c:v>75.324960732652897</c:v>
                </c:pt>
                <c:pt idx="98">
                  <c:v>76.091502565523513</c:v>
                </c:pt>
                <c:pt idx="99">
                  <c:v>76.858038983149967</c:v>
                </c:pt>
                <c:pt idx="100">
                  <c:v>77.624569985532318</c:v>
                </c:pt>
                <c:pt idx="101">
                  <c:v>78.391095572670508</c:v>
                </c:pt>
              </c:numCache>
            </c:numRef>
          </c:yVal>
          <c:smooth val="0"/>
        </c:ser>
        <c:ser>
          <c:idx val="2"/>
          <c:order val="2"/>
          <c:tx>
            <c:v>Lower Confidence Band</c:v>
          </c:tx>
          <c:spPr>
            <a:ln w="12700">
              <a:solidFill>
                <a:srgbClr val="F20884"/>
              </a:solidFill>
              <a:prstDash val="sysDash"/>
            </a:ln>
          </c:spPr>
          <c:marker>
            <c:symbol val="none"/>
          </c:marker>
          <c:xVal>
            <c:numRef>
              <c:f>'Chart Data Pollutant'!$B$12:$B$113</c:f>
              <c:numCache>
                <c:formatCode>General</c:formatCode>
                <c:ptCount val="102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</c:v>
                </c:pt>
                <c:pt idx="52">
                  <c:v>40.76</c:v>
                </c:pt>
                <c:pt idx="53">
                  <c:v>41.519999999999996</c:v>
                </c:pt>
                <c:pt idx="54">
                  <c:v>42.279999999999994</c:v>
                </c:pt>
                <c:pt idx="55">
                  <c:v>43.039999999999992</c:v>
                </c:pt>
                <c:pt idx="56">
                  <c:v>43.79999999999999</c:v>
                </c:pt>
                <c:pt idx="57">
                  <c:v>44.559999999999988</c:v>
                </c:pt>
                <c:pt idx="58">
                  <c:v>45.319999999999986</c:v>
                </c:pt>
                <c:pt idx="59">
                  <c:v>46.079999999999984</c:v>
                </c:pt>
                <c:pt idx="60">
                  <c:v>46.839999999999982</c:v>
                </c:pt>
                <c:pt idx="61">
                  <c:v>47.59999999999998</c:v>
                </c:pt>
                <c:pt idx="62">
                  <c:v>48.359999999999978</c:v>
                </c:pt>
                <c:pt idx="63">
                  <c:v>49.119999999999976</c:v>
                </c:pt>
                <c:pt idx="64">
                  <c:v>49.879999999999974</c:v>
                </c:pt>
                <c:pt idx="65">
                  <c:v>50.639999999999972</c:v>
                </c:pt>
                <c:pt idx="66">
                  <c:v>51.39999999999997</c:v>
                </c:pt>
                <c:pt idx="67">
                  <c:v>52.159999999999968</c:v>
                </c:pt>
                <c:pt idx="68">
                  <c:v>52.919999999999966</c:v>
                </c:pt>
                <c:pt idx="69">
                  <c:v>53.679999999999964</c:v>
                </c:pt>
                <c:pt idx="70">
                  <c:v>54.439999999999962</c:v>
                </c:pt>
                <c:pt idx="71">
                  <c:v>55.19999999999996</c:v>
                </c:pt>
                <c:pt idx="72">
                  <c:v>55.959999999999958</c:v>
                </c:pt>
                <c:pt idx="73">
                  <c:v>56.719999999999956</c:v>
                </c:pt>
                <c:pt idx="74">
                  <c:v>57.479999999999954</c:v>
                </c:pt>
                <c:pt idx="75">
                  <c:v>58.239999999999952</c:v>
                </c:pt>
                <c:pt idx="76">
                  <c:v>58.99999999999995</c:v>
                </c:pt>
                <c:pt idx="77">
                  <c:v>59.759999999999948</c:v>
                </c:pt>
                <c:pt idx="78">
                  <c:v>60.519999999999946</c:v>
                </c:pt>
                <c:pt idx="79">
                  <c:v>61.279999999999944</c:v>
                </c:pt>
                <c:pt idx="80">
                  <c:v>62.039999999999942</c:v>
                </c:pt>
                <c:pt idx="81">
                  <c:v>62.79999999999994</c:v>
                </c:pt>
                <c:pt idx="82">
                  <c:v>63.559999999999938</c:v>
                </c:pt>
                <c:pt idx="83">
                  <c:v>64.319999999999936</c:v>
                </c:pt>
                <c:pt idx="84">
                  <c:v>65.079999999999941</c:v>
                </c:pt>
                <c:pt idx="85">
                  <c:v>65.839999999999947</c:v>
                </c:pt>
                <c:pt idx="86">
                  <c:v>66.599999999999952</c:v>
                </c:pt>
                <c:pt idx="87">
                  <c:v>67.359999999999957</c:v>
                </c:pt>
                <c:pt idx="88">
                  <c:v>68.119999999999962</c:v>
                </c:pt>
                <c:pt idx="89">
                  <c:v>68.879999999999967</c:v>
                </c:pt>
                <c:pt idx="90">
                  <c:v>69.639999999999972</c:v>
                </c:pt>
                <c:pt idx="91">
                  <c:v>70.399999999999977</c:v>
                </c:pt>
                <c:pt idx="92">
                  <c:v>71.159999999999982</c:v>
                </c:pt>
                <c:pt idx="93">
                  <c:v>71.919999999999987</c:v>
                </c:pt>
                <c:pt idx="94">
                  <c:v>72.679999999999993</c:v>
                </c:pt>
                <c:pt idx="95">
                  <c:v>73.44</c:v>
                </c:pt>
                <c:pt idx="96">
                  <c:v>74.2</c:v>
                </c:pt>
                <c:pt idx="97">
                  <c:v>74.960000000000008</c:v>
                </c:pt>
                <c:pt idx="98">
                  <c:v>75.720000000000013</c:v>
                </c:pt>
                <c:pt idx="99">
                  <c:v>76.480000000000018</c:v>
                </c:pt>
                <c:pt idx="100">
                  <c:v>77.240000000000023</c:v>
                </c:pt>
                <c:pt idx="101">
                  <c:v>78.000000000000028</c:v>
                </c:pt>
              </c:numCache>
            </c:numRef>
          </c:xVal>
          <c:yVal>
            <c:numRef>
              <c:f>'Chart Data Pollutant'!$K$12:$K$113</c:f>
              <c:numCache>
                <c:formatCode>General</c:formatCode>
                <c:ptCount val="102"/>
                <c:pt idx="51">
                  <c:v>39.605535999382369</c:v>
                </c:pt>
                <c:pt idx="52">
                  <c:v>40.402268349378033</c:v>
                </c:pt>
                <c:pt idx="53">
                  <c:v>41.195985199892313</c:v>
                </c:pt>
                <c:pt idx="54">
                  <c:v>41.986554041240296</c:v>
                </c:pt>
                <c:pt idx="55">
                  <c:v>42.773865022885253</c:v>
                </c:pt>
                <c:pt idx="56">
                  <c:v>43.557849488492508</c:v>
                </c:pt>
                <c:pt idx="57">
                  <c:v>44.338500179392156</c:v>
                </c:pt>
                <c:pt idx="58">
                  <c:v>45.115889069633639</c:v>
                </c:pt>
                <c:pt idx="59">
                  <c:v>45.890177824178913</c:v>
                </c:pt>
                <c:pt idx="60">
                  <c:v>46.661616810682403</c:v>
                </c:pt>
                <c:pt idx="61">
                  <c:v>47.43053161696924</c:v>
                </c:pt>
                <c:pt idx="62">
                  <c:v>48.19729987271031</c:v>
                </c:pt>
                <c:pt idx="63">
                  <c:v>48.962323856936578</c:v>
                </c:pt>
                <c:pt idx="64">
                  <c:v>49.72600466437558</c:v>
                </c:pt>
                <c:pt idx="65">
                  <c:v>50.488721936644566</c:v>
                </c:pt>
                <c:pt idx="66">
                  <c:v>51.250820668875669</c:v>
                </c:pt>
                <c:pt idx="67">
                  <c:v>52.012604587387592</c:v>
                </c:pt>
                <c:pt idx="68">
                  <c:v>52.774334545321416</c:v>
                </c:pt>
                <c:pt idx="69">
                  <c:v>53.536230171411212</c:v>
                </c:pt>
                <c:pt idx="70">
                  <c:v>54.298473270137443</c:v>
                </c:pt>
                <c:pt idx="71">
                  <c:v>55.061211891853098</c:v>
                </c:pt>
                <c:pt idx="72">
                  <c:v>55.824564385842436</c:v>
                </c:pt>
                <c:pt idx="73">
                  <c:v>56.588623047891339</c:v>
                </c:pt>
                <c:pt idx="74">
                  <c:v>57.353457171264196</c:v>
                </c:pt>
                <c:pt idx="75">
                  <c:v>58.119115426000455</c:v>
                </c:pt>
                <c:pt idx="76">
                  <c:v>58.885627550620619</c:v>
                </c:pt>
                <c:pt idx="77">
                  <c:v>59.653005363146981</c:v>
                </c:pt>
                <c:pt idx="78">
                  <c:v>60.421243099545457</c:v>
                </c:pt>
                <c:pt idx="79">
                  <c:v>61.190317077285407</c:v>
                </c:pt>
                <c:pt idx="80">
                  <c:v>61.960184666761087</c:v>
                </c:pt>
                <c:pt idx="81">
                  <c:v>62.730782539904098</c:v>
                </c:pt>
                <c:pt idx="82">
                  <c:v>63.502024160590501</c:v>
                </c:pt>
                <c:pt idx="83">
                  <c:v>64.273796495878543</c:v>
                </c:pt>
                <c:pt idx="84">
                  <c:v>65.045955977043732</c:v>
                </c:pt>
                <c:pt idx="85">
                  <c:v>65.818323849357057</c:v>
                </c:pt>
                <c:pt idx="86">
                  <c:v>66.590681252609826</c:v>
                </c:pt>
                <c:pt idx="87">
                  <c:v>67.362764705715122</c:v>
                </c:pt>
                <c:pt idx="88">
                  <c:v>68.134263144288312</c:v>
                </c:pt>
                <c:pt idx="89">
                  <c:v>68.904818229597907</c:v>
                </c:pt>
                <c:pt idx="90">
                  <c:v>69.674030120232402</c:v>
                </c:pt>
                <c:pt idx="91">
                  <c:v>70.441470881061264</c:v>
                </c:pt>
                <c:pt idx="92">
                  <c:v>71.206706662456639</c:v>
                </c:pt>
                <c:pt idx="93">
                  <c:v>71.969327376341496</c:v>
                </c:pt>
                <c:pt idx="94">
                  <c:v>72.728979271166182</c:v>
                </c:pt>
                <c:pt idx="95">
                  <c:v>73.48539314109702</c:v>
                </c:pt>
                <c:pt idx="96">
                  <c:v>74.238400901445956</c:v>
                </c:pt>
                <c:pt idx="97">
                  <c:v>74.987936659303031</c:v>
                </c:pt>
                <c:pt idx="98">
                  <c:v>75.734023587960564</c:v>
                </c:pt>
                <c:pt idx="99">
                  <c:v>76.476751984642405</c:v>
                </c:pt>
                <c:pt idx="100">
                  <c:v>77.216255015709265</c:v>
                </c:pt>
                <c:pt idx="101">
                  <c:v>77.952687158239229</c:v>
                </c:pt>
              </c:numCache>
            </c:numRef>
          </c:yVal>
          <c:smooth val="0"/>
        </c:ser>
        <c:ser>
          <c:idx val="3"/>
          <c:order val="3"/>
          <c:tx>
            <c:v>Upper Confidence Band</c:v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'Chart Data Pollutant'!$B$12:$B$113</c:f>
              <c:numCache>
                <c:formatCode>General</c:formatCode>
                <c:ptCount val="102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1">
                  <c:v>40</c:v>
                </c:pt>
                <c:pt idx="52">
                  <c:v>40.76</c:v>
                </c:pt>
                <c:pt idx="53">
                  <c:v>41.519999999999996</c:v>
                </c:pt>
                <c:pt idx="54">
                  <c:v>42.279999999999994</c:v>
                </c:pt>
                <c:pt idx="55">
                  <c:v>43.039999999999992</c:v>
                </c:pt>
                <c:pt idx="56">
                  <c:v>43.79999999999999</c:v>
                </c:pt>
                <c:pt idx="57">
                  <c:v>44.559999999999988</c:v>
                </c:pt>
                <c:pt idx="58">
                  <c:v>45.319999999999986</c:v>
                </c:pt>
                <c:pt idx="59">
                  <c:v>46.079999999999984</c:v>
                </c:pt>
                <c:pt idx="60">
                  <c:v>46.839999999999982</c:v>
                </c:pt>
                <c:pt idx="61">
                  <c:v>47.59999999999998</c:v>
                </c:pt>
                <c:pt idx="62">
                  <c:v>48.359999999999978</c:v>
                </c:pt>
                <c:pt idx="63">
                  <c:v>49.119999999999976</c:v>
                </c:pt>
                <c:pt idx="64">
                  <c:v>49.879999999999974</c:v>
                </c:pt>
                <c:pt idx="65">
                  <c:v>50.639999999999972</c:v>
                </c:pt>
                <c:pt idx="66">
                  <c:v>51.39999999999997</c:v>
                </c:pt>
                <c:pt idx="67">
                  <c:v>52.159999999999968</c:v>
                </c:pt>
                <c:pt idx="68">
                  <c:v>52.919999999999966</c:v>
                </c:pt>
                <c:pt idx="69">
                  <c:v>53.679999999999964</c:v>
                </c:pt>
                <c:pt idx="70">
                  <c:v>54.439999999999962</c:v>
                </c:pt>
                <c:pt idx="71">
                  <c:v>55.19999999999996</c:v>
                </c:pt>
                <c:pt idx="72">
                  <c:v>55.959999999999958</c:v>
                </c:pt>
                <c:pt idx="73">
                  <c:v>56.719999999999956</c:v>
                </c:pt>
                <c:pt idx="74">
                  <c:v>57.479999999999954</c:v>
                </c:pt>
                <c:pt idx="75">
                  <c:v>58.239999999999952</c:v>
                </c:pt>
                <c:pt idx="76">
                  <c:v>58.99999999999995</c:v>
                </c:pt>
                <c:pt idx="77">
                  <c:v>59.759999999999948</c:v>
                </c:pt>
                <c:pt idx="78">
                  <c:v>60.519999999999946</c:v>
                </c:pt>
                <c:pt idx="79">
                  <c:v>61.279999999999944</c:v>
                </c:pt>
                <c:pt idx="80">
                  <c:v>62.039999999999942</c:v>
                </c:pt>
                <c:pt idx="81">
                  <c:v>62.79999999999994</c:v>
                </c:pt>
                <c:pt idx="82">
                  <c:v>63.559999999999938</c:v>
                </c:pt>
                <c:pt idx="83">
                  <c:v>64.319999999999936</c:v>
                </c:pt>
                <c:pt idx="84">
                  <c:v>65.079999999999941</c:v>
                </c:pt>
                <c:pt idx="85">
                  <c:v>65.839999999999947</c:v>
                </c:pt>
                <c:pt idx="86">
                  <c:v>66.599999999999952</c:v>
                </c:pt>
                <c:pt idx="87">
                  <c:v>67.359999999999957</c:v>
                </c:pt>
                <c:pt idx="88">
                  <c:v>68.119999999999962</c:v>
                </c:pt>
                <c:pt idx="89">
                  <c:v>68.879999999999967</c:v>
                </c:pt>
                <c:pt idx="90">
                  <c:v>69.639999999999972</c:v>
                </c:pt>
                <c:pt idx="91">
                  <c:v>70.399999999999977</c:v>
                </c:pt>
                <c:pt idx="92">
                  <c:v>71.159999999999982</c:v>
                </c:pt>
                <c:pt idx="93">
                  <c:v>71.919999999999987</c:v>
                </c:pt>
                <c:pt idx="94">
                  <c:v>72.679999999999993</c:v>
                </c:pt>
                <c:pt idx="95">
                  <c:v>73.44</c:v>
                </c:pt>
                <c:pt idx="96">
                  <c:v>74.2</c:v>
                </c:pt>
                <c:pt idx="97">
                  <c:v>74.960000000000008</c:v>
                </c:pt>
                <c:pt idx="98">
                  <c:v>75.720000000000013</c:v>
                </c:pt>
                <c:pt idx="99">
                  <c:v>76.480000000000018</c:v>
                </c:pt>
                <c:pt idx="100">
                  <c:v>77.240000000000023</c:v>
                </c:pt>
                <c:pt idx="101">
                  <c:v>78.000000000000028</c:v>
                </c:pt>
              </c:numCache>
            </c:numRef>
          </c:xVal>
          <c:yVal>
            <c:numRef>
              <c:f>'Chart Data Pollutant'!$L$12:$L$113</c:f>
              <c:numCache>
                <c:formatCode>General</c:formatCode>
                <c:ptCount val="102"/>
                <c:pt idx="51">
                  <c:v>40.51082908402293</c:v>
                </c:pt>
                <c:pt idx="52">
                  <c:v>41.247678602228277</c:v>
                </c:pt>
                <c:pt idx="53">
                  <c:v>41.987532789426758</c:v>
                </c:pt>
                <c:pt idx="54">
                  <c:v>42.730524155303272</c:v>
                </c:pt>
                <c:pt idx="55">
                  <c:v>43.476762550394561</c:v>
                </c:pt>
                <c:pt idx="56">
                  <c:v>44.226316631035289</c:v>
                </c:pt>
                <c:pt idx="57">
                  <c:v>44.979193655895372</c:v>
                </c:pt>
                <c:pt idx="58">
                  <c:v>45.735321650925357</c:v>
                </c:pt>
                <c:pt idx="59">
                  <c:v>46.4945389511633</c:v>
                </c:pt>
                <c:pt idx="60">
                  <c:v>47.256595188954762</c:v>
                </c:pt>
                <c:pt idx="61">
                  <c:v>48.021164776474627</c:v>
                </c:pt>
                <c:pt idx="62">
                  <c:v>48.787870084051995</c:v>
                </c:pt>
                <c:pt idx="63">
                  <c:v>49.556308832655901</c:v>
                </c:pt>
                <c:pt idx="64">
                  <c:v>50.326079927558823</c:v>
                </c:pt>
                <c:pt idx="65">
                  <c:v>51.096803727143509</c:v>
                </c:pt>
                <c:pt idx="66">
                  <c:v>51.868135236277816</c:v>
                </c:pt>
                <c:pt idx="67">
                  <c:v>52.63977072864305</c:v>
                </c:pt>
                <c:pt idx="68">
                  <c:v>53.411449351098121</c:v>
                </c:pt>
                <c:pt idx="69">
                  <c:v>54.182951474908968</c:v>
                </c:pt>
                <c:pt idx="70">
                  <c:v>54.954095295595117</c:v>
                </c:pt>
                <c:pt idx="71">
                  <c:v>55.72473276280359</c:v>
                </c:pt>
                <c:pt idx="72">
                  <c:v>56.494745527250117</c:v>
                </c:pt>
                <c:pt idx="73">
                  <c:v>57.264041293148829</c:v>
                </c:pt>
                <c:pt idx="74">
                  <c:v>58.032550767235321</c:v>
                </c:pt>
                <c:pt idx="75">
                  <c:v>58.800225279470162</c:v>
                </c:pt>
                <c:pt idx="76">
                  <c:v>59.567035091332833</c:v>
                </c:pt>
                <c:pt idx="77">
                  <c:v>60.332968384801056</c:v>
                </c:pt>
                <c:pt idx="78">
                  <c:v>61.098030923908901</c:v>
                </c:pt>
                <c:pt idx="79">
                  <c:v>61.862246391187021</c:v>
                </c:pt>
                <c:pt idx="80">
                  <c:v>62.625657416241147</c:v>
                </c:pt>
                <c:pt idx="81">
                  <c:v>63.388327327139692</c:v>
                </c:pt>
                <c:pt idx="82">
                  <c:v>64.150342660006572</c:v>
                </c:pt>
                <c:pt idx="83">
                  <c:v>64.911816447783565</c:v>
                </c:pt>
                <c:pt idx="84">
                  <c:v>65.672892259195194</c:v>
                </c:pt>
                <c:pt idx="85">
                  <c:v>66.433748848970396</c:v>
                </c:pt>
                <c:pt idx="86">
                  <c:v>67.194605077317917</c:v>
                </c:pt>
                <c:pt idx="87">
                  <c:v>67.955724425324618</c:v>
                </c:pt>
                <c:pt idx="88">
                  <c:v>68.717417957375218</c:v>
                </c:pt>
                <c:pt idx="89">
                  <c:v>69.48004401220112</c:v>
                </c:pt>
                <c:pt idx="90">
                  <c:v>70.244002431213886</c:v>
                </c:pt>
                <c:pt idx="91">
                  <c:v>71.009721149543992</c:v>
                </c:pt>
                <c:pt idx="92">
                  <c:v>71.777634016819377</c:v>
                </c:pt>
                <c:pt idx="93">
                  <c:v>72.548151121116987</c:v>
                </c:pt>
                <c:pt idx="94">
                  <c:v>73.321626213986534</c:v>
                </c:pt>
                <c:pt idx="95">
                  <c:v>74.098328501261634</c:v>
                </c:pt>
                <c:pt idx="96">
                  <c:v>74.878426067630429</c:v>
                </c:pt>
                <c:pt idx="97">
                  <c:v>75.661984806002764</c:v>
                </c:pt>
                <c:pt idx="98">
                  <c:v>76.448981543086461</c:v>
                </c:pt>
                <c:pt idx="99">
                  <c:v>77.239325981657529</c:v>
                </c:pt>
                <c:pt idx="100">
                  <c:v>78.032884955355371</c:v>
                </c:pt>
                <c:pt idx="101">
                  <c:v>78.829503987101788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71384"/>
        <c:axId val="185271776"/>
      </c:scatterChart>
      <c:valAx>
        <c:axId val="18527138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42370372959761826"/>
              <c:y val="0.92810454158156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271776"/>
        <c:crosses val="autoZero"/>
        <c:crossBetween val="midCat"/>
      </c:valAx>
      <c:valAx>
        <c:axId val="1852717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</a:t>
                </a:r>
              </a:p>
            </c:rich>
          </c:tx>
          <c:layout>
            <c:manualLayout>
              <c:xMode val="edge"/>
              <c:yMode val="edge"/>
              <c:x val="1.4814801867857528E-2"/>
              <c:y val="0.416122079356719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2713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48168701442842"/>
          <c:y val="0.3099510603588907"/>
          <c:w val="0.24972253052164264"/>
          <c:h val="0.114192495921696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Residuals, Quadratic Model</a:t>
            </a:r>
          </a:p>
        </c:rich>
      </c:tx>
      <c:layout>
        <c:manualLayout>
          <c:xMode val="edge"/>
          <c:yMode val="edge"/>
          <c:x val="0.36888892772976073"/>
          <c:y val="1.960788343545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2730299667037"/>
          <c:y val="0.13213703099510604"/>
          <c:w val="0.85904550499445065"/>
          <c:h val="0.7699836867862969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'Chart Data Pollutant'!$B$12:$B$61</c:f>
              <c:numCache>
                <c:formatCode>General</c:formatCode>
                <c:ptCount val="50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Pollutant'!$F$12:$F$61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xVal>
            <c:numRef>
              <c:f>'Chart Data Pollutant'!$B$12:$B$61</c:f>
              <c:numCache>
                <c:formatCode>General</c:formatCode>
                <c:ptCount val="50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Pollutant'!$G$12:$G$61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3"/>
          <c:order val="2"/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'Chart Data Pollutant'!$B$12:$B$61</c:f>
              <c:numCache>
                <c:formatCode>General</c:formatCode>
                <c:ptCount val="50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Pollutant'!$H$12:$H$61</c:f>
              <c:numCache>
                <c:formatCode>General</c:formatCode>
                <c:ptCount val="50"/>
              </c:numCache>
            </c:numRef>
          </c:yVal>
          <c:smooth val="0"/>
        </c:ser>
        <c:ser>
          <c:idx val="4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'Chart Data Pollutant'!$B$12:$B$61</c:f>
              <c:numCache>
                <c:formatCode>General</c:formatCode>
                <c:ptCount val="50"/>
                <c:pt idx="0">
                  <c:v>78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</c:numCache>
            </c:numRef>
          </c:xVal>
          <c:yVal>
            <c:numRef>
              <c:f>'Chart Data Pollutant'!$M$12:$M$61</c:f>
              <c:numCache>
                <c:formatCode>General</c:formatCode>
                <c:ptCount val="50"/>
                <c:pt idx="0">
                  <c:v>6.1808536918547929E-2</c:v>
                </c:pt>
                <c:pt idx="1">
                  <c:v>-0.12378330453823594</c:v>
                </c:pt>
                <c:pt idx="2">
                  <c:v>4.2528497498558693E-2</c:v>
                </c:pt>
                <c:pt idx="3">
                  <c:v>5.142047860959309E-2</c:v>
                </c:pt>
                <c:pt idx="4">
                  <c:v>-3.1974208369319967E-2</c:v>
                </c:pt>
                <c:pt idx="5">
                  <c:v>-3.1974208369319967E-2</c:v>
                </c:pt>
                <c:pt idx="6">
                  <c:v>-3.1974208369319967E-2</c:v>
                </c:pt>
                <c:pt idx="7">
                  <c:v>-3.1974208369319967E-2</c:v>
                </c:pt>
                <c:pt idx="8">
                  <c:v>-3.1974208369319967E-2</c:v>
                </c:pt>
                <c:pt idx="9">
                  <c:v>-3.1974208369319967E-2</c:v>
                </c:pt>
                <c:pt idx="10">
                  <c:v>-3.1974208369319967E-2</c:v>
                </c:pt>
                <c:pt idx="11">
                  <c:v>-3.1974208369319967E-2</c:v>
                </c:pt>
                <c:pt idx="12">
                  <c:v>-3.1974208369319967E-2</c:v>
                </c:pt>
                <c:pt idx="13">
                  <c:v>-3.1974208369319967E-2</c:v>
                </c:pt>
                <c:pt idx="14">
                  <c:v>-3.1974208369319967E-2</c:v>
                </c:pt>
                <c:pt idx="15">
                  <c:v>-3.1974208369319967E-2</c:v>
                </c:pt>
                <c:pt idx="16">
                  <c:v>-3.1974208369319967E-2</c:v>
                </c:pt>
                <c:pt idx="17">
                  <c:v>-3.1974208369319967E-2</c:v>
                </c:pt>
                <c:pt idx="18">
                  <c:v>-3.1974208369319967E-2</c:v>
                </c:pt>
                <c:pt idx="19">
                  <c:v>-3.1974208369319967E-2</c:v>
                </c:pt>
                <c:pt idx="20">
                  <c:v>-3.1974208369319967E-2</c:v>
                </c:pt>
                <c:pt idx="21">
                  <c:v>-3.1974208369319967E-2</c:v>
                </c:pt>
                <c:pt idx="22">
                  <c:v>-3.1974208369319967E-2</c:v>
                </c:pt>
                <c:pt idx="23">
                  <c:v>-3.1974208369319967E-2</c:v>
                </c:pt>
                <c:pt idx="24">
                  <c:v>-3.1974208369319967E-2</c:v>
                </c:pt>
                <c:pt idx="25">
                  <c:v>-3.1974208369319967E-2</c:v>
                </c:pt>
                <c:pt idx="26">
                  <c:v>-3.1974208369319967E-2</c:v>
                </c:pt>
                <c:pt idx="27">
                  <c:v>-3.1974208369319967E-2</c:v>
                </c:pt>
                <c:pt idx="28">
                  <c:v>-3.1974208369319967E-2</c:v>
                </c:pt>
                <c:pt idx="29">
                  <c:v>-3.1974208369319967E-2</c:v>
                </c:pt>
                <c:pt idx="30">
                  <c:v>-3.1974208369319967E-2</c:v>
                </c:pt>
                <c:pt idx="31">
                  <c:v>-3.1974208369319967E-2</c:v>
                </c:pt>
                <c:pt idx="32">
                  <c:v>-3.1974208369319967E-2</c:v>
                </c:pt>
                <c:pt idx="33">
                  <c:v>-3.1974208369319967E-2</c:v>
                </c:pt>
                <c:pt idx="34">
                  <c:v>-3.1974208369319967E-2</c:v>
                </c:pt>
                <c:pt idx="35">
                  <c:v>-3.1974208369319967E-2</c:v>
                </c:pt>
                <c:pt idx="36">
                  <c:v>-3.1974208369319967E-2</c:v>
                </c:pt>
                <c:pt idx="37">
                  <c:v>-3.1974208369319967E-2</c:v>
                </c:pt>
                <c:pt idx="38">
                  <c:v>-3.1974208369319967E-2</c:v>
                </c:pt>
                <c:pt idx="39">
                  <c:v>-3.1974208369319967E-2</c:v>
                </c:pt>
                <c:pt idx="40">
                  <c:v>-3.1974208369319967E-2</c:v>
                </c:pt>
                <c:pt idx="41">
                  <c:v>-3.1974208369319967E-2</c:v>
                </c:pt>
                <c:pt idx="42">
                  <c:v>-3.1974208369319967E-2</c:v>
                </c:pt>
                <c:pt idx="43">
                  <c:v>-3.1974208369319967E-2</c:v>
                </c:pt>
                <c:pt idx="44">
                  <c:v>-3.1974208369319967E-2</c:v>
                </c:pt>
                <c:pt idx="45">
                  <c:v>-3.1974208369319967E-2</c:v>
                </c:pt>
                <c:pt idx="46">
                  <c:v>-3.1974208369319967E-2</c:v>
                </c:pt>
                <c:pt idx="47">
                  <c:v>-3.1974208369319967E-2</c:v>
                </c:pt>
                <c:pt idx="48">
                  <c:v>-3.1974208369319967E-2</c:v>
                </c:pt>
                <c:pt idx="49">
                  <c:v>-3.1974208369319967E-2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49200"/>
        <c:axId val="301447264"/>
      </c:scatterChart>
      <c:valAx>
        <c:axId val="3015492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Concentratioin</a:t>
                </a:r>
              </a:p>
            </c:rich>
          </c:tx>
          <c:layout>
            <c:manualLayout>
              <c:xMode val="edge"/>
              <c:yMode val="edge"/>
              <c:x val="0.47407412586190317"/>
              <c:y val="0.92810454158156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447264"/>
        <c:crosses val="autoZero"/>
        <c:crossBetween val="midCat"/>
      </c:valAx>
      <c:valAx>
        <c:axId val="30144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(actual - estimated response)</a:t>
                </a:r>
              </a:p>
            </c:rich>
          </c:tx>
          <c:layout>
            <c:manualLayout>
              <c:xMode val="edge"/>
              <c:yMode val="edge"/>
              <c:x val="1.4814801867857528E-2"/>
              <c:y val="0.2461873750283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549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orientation="landscape" r:id="rId1"/>
  <headerFooter alignWithMargins="0">
    <oddFooter>&amp;L&amp;F&amp;C&amp;A&amp;R&amp;D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607"/>
    <xdr:graphicFrame macro="">
      <xdr:nvGraphicFramePr>
        <xdr:cNvPr id="2" name="Chart 1" descr="This chart shows the results of the first-order linear regression of the zero gas annual calibration." title="First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607"/>
    <xdr:graphicFrame macro="">
      <xdr:nvGraphicFramePr>
        <xdr:cNvPr id="2" name="Chart 1" descr="This chart shows the residuals from the first-order linear regression of the zero gas annual calibration." title="First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607"/>
    <xdr:graphicFrame macro="">
      <xdr:nvGraphicFramePr>
        <xdr:cNvPr id="2" name="Chart 1" descr="This chart shows the results of the second-order linear regression of the zero gas annual calibration." title="Second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607"/>
    <xdr:graphicFrame macro="">
      <xdr:nvGraphicFramePr>
        <xdr:cNvPr id="2" name="Chart 1" descr="This chart shows the residuals from the second-order linear regression of the zero gas annual calibration." title="Second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607"/>
    <xdr:graphicFrame macro="">
      <xdr:nvGraphicFramePr>
        <xdr:cNvPr id="2" name="Chart 1" descr="This chart shows the results of the first-order linear regression of the pollutant annual calibration" title="First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48350"/>
    <xdr:graphicFrame macro="">
      <xdr:nvGraphicFramePr>
        <xdr:cNvPr id="2" name="Chart 1" descr="This chart shows the residuals from the first-order linear regression of the pollutant annual calibrartio." title="First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607"/>
    <xdr:graphicFrame macro="">
      <xdr:nvGraphicFramePr>
        <xdr:cNvPr id="2" name="Chart 1" descr="This chart shows the results of the second-order linear regression of the pollutant annual calibration." title="Second-Order Linear Regression Curv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8607"/>
    <xdr:graphicFrame macro="">
      <xdr:nvGraphicFramePr>
        <xdr:cNvPr id="2" name="Chart 1" descr="This chart shows the residuals from the second-order linear regression of the pollutant annual calibration." title="Second-Order Linear Regression Residual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zoomScale="80" workbookViewId="0"/>
  </sheetViews>
  <sheetFormatPr defaultColWidth="10.125" defaultRowHeight="15" x14ac:dyDescent="0.2"/>
  <cols>
    <col min="1" max="1" width="10.125" style="3"/>
    <col min="2" max="2" width="12.375" style="3" customWidth="1"/>
    <col min="3" max="3" width="4" style="3" customWidth="1"/>
    <col min="4" max="4" width="32" style="3" customWidth="1"/>
    <col min="5" max="5" width="10.125" style="3"/>
    <col min="6" max="6" width="14.125" style="3" customWidth="1"/>
    <col min="7" max="7" width="13.625" style="3" customWidth="1"/>
    <col min="8" max="16384" width="10.125" style="3"/>
  </cols>
  <sheetData>
    <row r="1" spans="1:6" ht="19.5" thickTop="1" thickBot="1" x14ac:dyDescent="0.3">
      <c r="B1" s="164"/>
      <c r="C1" s="165"/>
      <c r="D1" s="166" t="s">
        <v>183</v>
      </c>
      <c r="E1" s="165"/>
      <c r="F1" s="167"/>
    </row>
    <row r="2" spans="1:6" ht="15.75" thickTop="1" x14ac:dyDescent="0.2"/>
    <row r="3" spans="1:6" x14ac:dyDescent="0.2">
      <c r="A3" s="3" t="s">
        <v>166</v>
      </c>
    </row>
    <row r="4" spans="1:6" ht="15.75" x14ac:dyDescent="0.25">
      <c r="B4" s="161" t="s">
        <v>162</v>
      </c>
    </row>
    <row r="5" spans="1:6" x14ac:dyDescent="0.2">
      <c r="B5" s="3" t="s">
        <v>171</v>
      </c>
    </row>
    <row r="6" spans="1:6" x14ac:dyDescent="0.2">
      <c r="B6" s="3" t="s">
        <v>184</v>
      </c>
    </row>
    <row r="7" spans="1:6" x14ac:dyDescent="0.2">
      <c r="B7" s="3" t="s">
        <v>172</v>
      </c>
    </row>
    <row r="8" spans="1:6" ht="15.75" x14ac:dyDescent="0.25">
      <c r="B8" s="161" t="s">
        <v>163</v>
      </c>
    </row>
    <row r="9" spans="1:6" x14ac:dyDescent="0.2">
      <c r="B9" s="3" t="s">
        <v>173</v>
      </c>
    </row>
    <row r="10" spans="1:6" ht="15.75" x14ac:dyDescent="0.25">
      <c r="B10" s="161" t="s">
        <v>164</v>
      </c>
    </row>
    <row r="11" spans="1:6" x14ac:dyDescent="0.2">
      <c r="B11" s="3" t="s">
        <v>165</v>
      </c>
    </row>
    <row r="14" spans="1:6" ht="15.75" thickBot="1" x14ac:dyDescent="0.25"/>
    <row r="15" spans="1:6" ht="17.25" thickTop="1" thickBot="1" x14ac:dyDescent="0.3">
      <c r="D15" s="2" t="s">
        <v>9</v>
      </c>
      <c r="E15" s="9"/>
    </row>
    <row r="16" spans="1:6" ht="15.75" thickTop="1" x14ac:dyDescent="0.2"/>
    <row r="17" spans="1:4" x14ac:dyDescent="0.2">
      <c r="A17" s="3" t="s">
        <v>10</v>
      </c>
    </row>
    <row r="18" spans="1:4" x14ac:dyDescent="0.2">
      <c r="A18" s="3" t="s">
        <v>11</v>
      </c>
    </row>
    <row r="20" spans="1:4" ht="15.75" x14ac:dyDescent="0.25">
      <c r="B20" s="5" t="s">
        <v>185</v>
      </c>
    </row>
    <row r="22" spans="1:4" ht="15.75" x14ac:dyDescent="0.25">
      <c r="B22" s="5" t="s">
        <v>187</v>
      </c>
    </row>
    <row r="24" spans="1:4" ht="15.75" x14ac:dyDescent="0.25">
      <c r="B24" s="5" t="s">
        <v>186</v>
      </c>
    </row>
    <row r="25" spans="1:4" x14ac:dyDescent="0.2">
      <c r="B25" s="8"/>
    </row>
    <row r="26" spans="1:4" ht="15.75" x14ac:dyDescent="0.25">
      <c r="B26" s="5" t="s">
        <v>188</v>
      </c>
    </row>
    <row r="27" spans="1:4" ht="15.75" x14ac:dyDescent="0.25">
      <c r="B27" s="5"/>
      <c r="D27" s="3" t="s">
        <v>189</v>
      </c>
    </row>
    <row r="28" spans="1:4" ht="15.75" x14ac:dyDescent="0.25">
      <c r="B28" s="5"/>
      <c r="D28" s="3" t="s">
        <v>190</v>
      </c>
    </row>
    <row r="29" spans="1:4" x14ac:dyDescent="0.2">
      <c r="B29" s="8"/>
    </row>
    <row r="30" spans="1:4" ht="15.75" x14ac:dyDescent="0.25">
      <c r="B30" s="5" t="s">
        <v>191</v>
      </c>
    </row>
    <row r="31" spans="1:4" ht="15.75" x14ac:dyDescent="0.25">
      <c r="C31" s="5" t="s">
        <v>299</v>
      </c>
    </row>
    <row r="32" spans="1:4" ht="15.75" x14ac:dyDescent="0.25">
      <c r="C32" s="5"/>
    </row>
    <row r="33" spans="2:8" ht="15.75" x14ac:dyDescent="0.25">
      <c r="C33" s="10" t="s">
        <v>300</v>
      </c>
      <c r="D33" s="13"/>
      <c r="E33" s="13"/>
      <c r="F33" s="13"/>
      <c r="G33" s="13"/>
      <c r="H33" s="13"/>
    </row>
    <row r="34" spans="2:8" x14ac:dyDescent="0.2">
      <c r="C34" s="16"/>
      <c r="D34" s="13"/>
      <c r="E34" s="13"/>
      <c r="F34" s="13"/>
      <c r="G34" s="13"/>
      <c r="H34" s="13"/>
    </row>
    <row r="35" spans="2:8" x14ac:dyDescent="0.2">
      <c r="C35" s="9"/>
    </row>
    <row r="36" spans="2:8" ht="15.75" x14ac:dyDescent="0.25">
      <c r="C36" s="10" t="s">
        <v>301</v>
      </c>
      <c r="D36" s="13"/>
      <c r="E36" s="13"/>
      <c r="F36" s="13"/>
      <c r="G36" s="13"/>
      <c r="H36" s="13"/>
    </row>
    <row r="37" spans="2:8" x14ac:dyDescent="0.2">
      <c r="C37" s="15" t="s">
        <v>12</v>
      </c>
      <c r="D37" s="13"/>
      <c r="E37" s="13"/>
      <c r="F37" s="13"/>
      <c r="G37" s="13"/>
      <c r="H37" s="13"/>
    </row>
    <row r="38" spans="2:8" x14ac:dyDescent="0.2">
      <c r="C38" s="8"/>
    </row>
    <row r="39" spans="2:8" ht="15.75" x14ac:dyDescent="0.25">
      <c r="C39" s="11" t="s">
        <v>302</v>
      </c>
      <c r="D39" s="14"/>
      <c r="E39" s="14"/>
      <c r="F39" s="14"/>
      <c r="G39" s="14"/>
      <c r="H39" s="14"/>
    </row>
    <row r="40" spans="2:8" x14ac:dyDescent="0.2">
      <c r="C40" s="168" t="s">
        <v>13</v>
      </c>
      <c r="D40" s="14"/>
      <c r="E40" s="14"/>
      <c r="F40" s="14"/>
      <c r="G40" s="14"/>
      <c r="H40" s="14"/>
    </row>
    <row r="41" spans="2:8" x14ac:dyDescent="0.2">
      <c r="C41" s="8"/>
    </row>
    <row r="42" spans="2:8" ht="15.75" x14ac:dyDescent="0.25">
      <c r="C42" s="11" t="s">
        <v>303</v>
      </c>
      <c r="D42" s="14"/>
      <c r="E42" s="14"/>
      <c r="F42" s="14"/>
      <c r="G42" s="14"/>
      <c r="H42" s="14"/>
    </row>
    <row r="43" spans="2:8" x14ac:dyDescent="0.2">
      <c r="C43" s="17" t="s">
        <v>14</v>
      </c>
      <c r="D43" s="14"/>
      <c r="E43" s="14"/>
      <c r="F43" s="14"/>
      <c r="G43" s="14"/>
      <c r="H43" s="14"/>
    </row>
    <row r="44" spans="2:8" x14ac:dyDescent="0.2">
      <c r="B44" s="8"/>
    </row>
    <row r="45" spans="2:8" ht="15.75" x14ac:dyDescent="0.25">
      <c r="B45" s="9"/>
      <c r="C45" s="5" t="s">
        <v>304</v>
      </c>
    </row>
    <row r="46" spans="2:8" ht="16.5" thickBot="1" x14ac:dyDescent="0.3">
      <c r="B46" s="9"/>
      <c r="C46" s="5"/>
    </row>
    <row r="47" spans="2:8" ht="16.5" thickTop="1" x14ac:dyDescent="0.25">
      <c r="D47" s="162" t="s">
        <v>213</v>
      </c>
      <c r="E47" s="9"/>
    </row>
    <row r="48" spans="2:8" ht="16.5" thickBot="1" x14ac:dyDescent="0.3">
      <c r="D48" s="163" t="s">
        <v>214</v>
      </c>
      <c r="E48" s="9"/>
    </row>
    <row r="49" spans="1:5" ht="15.75" thickTop="1" x14ac:dyDescent="0.2">
      <c r="D49" s="9"/>
      <c r="E49" s="9"/>
    </row>
    <row r="50" spans="1:5" x14ac:dyDescent="0.2">
      <c r="A50" s="3" t="s">
        <v>158</v>
      </c>
    </row>
    <row r="52" spans="1:5" ht="18.75" x14ac:dyDescent="0.35">
      <c r="B52" s="4" t="s">
        <v>0</v>
      </c>
      <c r="C52" s="5" t="s">
        <v>192</v>
      </c>
    </row>
    <row r="53" spans="1:5" ht="20.25" x14ac:dyDescent="0.35">
      <c r="B53" s="6" t="s">
        <v>1</v>
      </c>
      <c r="C53" s="5" t="s">
        <v>193</v>
      </c>
    </row>
    <row r="54" spans="1:5" ht="15.75" x14ac:dyDescent="0.25">
      <c r="B54" s="6"/>
      <c r="C54" s="7"/>
    </row>
    <row r="55" spans="1:5" ht="15.75" x14ac:dyDescent="0.25">
      <c r="B55" s="6" t="s">
        <v>2</v>
      </c>
      <c r="C55" s="7"/>
    </row>
    <row r="56" spans="1:5" ht="15.75" x14ac:dyDescent="0.25">
      <c r="B56" s="6"/>
      <c r="C56" s="7" t="s">
        <v>3</v>
      </c>
      <c r="D56" s="3" t="s">
        <v>159</v>
      </c>
    </row>
    <row r="57" spans="1:5" ht="15.75" x14ac:dyDescent="0.25">
      <c r="B57" s="6"/>
      <c r="C57" s="7" t="s">
        <v>4</v>
      </c>
      <c r="D57" s="3" t="s">
        <v>160</v>
      </c>
    </row>
    <row r="58" spans="1:5" ht="15.75" x14ac:dyDescent="0.25">
      <c r="B58" s="6"/>
      <c r="C58" s="5" t="s">
        <v>5</v>
      </c>
      <c r="D58" s="8" t="s">
        <v>6</v>
      </c>
    </row>
    <row r="59" spans="1:5" ht="15.75" x14ac:dyDescent="0.25">
      <c r="B59" s="6"/>
      <c r="C59" s="5"/>
      <c r="D59" s="8"/>
    </row>
    <row r="60" spans="1:5" ht="15.75" x14ac:dyDescent="0.25">
      <c r="A60" s="3" t="s">
        <v>305</v>
      </c>
      <c r="B60" s="6"/>
      <c r="C60" s="5"/>
      <c r="D60" s="8"/>
    </row>
    <row r="61" spans="1:5" ht="15.75" x14ac:dyDescent="0.25">
      <c r="B61" s="6"/>
      <c r="C61" s="5"/>
      <c r="D61" s="8"/>
    </row>
    <row r="62" spans="1:5" ht="15.75" x14ac:dyDescent="0.25">
      <c r="A62" s="9" t="s">
        <v>194</v>
      </c>
      <c r="C62" s="6"/>
      <c r="D62" s="7"/>
    </row>
    <row r="63" spans="1:5" x14ac:dyDescent="0.2">
      <c r="A63" s="9" t="s">
        <v>7</v>
      </c>
    </row>
    <row r="64" spans="1:5" x14ac:dyDescent="0.2">
      <c r="A64" s="9"/>
    </row>
    <row r="65" spans="1:5" x14ac:dyDescent="0.2">
      <c r="A65" s="4" t="s">
        <v>8</v>
      </c>
      <c r="B65" s="9" t="s">
        <v>161</v>
      </c>
    </row>
    <row r="66" spans="1:5" ht="15.75" thickBot="1" x14ac:dyDescent="0.25">
      <c r="A66" s="9"/>
      <c r="B66" s="9"/>
    </row>
    <row r="67" spans="1:5" ht="17.25" thickTop="1" thickBot="1" x14ac:dyDescent="0.3">
      <c r="D67" s="2" t="s">
        <v>15</v>
      </c>
      <c r="E67" s="9"/>
    </row>
    <row r="68" spans="1:5" ht="15.75" thickTop="1" x14ac:dyDescent="0.2"/>
    <row r="69" spans="1:5" ht="15.75" x14ac:dyDescent="0.25">
      <c r="A69" s="9" t="s">
        <v>306</v>
      </c>
    </row>
    <row r="70" spans="1:5" x14ac:dyDescent="0.2">
      <c r="A70" s="9" t="s">
        <v>195</v>
      </c>
    </row>
    <row r="71" spans="1:5" x14ac:dyDescent="0.2">
      <c r="A71" s="9" t="s">
        <v>196</v>
      </c>
    </row>
    <row r="72" spans="1:5" ht="15.75" x14ac:dyDescent="0.25">
      <c r="A72" s="9" t="s">
        <v>307</v>
      </c>
    </row>
    <row r="74" spans="1:5" x14ac:dyDescent="0.2">
      <c r="A74" s="3" t="s">
        <v>16</v>
      </c>
    </row>
    <row r="75" spans="1:5" x14ac:dyDescent="0.2">
      <c r="A75" s="3" t="s">
        <v>17</v>
      </c>
    </row>
    <row r="77" spans="1:5" x14ac:dyDescent="0.2">
      <c r="A77" s="9" t="s">
        <v>18</v>
      </c>
    </row>
    <row r="78" spans="1:5" x14ac:dyDescent="0.2">
      <c r="A78" s="3" t="s">
        <v>19</v>
      </c>
    </row>
    <row r="79" spans="1:5" x14ac:dyDescent="0.2">
      <c r="C79" s="16" t="s">
        <v>20</v>
      </c>
      <c r="D79" s="16"/>
      <c r="E79" s="16"/>
    </row>
    <row r="80" spans="1:5" x14ac:dyDescent="0.2">
      <c r="C80" s="17" t="s">
        <v>21</v>
      </c>
      <c r="D80" s="17"/>
      <c r="E80" s="17"/>
    </row>
    <row r="84" spans="1:1" x14ac:dyDescent="0.2">
      <c r="A84" s="12" t="s">
        <v>197</v>
      </c>
    </row>
    <row r="85" spans="1:1" x14ac:dyDescent="0.2">
      <c r="A85" s="12" t="s">
        <v>198</v>
      </c>
    </row>
  </sheetData>
  <sheetProtection sheet="1"/>
  <phoneticPr fontId="35" type="noConversion"/>
  <pageMargins left="1" right="0.75" top="1" bottom="1" header="0.5" footer="0.5"/>
  <pageSetup scale="73" fitToHeight="3" orientation="portrait" horizontalDpi="4294967293" verticalDpi="4294967293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ColWidth="11" defaultRowHeight="15" x14ac:dyDescent="0.2"/>
  <cols>
    <col min="1" max="16384" width="11" style="396"/>
  </cols>
  <sheetData>
    <row r="1" spans="1:11" x14ac:dyDescent="0.2">
      <c r="A1" s="371" t="s">
        <v>199</v>
      </c>
      <c r="B1" s="176"/>
      <c r="C1" s="176"/>
      <c r="D1" s="176"/>
    </row>
    <row r="2" spans="1:11" s="428" customFormat="1" x14ac:dyDescent="0.2">
      <c r="A2" s="397" t="s">
        <v>168</v>
      </c>
      <c r="B2" s="176"/>
      <c r="C2" s="176"/>
      <c r="D2" s="176"/>
      <c r="E2" s="427">
        <f>'Monthly Flow Check'!G7</f>
        <v>41029</v>
      </c>
    </row>
    <row r="3" spans="1:11" ht="15.75" thickBot="1" x14ac:dyDescent="0.25">
      <c r="A3" s="397"/>
      <c r="B3" s="176"/>
      <c r="C3" s="176"/>
      <c r="D3" s="176"/>
    </row>
    <row r="4" spans="1:11" ht="16.5" thickTop="1" thickBot="1" x14ac:dyDescent="0.25">
      <c r="A4" s="176" t="s">
        <v>157</v>
      </c>
      <c r="B4" s="176"/>
      <c r="C4" s="176"/>
      <c r="D4" s="399"/>
    </row>
    <row r="5" spans="1:11" ht="16.5" thickTop="1" thickBot="1" x14ac:dyDescent="0.25"/>
    <row r="6" spans="1:11" ht="19.5" thickTop="1" thickBot="1" x14ac:dyDescent="0.3">
      <c r="A6" s="176"/>
      <c r="B6" s="310" t="s">
        <v>22</v>
      </c>
      <c r="C6" s="176"/>
      <c r="D6" s="311" t="s">
        <v>259</v>
      </c>
    </row>
    <row r="7" spans="1:11" ht="15.75" thickTop="1" x14ac:dyDescent="0.2"/>
    <row r="8" spans="1:11" x14ac:dyDescent="0.2">
      <c r="C8" s="396" t="s">
        <v>272</v>
      </c>
    </row>
    <row r="9" spans="1:11" s="409" customFormat="1" x14ac:dyDescent="0.2">
      <c r="A9" s="396"/>
      <c r="B9" s="396"/>
      <c r="C9" s="397"/>
    </row>
    <row r="10" spans="1:11" s="409" customFormat="1" ht="16.5" thickBot="1" x14ac:dyDescent="0.3">
      <c r="D10" s="405" t="s">
        <v>260</v>
      </c>
    </row>
    <row r="11" spans="1:11" s="409" customFormat="1" ht="16.5" thickTop="1" thickBot="1" x14ac:dyDescent="0.25">
      <c r="D11" s="170">
        <v>50</v>
      </c>
      <c r="E11" s="396"/>
      <c r="F11" s="396"/>
      <c r="G11" s="396"/>
      <c r="H11" s="396"/>
      <c r="I11" s="397"/>
    </row>
    <row r="12" spans="1:11" s="409" customFormat="1" ht="15.75" thickTop="1" x14ac:dyDescent="0.2">
      <c r="A12" s="416"/>
      <c r="B12" s="416"/>
      <c r="C12" s="416"/>
      <c r="D12" s="404"/>
      <c r="E12" s="430"/>
      <c r="F12" s="430"/>
      <c r="G12" s="430"/>
      <c r="H12" s="430"/>
      <c r="I12" s="431"/>
      <c r="J12" s="416"/>
      <c r="K12" s="416"/>
    </row>
    <row r="13" spans="1:11" s="416" customFormat="1" x14ac:dyDescent="0.2">
      <c r="C13" s="176" t="s">
        <v>271</v>
      </c>
      <c r="D13" s="404"/>
      <c r="E13" s="430"/>
      <c r="F13" s="430"/>
      <c r="G13" s="430"/>
      <c r="H13" s="430"/>
      <c r="I13" s="431"/>
    </row>
    <row r="14" spans="1:11" s="416" customFormat="1" ht="19.5" x14ac:dyDescent="0.35">
      <c r="C14" s="176" t="s">
        <v>237</v>
      </c>
      <c r="D14" s="404"/>
      <c r="E14" s="430"/>
      <c r="F14" s="430"/>
      <c r="G14" s="430"/>
      <c r="H14" s="430"/>
      <c r="I14" s="431"/>
    </row>
    <row r="15" spans="1:11" s="416" customFormat="1" x14ac:dyDescent="0.2">
      <c r="A15" s="409"/>
      <c r="B15" s="409"/>
      <c r="C15" s="402" t="s">
        <v>236</v>
      </c>
      <c r="D15" s="404"/>
      <c r="E15" s="396"/>
      <c r="F15" s="396"/>
      <c r="G15" s="396"/>
      <c r="H15" s="404"/>
      <c r="I15" s="396"/>
      <c r="J15" s="397"/>
      <c r="K15" s="409"/>
    </row>
    <row r="16" spans="1:11" s="409" customFormat="1" x14ac:dyDescent="0.2">
      <c r="C16" s="434"/>
      <c r="D16" s="404"/>
      <c r="E16" s="396"/>
      <c r="F16" s="396"/>
      <c r="G16" s="396"/>
      <c r="H16" s="404"/>
      <c r="I16" s="396"/>
      <c r="J16" s="397"/>
    </row>
    <row r="17" spans="1:11" s="409" customFormat="1" ht="16.5" thickBot="1" x14ac:dyDescent="0.3">
      <c r="D17" s="405" t="s">
        <v>285</v>
      </c>
    </row>
    <row r="18" spans="1:11" s="409" customFormat="1" ht="16.5" thickTop="1" thickBot="1" x14ac:dyDescent="0.25">
      <c r="D18" s="170">
        <v>0.01</v>
      </c>
      <c r="E18" s="396"/>
      <c r="F18" s="396"/>
      <c r="G18" s="396"/>
      <c r="H18" s="396"/>
      <c r="I18" s="397"/>
    </row>
    <row r="19" spans="1:11" s="409" customFormat="1" ht="16.5" thickTop="1" thickBot="1" x14ac:dyDescent="0.25">
      <c r="D19" s="404"/>
      <c r="E19" s="396"/>
      <c r="F19" s="396"/>
      <c r="G19" s="396"/>
      <c r="H19" s="404"/>
      <c r="I19" s="396"/>
      <c r="J19" s="397"/>
    </row>
    <row r="20" spans="1:11" ht="19.5" thickTop="1" thickBot="1" x14ac:dyDescent="0.3">
      <c r="A20" s="176"/>
      <c r="B20" s="310" t="s">
        <v>24</v>
      </c>
      <c r="C20" s="176"/>
      <c r="D20" s="311" t="s">
        <v>226</v>
      </c>
    </row>
    <row r="21" spans="1:11" ht="15.75" thickTop="1" x14ac:dyDescent="0.2"/>
    <row r="22" spans="1:11" x14ac:dyDescent="0.2">
      <c r="C22" s="396" t="s">
        <v>267</v>
      </c>
    </row>
    <row r="23" spans="1:11" x14ac:dyDescent="0.2">
      <c r="C23" s="396" t="s">
        <v>268</v>
      </c>
    </row>
    <row r="24" spans="1:11" s="409" customFormat="1" x14ac:dyDescent="0.2">
      <c r="A24" s="396"/>
      <c r="B24" s="396"/>
      <c r="C24" s="397"/>
    </row>
    <row r="25" spans="1:11" s="409" customFormat="1" ht="16.5" thickBot="1" x14ac:dyDescent="0.3">
      <c r="D25" s="407" t="s">
        <v>263</v>
      </c>
      <c r="H25" s="407" t="s">
        <v>264</v>
      </c>
    </row>
    <row r="26" spans="1:11" s="409" customFormat="1" ht="16.5" thickTop="1" thickBot="1" x14ac:dyDescent="0.25">
      <c r="D26" s="170">
        <v>60</v>
      </c>
      <c r="E26" s="396"/>
      <c r="F26" s="396"/>
      <c r="G26" s="396"/>
      <c r="H26" s="170">
        <v>5940</v>
      </c>
      <c r="I26" s="396"/>
      <c r="J26" s="397"/>
    </row>
    <row r="27" spans="1:11" s="409" customFormat="1" ht="15.75" thickTop="1" x14ac:dyDescent="0.2">
      <c r="A27" s="416"/>
      <c r="B27" s="416"/>
      <c r="C27" s="416"/>
      <c r="D27" s="404"/>
      <c r="E27" s="430"/>
      <c r="F27" s="430"/>
      <c r="G27" s="430"/>
      <c r="H27" s="404"/>
      <c r="I27" s="430"/>
      <c r="J27" s="431"/>
      <c r="K27" s="416"/>
    </row>
    <row r="28" spans="1:11" s="430" customFormat="1" ht="16.5" thickBot="1" x14ac:dyDescent="0.3">
      <c r="A28" s="416"/>
      <c r="B28" s="416"/>
      <c r="C28" s="416"/>
      <c r="D28" s="435" t="s">
        <v>265</v>
      </c>
      <c r="E28" s="416"/>
      <c r="F28" s="416"/>
      <c r="G28" s="416"/>
      <c r="H28" s="435" t="s">
        <v>266</v>
      </c>
      <c r="I28" s="416"/>
      <c r="J28" s="434"/>
    </row>
    <row r="29" spans="1:11" s="416" customFormat="1" ht="15.75" thickBot="1" x14ac:dyDescent="0.25">
      <c r="A29" s="396"/>
      <c r="B29" s="396"/>
      <c r="C29" s="396"/>
      <c r="D29" s="408">
        <f>B41</f>
        <v>59.767809269883792</v>
      </c>
      <c r="E29" s="409"/>
      <c r="F29" s="409"/>
      <c r="G29" s="409"/>
      <c r="H29" s="410">
        <f>H41</f>
        <v>5906.9966336434591</v>
      </c>
      <c r="I29" s="396"/>
      <c r="J29" s="397"/>
      <c r="K29" s="409"/>
    </row>
    <row r="30" spans="1:11" ht="15.75" thickBot="1" x14ac:dyDescent="0.25">
      <c r="A30" s="409"/>
      <c r="B30" s="409"/>
      <c r="C30" s="409"/>
      <c r="D30" s="409"/>
      <c r="E30" s="409"/>
      <c r="F30" s="409"/>
      <c r="G30" s="409"/>
      <c r="H30" s="409"/>
      <c r="I30" s="409"/>
      <c r="J30" s="371"/>
    </row>
    <row r="31" spans="1:11" ht="19.5" thickTop="1" thickBot="1" x14ac:dyDescent="0.3">
      <c r="A31" s="176"/>
      <c r="B31" s="310" t="s">
        <v>24</v>
      </c>
      <c r="C31" s="176"/>
      <c r="D31" s="311" t="s">
        <v>229</v>
      </c>
    </row>
    <row r="32" spans="1:11" ht="15.75" thickTop="1" x14ac:dyDescent="0.2"/>
    <row r="33" spans="2:12" ht="16.5" thickBot="1" x14ac:dyDescent="0.3">
      <c r="C33" s="405" t="s">
        <v>269</v>
      </c>
      <c r="J33" s="436" t="s">
        <v>284</v>
      </c>
    </row>
    <row r="34" spans="2:12" ht="15.75" thickBot="1" x14ac:dyDescent="0.25">
      <c r="D34" s="408">
        <f>B50</f>
        <v>0.5</v>
      </c>
      <c r="E34" s="409"/>
      <c r="F34" s="409"/>
      <c r="G34" s="409"/>
      <c r="H34" s="410">
        <f>2*H50</f>
        <v>1.859857797317898E-2</v>
      </c>
    </row>
    <row r="37" spans="2:12" x14ac:dyDescent="0.2">
      <c r="B37" s="178" t="s">
        <v>287</v>
      </c>
      <c r="C37" s="178"/>
      <c r="D37" s="178"/>
      <c r="E37" s="178"/>
      <c r="F37" s="178"/>
      <c r="G37" s="178"/>
      <c r="H37" s="178" t="s">
        <v>288</v>
      </c>
      <c r="I37" s="178"/>
      <c r="J37" s="178"/>
      <c r="K37" s="178"/>
      <c r="L37" s="178"/>
    </row>
    <row r="38" spans="2:12" x14ac:dyDescent="0.2">
      <c r="B38" s="418">
        <f>'Monthly Flow Check'!D15/2</f>
        <v>5.0000000000000001E-3</v>
      </c>
      <c r="C38" s="178"/>
      <c r="D38" s="178"/>
      <c r="E38" s="178"/>
      <c r="F38" s="178"/>
      <c r="G38" s="178"/>
      <c r="H38" s="200">
        <f>'Monthly Flow Check'!G15/2</f>
        <v>5.0000000000000001E-3</v>
      </c>
      <c r="I38" s="178"/>
      <c r="J38" s="178"/>
      <c r="K38" s="178"/>
      <c r="L38" s="178"/>
    </row>
    <row r="39" spans="2:12" x14ac:dyDescent="0.2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</row>
    <row r="40" spans="2:12" x14ac:dyDescent="0.2">
      <c r="B40" s="178" t="s">
        <v>227</v>
      </c>
      <c r="C40" s="178"/>
      <c r="D40" s="178"/>
      <c r="E40" s="178"/>
      <c r="F40" s="178"/>
      <c r="G40" s="178"/>
      <c r="H40" s="178" t="s">
        <v>228</v>
      </c>
      <c r="I40" s="178"/>
      <c r="J40" s="178"/>
      <c r="K40" s="178"/>
      <c r="L40" s="178"/>
    </row>
    <row r="41" spans="2:12" x14ac:dyDescent="0.2">
      <c r="B41" s="418">
        <f>IF(p="L",(D26-'Pollutant Annual Calibration'!C71)/'Pollutant Annual Calibration'!C72,(-'Pollutant Annual Calibration'!C81+SQRT('Pollutant Annual Calibration'!C81^2-4*'Pollutant Annual Calibration'!C82*('Pollutant Annual Calibration'!C80-D26)))/(2*'Pollutant Annual Calibration'!C82))</f>
        <v>59.767809269883792</v>
      </c>
      <c r="C41" s="178"/>
      <c r="D41" s="178"/>
      <c r="E41" s="178"/>
      <c r="F41" s="178"/>
      <c r="G41" s="178"/>
      <c r="H41" s="200">
        <f>IF(p_new="L",(H26-'Zero Gas Annual Calibration'!C71)/'Zero Gas Annual Calibration'!C72,(-'Zero Gas Annual Calibration'!C81+SQRT('Zero Gas Annual Calibration'!C81^2-4*'Zero Gas Annual Calibration'!C82*('Zero Gas Annual Calibration'!C80-H26)))/(2*'Zero Gas Annual Calibration'!C82))</f>
        <v>5906.9966336434591</v>
      </c>
      <c r="I41" s="178"/>
      <c r="J41" s="178"/>
      <c r="K41" s="178"/>
      <c r="L41" s="178"/>
    </row>
    <row r="42" spans="2:12" x14ac:dyDescent="0.2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2:12" x14ac:dyDescent="0.2">
      <c r="B43" s="178" t="s">
        <v>280</v>
      </c>
      <c r="C43" s="178"/>
      <c r="D43" s="178"/>
      <c r="E43" s="178"/>
      <c r="F43" s="178"/>
      <c r="G43" s="178"/>
      <c r="H43" s="178" t="s">
        <v>281</v>
      </c>
      <c r="I43" s="178"/>
      <c r="J43" s="178"/>
      <c r="K43" s="178"/>
      <c r="L43" s="178"/>
    </row>
    <row r="44" spans="2:12" x14ac:dyDescent="0.2">
      <c r="B44" s="418">
        <f>IF(p="L",'Pollutant Annual Calibration'!C74/B41,'Pollutant Annual Calibration'!C84/B41)</f>
        <v>1.515713603259322E-3</v>
      </c>
      <c r="C44" s="178"/>
      <c r="D44" s="178"/>
      <c r="E44" s="178"/>
      <c r="F44" s="178"/>
      <c r="G44" s="178"/>
      <c r="H44" s="200">
        <f>IF(p_new="L",'Zero Gas Annual Calibration'!C74/H41,'Zero Gas Annual Calibration'!C84/H41)</f>
        <v>3.0297504730586685E-3</v>
      </c>
      <c r="I44" s="178"/>
      <c r="J44" s="178"/>
      <c r="K44" s="178"/>
      <c r="L44" s="178"/>
    </row>
    <row r="45" spans="2:12" x14ac:dyDescent="0.2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2:12" x14ac:dyDescent="0.2">
      <c r="B46" s="178" t="s">
        <v>282</v>
      </c>
      <c r="C46" s="178"/>
      <c r="D46" s="178"/>
      <c r="E46" s="178"/>
      <c r="F46" s="178"/>
      <c r="G46" s="178"/>
      <c r="H46" s="178" t="s">
        <v>283</v>
      </c>
      <c r="I46" s="178"/>
      <c r="J46" s="178"/>
      <c r="K46" s="178"/>
      <c r="L46" s="178"/>
    </row>
    <row r="47" spans="2:12" x14ac:dyDescent="0.2">
      <c r="B47" s="418">
        <f>SQRT(B44^2+B38^2)</f>
        <v>5.2246902039360535E-3</v>
      </c>
      <c r="C47" s="178"/>
      <c r="D47" s="178"/>
      <c r="E47" s="178"/>
      <c r="F47" s="178"/>
      <c r="G47" s="178"/>
      <c r="H47" s="200">
        <f>SQRT(H44^2+H38^2)</f>
        <v>5.8463140463884782E-3</v>
      </c>
      <c r="I47" s="178"/>
      <c r="J47" s="178"/>
      <c r="K47" s="178"/>
      <c r="L47" s="178"/>
    </row>
    <row r="48" spans="2:12" x14ac:dyDescent="0.2"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2:12" x14ac:dyDescent="0.2">
      <c r="B49" s="178" t="s">
        <v>270</v>
      </c>
      <c r="C49" s="178"/>
      <c r="D49" s="178"/>
      <c r="E49" s="178"/>
      <c r="F49" s="178"/>
      <c r="G49" s="178"/>
      <c r="H49" s="178" t="s">
        <v>286</v>
      </c>
      <c r="I49" s="178"/>
      <c r="J49" s="178"/>
      <c r="K49" s="178"/>
      <c r="L49" s="178"/>
    </row>
    <row r="50" spans="2:12" x14ac:dyDescent="0.2">
      <c r="B50" s="418">
        <f>D11*(D26/(D26+H26))</f>
        <v>0.5</v>
      </c>
      <c r="C50" s="178"/>
      <c r="D50" s="178"/>
      <c r="E50" s="178"/>
      <c r="F50" s="178"/>
      <c r="G50" s="178"/>
      <c r="H50" s="200">
        <f>SQRT((D18/2)^2+B47^2+H47^2)</f>
        <v>9.29928898658949E-3</v>
      </c>
      <c r="I50" s="178"/>
      <c r="J50" s="178"/>
      <c r="K50" s="178"/>
      <c r="L50" s="178"/>
    </row>
    <row r="51" spans="2:12" x14ac:dyDescent="0.2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</row>
  </sheetData>
  <sheetProtection sheet="1"/>
  <phoneticPr fontId="35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9" workbookViewId="0">
      <selection activeCell="D23" sqref="D23"/>
    </sheetView>
  </sheetViews>
  <sheetFormatPr defaultColWidth="10.875" defaultRowHeight="15" x14ac:dyDescent="0.2"/>
  <cols>
    <col min="1" max="16384" width="10.875" style="396"/>
  </cols>
  <sheetData>
    <row r="1" spans="1:9" x14ac:dyDescent="0.2">
      <c r="A1" s="371" t="s">
        <v>156</v>
      </c>
      <c r="B1" s="176"/>
      <c r="C1" s="176"/>
      <c r="D1" s="176"/>
    </row>
    <row r="2" spans="1:9" s="428" customFormat="1" x14ac:dyDescent="0.2">
      <c r="A2" s="397" t="s">
        <v>167</v>
      </c>
      <c r="B2" s="176"/>
      <c r="C2" s="176"/>
      <c r="D2" s="176"/>
      <c r="E2" s="427">
        <f>'Annual Gas Check'!I9</f>
        <v>41028</v>
      </c>
    </row>
    <row r="3" spans="1:9" ht="15.75" thickBot="1" x14ac:dyDescent="0.25">
      <c r="A3" s="397"/>
      <c r="B3" s="176"/>
      <c r="C3" s="176"/>
      <c r="D3" s="176"/>
    </row>
    <row r="4" spans="1:9" ht="16.5" thickTop="1" thickBot="1" x14ac:dyDescent="0.25">
      <c r="A4" s="176" t="s">
        <v>157</v>
      </c>
      <c r="B4" s="176"/>
      <c r="C4" s="176"/>
      <c r="D4" s="399"/>
    </row>
    <row r="5" spans="1:9" ht="15.75" thickTop="1" x14ac:dyDescent="0.2">
      <c r="A5" s="176"/>
      <c r="B5" s="176"/>
      <c r="C5" s="176"/>
      <c r="D5" s="176"/>
    </row>
    <row r="6" spans="1:9" ht="15.75" thickBot="1" x14ac:dyDescent="0.25"/>
    <row r="7" spans="1:9" ht="16.5" thickTop="1" thickBot="1" x14ac:dyDescent="0.25">
      <c r="B7" s="396" t="s">
        <v>174</v>
      </c>
      <c r="G7" s="169">
        <v>41029</v>
      </c>
    </row>
    <row r="8" spans="1:9" ht="15.75" thickTop="1" x14ac:dyDescent="0.2"/>
    <row r="9" spans="1:9" ht="15.75" thickBot="1" x14ac:dyDescent="0.25"/>
    <row r="10" spans="1:9" ht="19.5" thickTop="1" thickBot="1" x14ac:dyDescent="0.3">
      <c r="A10" s="176"/>
      <c r="B10" s="310" t="s">
        <v>22</v>
      </c>
      <c r="C10" s="176"/>
      <c r="D10" s="311" t="s">
        <v>221</v>
      </c>
    </row>
    <row r="11" spans="1:9" ht="15.75" thickTop="1" x14ac:dyDescent="0.2"/>
    <row r="12" spans="1:9" x14ac:dyDescent="0.2">
      <c r="C12" s="396" t="s">
        <v>289</v>
      </c>
    </row>
    <row r="13" spans="1:9" s="409" customFormat="1" x14ac:dyDescent="0.2">
      <c r="A13" s="396"/>
      <c r="B13" s="396"/>
      <c r="C13" s="397"/>
    </row>
    <row r="14" spans="1:9" s="409" customFormat="1" ht="16.5" thickBot="1" x14ac:dyDescent="0.3">
      <c r="D14" s="405" t="s">
        <v>290</v>
      </c>
      <c r="G14" s="405" t="s">
        <v>169</v>
      </c>
    </row>
    <row r="15" spans="1:9" s="409" customFormat="1" ht="16.5" thickTop="1" thickBot="1" x14ac:dyDescent="0.25">
      <c r="D15" s="170">
        <v>0.01</v>
      </c>
      <c r="E15" s="396"/>
      <c r="F15" s="396"/>
      <c r="G15" s="170">
        <v>0.01</v>
      </c>
      <c r="H15" s="396"/>
      <c r="I15" s="397"/>
    </row>
    <row r="16" spans="1:9" s="409" customFormat="1" ht="15.75" thickTop="1" x14ac:dyDescent="0.2">
      <c r="D16" s="404"/>
      <c r="E16" s="396"/>
      <c r="F16" s="396"/>
      <c r="G16" s="404"/>
      <c r="H16" s="396"/>
      <c r="I16" s="397"/>
    </row>
    <row r="17" spans="1:9" ht="15.75" thickBot="1" x14ac:dyDescent="0.25">
      <c r="A17" s="409"/>
      <c r="B17" s="409"/>
      <c r="C17" s="409"/>
      <c r="D17" s="409"/>
      <c r="E17" s="409"/>
      <c r="F17" s="409"/>
      <c r="G17" s="409"/>
      <c r="H17" s="409"/>
      <c r="I17" s="371"/>
    </row>
    <row r="18" spans="1:9" ht="19.5" thickTop="1" thickBot="1" x14ac:dyDescent="0.3">
      <c r="A18" s="176"/>
      <c r="B18" s="429" t="s">
        <v>24</v>
      </c>
      <c r="C18" s="176"/>
      <c r="D18" s="311" t="s">
        <v>223</v>
      </c>
    </row>
    <row r="19" spans="1:9" ht="15.75" thickTop="1" x14ac:dyDescent="0.2"/>
    <row r="20" spans="1:9" x14ac:dyDescent="0.2">
      <c r="C20" s="396" t="s">
        <v>222</v>
      </c>
    </row>
    <row r="22" spans="1:9" ht="16.5" thickBot="1" x14ac:dyDescent="0.3">
      <c r="D22" s="405" t="s">
        <v>290</v>
      </c>
      <c r="G22" s="405" t="s">
        <v>169</v>
      </c>
    </row>
    <row r="23" spans="1:9" s="409" customFormat="1" ht="16.5" thickTop="1" thickBot="1" x14ac:dyDescent="0.25">
      <c r="A23" s="396"/>
      <c r="B23" s="396"/>
      <c r="C23" s="396"/>
      <c r="D23" s="170">
        <v>60</v>
      </c>
      <c r="E23" s="396"/>
      <c r="F23" s="396"/>
      <c r="G23" s="170">
        <v>5940</v>
      </c>
      <c r="H23" s="396"/>
      <c r="I23" s="397" t="str">
        <f>IF(AND(D23&lt;=MAX(X),D23&gt;=MIN(X)),"","Error, pollutant valve setting out of range tested")</f>
        <v/>
      </c>
    </row>
    <row r="24" spans="1:9" s="416" customFormat="1" ht="15.75" thickTop="1" x14ac:dyDescent="0.2">
      <c r="D24" s="404"/>
      <c r="E24" s="430"/>
      <c r="F24" s="430"/>
      <c r="G24" s="404"/>
      <c r="H24" s="430"/>
      <c r="I24" s="431"/>
    </row>
    <row r="25" spans="1:9" s="416" customFormat="1" ht="16.5" thickBot="1" x14ac:dyDescent="0.3">
      <c r="D25" s="433" t="s">
        <v>154</v>
      </c>
      <c r="E25" s="430"/>
      <c r="F25" s="430"/>
      <c r="G25" s="433" t="s">
        <v>170</v>
      </c>
      <c r="H25" s="430"/>
      <c r="I25" s="431"/>
    </row>
    <row r="26" spans="1:9" s="416" customFormat="1" ht="15.75" thickBot="1" x14ac:dyDescent="0.25">
      <c r="D26" s="408">
        <f>C40</f>
        <v>60.234224866149191</v>
      </c>
      <c r="E26" s="430"/>
      <c r="F26" s="430"/>
      <c r="G26" s="408">
        <f>H40</f>
        <v>5973.0164835516207</v>
      </c>
      <c r="H26" s="430"/>
      <c r="I26" s="431"/>
    </row>
    <row r="27" spans="1:9" s="409" customFormat="1" ht="15.75" thickBot="1" x14ac:dyDescent="0.25"/>
    <row r="28" spans="1:9" ht="19.5" thickTop="1" thickBot="1" x14ac:dyDescent="0.3">
      <c r="A28" s="176"/>
      <c r="B28" s="310" t="s">
        <v>26</v>
      </c>
      <c r="C28" s="176"/>
      <c r="D28" s="311" t="s">
        <v>224</v>
      </c>
    </row>
    <row r="29" spans="1:9" ht="15.75" thickTop="1" x14ac:dyDescent="0.2"/>
    <row r="30" spans="1:9" x14ac:dyDescent="0.2">
      <c r="C30" s="396" t="s">
        <v>200</v>
      </c>
    </row>
    <row r="32" spans="1:9" ht="16.5" thickBot="1" x14ac:dyDescent="0.3">
      <c r="D32" s="405" t="s">
        <v>290</v>
      </c>
      <c r="G32" s="405" t="s">
        <v>169</v>
      </c>
    </row>
    <row r="33" spans="3:12" ht="16.5" thickTop="1" thickBot="1" x14ac:dyDescent="0.25">
      <c r="D33" s="170">
        <v>60</v>
      </c>
      <c r="G33" s="170">
        <v>5940</v>
      </c>
    </row>
    <row r="34" spans="3:12" ht="15.75" thickTop="1" x14ac:dyDescent="0.2"/>
    <row r="35" spans="3:12" x14ac:dyDescent="0.2">
      <c r="D35" s="432" t="str">
        <f>IF(OR(D33&gt;C40+C52,D33&lt;C40-C52),"Pollutant Failed","")</f>
        <v/>
      </c>
      <c r="E35" s="409"/>
      <c r="F35" s="409"/>
      <c r="G35" s="403" t="str">
        <f>IF(OR(G33&gt;H40+H52,G33&lt;H40-H52),"Zero Gas Failed","")</f>
        <v/>
      </c>
    </row>
    <row r="36" spans="3:12" x14ac:dyDescent="0.2">
      <c r="D36" s="426" t="str">
        <f>IF(AND(D33&lt;=C40+C52,D33&gt;=C40-C52),"Pollutant Passed","")</f>
        <v>Pollutant Passed</v>
      </c>
      <c r="G36" s="426" t="str">
        <f>IF(AND(G33&lt;=H40+H52,G33&gt;=H40-H52),"Zero Passed","")</f>
        <v>Zero Passed</v>
      </c>
    </row>
    <row r="37" spans="3:12" x14ac:dyDescent="0.2">
      <c r="D37" s="426"/>
      <c r="G37" s="426"/>
    </row>
    <row r="39" spans="3:12" x14ac:dyDescent="0.2">
      <c r="C39" s="178" t="s">
        <v>293</v>
      </c>
      <c r="D39" s="178"/>
      <c r="E39" s="178"/>
      <c r="F39" s="178"/>
      <c r="G39" s="178"/>
      <c r="H39" s="178" t="s">
        <v>170</v>
      </c>
      <c r="I39" s="178"/>
      <c r="J39" s="178"/>
      <c r="K39" s="178"/>
      <c r="L39" s="178"/>
    </row>
    <row r="40" spans="3:12" x14ac:dyDescent="0.2">
      <c r="C40" s="418">
        <f>IF(p="L",'Pollutant Annual Calibration'!$C$71+'Pollutant Annual Calibration'!$C$72*D23,'Pollutant Annual Calibration'!$C$80+'Pollutant Annual Calibration'!$C$81*D23+'Pollutant Annual Calibration'!$C$82*D23^2)</f>
        <v>60.234224866149191</v>
      </c>
      <c r="D40" s="178"/>
      <c r="E40" s="178"/>
      <c r="F40" s="178"/>
      <c r="G40" s="178"/>
      <c r="H40" s="200">
        <f>IF(p_new="L",'Zero Gas Annual Calibration'!$C$71+'Zero Gas Annual Calibration'!$C$72*G23,'Zero Gas Annual Calibration'!$C$80+'Zero Gas Annual Calibration'!$C$81*G23+'Zero Gas Annual Calibration'!$C$82*G23^2)</f>
        <v>5973.0164835516207</v>
      </c>
      <c r="I40" s="178"/>
      <c r="J40" s="178"/>
      <c r="K40" s="178"/>
      <c r="L40" s="178"/>
    </row>
    <row r="41" spans="3:12" x14ac:dyDescent="0.2">
      <c r="C41" s="178"/>
      <c r="D41" s="178"/>
      <c r="E41" s="178"/>
      <c r="F41" s="178"/>
      <c r="G41" s="178"/>
      <c r="H41" s="178"/>
      <c r="I41" s="178"/>
      <c r="J41" s="178"/>
      <c r="K41" s="178"/>
      <c r="L41" s="178"/>
    </row>
    <row r="42" spans="3:12" x14ac:dyDescent="0.2">
      <c r="C42" s="178" t="s">
        <v>291</v>
      </c>
      <c r="D42" s="178"/>
      <c r="E42" s="178"/>
      <c r="F42" s="178"/>
      <c r="G42" s="178"/>
      <c r="H42" s="178" t="s">
        <v>292</v>
      </c>
      <c r="I42" s="178"/>
      <c r="J42" s="178"/>
      <c r="K42" s="178"/>
      <c r="L42" s="178"/>
    </row>
    <row r="43" spans="3:12" x14ac:dyDescent="0.2">
      <c r="C43" s="418">
        <f>D15/2</f>
        <v>5.0000000000000001E-3</v>
      </c>
      <c r="D43" s="178"/>
      <c r="E43" s="178"/>
      <c r="F43" s="178"/>
      <c r="G43" s="178"/>
      <c r="H43" s="200">
        <f>G15/2</f>
        <v>5.0000000000000001E-3</v>
      </c>
      <c r="I43" s="178"/>
      <c r="J43" s="178"/>
      <c r="K43" s="178"/>
      <c r="L43" s="178"/>
    </row>
    <row r="44" spans="3:12" x14ac:dyDescent="0.2"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3:12" x14ac:dyDescent="0.2">
      <c r="C45" s="178" t="s">
        <v>294</v>
      </c>
      <c r="D45" s="178"/>
      <c r="E45" s="178"/>
      <c r="F45" s="178"/>
      <c r="G45" s="178"/>
      <c r="H45" s="178" t="s">
        <v>295</v>
      </c>
      <c r="I45" s="178"/>
      <c r="J45" s="178"/>
      <c r="K45" s="178"/>
      <c r="L45" s="178"/>
    </row>
    <row r="46" spans="3:12" x14ac:dyDescent="0.2">
      <c r="C46" s="418">
        <f>IF(p="L",'Pollutant Annual Calibration'!C74/C40,'Pollutant Annual Calibration'!C84/C40)</f>
        <v>1.503976879401702E-3</v>
      </c>
      <c r="D46" s="178"/>
      <c r="E46" s="178"/>
      <c r="F46" s="178"/>
      <c r="G46" s="178"/>
      <c r="H46" s="200">
        <f>IF(p_new="L",'Zero Gas Annual Calibration'!C74/H40,'Zero Gas Annual Calibration'!C84/H40)</f>
        <v>2.9962625910075584E-3</v>
      </c>
      <c r="I46" s="178"/>
      <c r="J46" s="178"/>
      <c r="K46" s="178"/>
      <c r="L46" s="178"/>
    </row>
    <row r="47" spans="3:12" x14ac:dyDescent="0.2">
      <c r="C47" s="178"/>
      <c r="D47" s="178"/>
      <c r="E47" s="178"/>
      <c r="F47" s="178"/>
      <c r="G47" s="178"/>
      <c r="H47" s="178"/>
      <c r="I47" s="178"/>
      <c r="J47" s="178"/>
      <c r="K47" s="178"/>
      <c r="L47" s="178"/>
    </row>
    <row r="48" spans="3:12" x14ac:dyDescent="0.2">
      <c r="C48" s="178" t="s">
        <v>296</v>
      </c>
      <c r="D48" s="178"/>
      <c r="E48" s="178"/>
      <c r="F48" s="178"/>
      <c r="G48" s="178"/>
      <c r="H48" s="178" t="s">
        <v>297</v>
      </c>
      <c r="I48" s="178"/>
      <c r="J48" s="178"/>
      <c r="K48" s="178"/>
      <c r="L48" s="178"/>
    </row>
    <row r="49" spans="3:12" x14ac:dyDescent="0.2">
      <c r="C49" s="418">
        <f>SQRT(C46^2+C43^2)</f>
        <v>5.2212973918150732E-3</v>
      </c>
      <c r="D49" s="178"/>
      <c r="E49" s="178"/>
      <c r="F49" s="178"/>
      <c r="G49" s="178"/>
      <c r="H49" s="200">
        <f>SQRT(H46^2+H43^2)</f>
        <v>5.8290298947827786E-3</v>
      </c>
      <c r="I49" s="178"/>
      <c r="J49" s="178"/>
      <c r="K49" s="178"/>
      <c r="L49" s="178"/>
    </row>
    <row r="50" spans="3:12" x14ac:dyDescent="0.2">
      <c r="C50" s="178"/>
      <c r="D50" s="178"/>
      <c r="E50" s="178"/>
      <c r="F50" s="178"/>
      <c r="G50" s="178"/>
      <c r="H50" s="178"/>
      <c r="I50" s="178"/>
      <c r="J50" s="178"/>
      <c r="K50" s="178"/>
      <c r="L50" s="178"/>
    </row>
    <row r="51" spans="3:12" x14ac:dyDescent="0.2">
      <c r="C51" s="178" t="s">
        <v>201</v>
      </c>
      <c r="D51" s="178"/>
      <c r="E51" s="178"/>
      <c r="F51" s="178"/>
      <c r="G51" s="178"/>
      <c r="H51" s="178" t="s">
        <v>202</v>
      </c>
      <c r="I51" s="178"/>
      <c r="J51" s="178"/>
      <c r="K51" s="178"/>
      <c r="L51" s="178"/>
    </row>
    <row r="52" spans="3:12" x14ac:dyDescent="0.2">
      <c r="C52" s="418">
        <f>(0.01+2*C49)*C40</f>
        <v>1.2313438510447468</v>
      </c>
      <c r="D52" s="178"/>
      <c r="E52" s="178"/>
      <c r="F52" s="178"/>
      <c r="G52" s="178"/>
      <c r="H52" s="200">
        <f>(0.01+2*H49)*H40</f>
        <v>129.36394812482163</v>
      </c>
      <c r="I52" s="178"/>
      <c r="J52" s="178"/>
      <c r="K52" s="178"/>
      <c r="L52" s="178"/>
    </row>
    <row r="53" spans="3:12" x14ac:dyDescent="0.2">
      <c r="C53" s="178"/>
      <c r="D53" s="178"/>
      <c r="E53" s="178"/>
      <c r="F53" s="178"/>
      <c r="G53" s="178"/>
      <c r="H53" s="178"/>
      <c r="I53" s="178"/>
      <c r="J53" s="178"/>
      <c r="K53" s="178"/>
      <c r="L53" s="178"/>
    </row>
  </sheetData>
  <sheetProtection sheet="1"/>
  <phoneticPr fontId="35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Normal="100" workbookViewId="0"/>
  </sheetViews>
  <sheetFormatPr defaultColWidth="11" defaultRowHeight="15" x14ac:dyDescent="0.2"/>
  <cols>
    <col min="1" max="16384" width="11" style="396"/>
  </cols>
  <sheetData>
    <row r="1" spans="1:14" x14ac:dyDescent="0.2">
      <c r="A1" s="371" t="s">
        <v>203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4" x14ac:dyDescent="0.2">
      <c r="A2" s="397" t="s">
        <v>204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4" x14ac:dyDescent="0.2">
      <c r="A3" s="397" t="s">
        <v>205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5.75" thickBot="1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4" ht="16.5" thickTop="1" thickBot="1" x14ac:dyDescent="0.25">
      <c r="A5" s="176" t="s">
        <v>157</v>
      </c>
      <c r="B5" s="176"/>
      <c r="C5" s="176"/>
      <c r="D5" s="398"/>
      <c r="E5" s="176"/>
      <c r="F5" s="176"/>
      <c r="G5" s="176"/>
      <c r="H5" s="176"/>
      <c r="I5" s="176"/>
      <c r="J5" s="176"/>
      <c r="K5" s="176"/>
    </row>
    <row r="6" spans="1:14" ht="16.5" thickTop="1" thickBot="1" x14ac:dyDescent="0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4" ht="19.5" thickTop="1" thickBot="1" x14ac:dyDescent="0.3">
      <c r="A7" s="176"/>
      <c r="B7" s="310" t="s">
        <v>22</v>
      </c>
      <c r="C7" s="176"/>
      <c r="D7" s="311" t="s">
        <v>232</v>
      </c>
      <c r="E7" s="176"/>
      <c r="F7" s="176"/>
      <c r="G7" s="176"/>
      <c r="H7" s="176"/>
      <c r="I7" s="176"/>
      <c r="J7" s="176"/>
      <c r="K7" s="176"/>
    </row>
    <row r="8" spans="1:14" ht="16.5" thickTop="1" thickBot="1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4" ht="16.5" thickTop="1" thickBot="1" x14ac:dyDescent="0.25">
      <c r="A9" s="176"/>
      <c r="B9" s="176"/>
      <c r="C9" s="176" t="s">
        <v>233</v>
      </c>
      <c r="D9" s="176"/>
      <c r="E9" s="176"/>
      <c r="F9" s="176"/>
      <c r="G9" s="176"/>
      <c r="H9" s="176"/>
      <c r="I9" s="169">
        <v>41028</v>
      </c>
      <c r="J9" s="176"/>
      <c r="K9" s="176"/>
    </row>
    <row r="10" spans="1:14" ht="16.5" thickTop="1" thickBot="1" x14ac:dyDescent="0.2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4" ht="16.5" thickTop="1" thickBot="1" x14ac:dyDescent="0.25">
      <c r="A11" s="176"/>
      <c r="B11" s="176"/>
      <c r="C11" s="176" t="s">
        <v>261</v>
      </c>
      <c r="D11" s="176"/>
      <c r="E11" s="176"/>
      <c r="F11" s="176"/>
      <c r="G11" s="176"/>
      <c r="H11" s="176"/>
      <c r="I11" s="170">
        <v>50</v>
      </c>
      <c r="J11" s="176"/>
      <c r="K11" s="176"/>
    </row>
    <row r="12" spans="1:14" ht="15.75" thickTop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4" x14ac:dyDescent="0.2">
      <c r="A13" s="176"/>
      <c r="B13" s="176"/>
      <c r="C13" s="176" t="s">
        <v>217</v>
      </c>
      <c r="D13" s="176"/>
      <c r="E13" s="176"/>
      <c r="F13" s="176"/>
      <c r="G13" s="176"/>
      <c r="H13" s="176"/>
      <c r="I13" s="176"/>
      <c r="J13" s="176"/>
      <c r="K13" s="176"/>
    </row>
    <row r="14" spans="1:14" x14ac:dyDescent="0.2">
      <c r="A14" s="176"/>
      <c r="B14" s="176"/>
      <c r="C14" s="176" t="s">
        <v>298</v>
      </c>
      <c r="D14" s="176"/>
      <c r="E14" s="176"/>
      <c r="F14" s="176"/>
      <c r="G14" s="176"/>
      <c r="H14" s="176"/>
      <c r="I14" s="176"/>
      <c r="J14" s="176"/>
      <c r="K14" s="176"/>
      <c r="N14" s="400"/>
    </row>
    <row r="15" spans="1:14" x14ac:dyDescent="0.2">
      <c r="A15" s="176"/>
      <c r="B15" s="176"/>
      <c r="C15" s="401" t="s">
        <v>235</v>
      </c>
      <c r="D15" s="176"/>
      <c r="E15" s="176"/>
      <c r="F15" s="176"/>
      <c r="G15" s="176"/>
      <c r="H15" s="176"/>
      <c r="I15" s="176"/>
      <c r="J15" s="176"/>
      <c r="K15" s="176"/>
      <c r="N15" s="400"/>
    </row>
    <row r="16" spans="1:14" x14ac:dyDescent="0.2">
      <c r="A16" s="176"/>
      <c r="B16" s="176"/>
      <c r="C16" s="402" t="s">
        <v>236</v>
      </c>
      <c r="D16" s="176"/>
      <c r="E16" s="176"/>
      <c r="F16" s="176"/>
      <c r="G16" s="176"/>
      <c r="H16" s="176"/>
      <c r="I16" s="176"/>
      <c r="J16" s="176"/>
      <c r="K16" s="176"/>
    </row>
    <row r="17" spans="1:14" ht="15.75" thickBot="1" x14ac:dyDescent="0.2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4" ht="16.5" thickTop="1" thickBot="1" x14ac:dyDescent="0.25">
      <c r="A18" s="176"/>
      <c r="B18" s="176"/>
      <c r="C18" s="176" t="s">
        <v>262</v>
      </c>
      <c r="D18" s="176"/>
      <c r="E18" s="176"/>
      <c r="F18" s="176"/>
      <c r="G18" s="176"/>
      <c r="H18" s="176"/>
      <c r="I18" s="170">
        <v>0.01</v>
      </c>
      <c r="J18" s="176"/>
      <c r="K18" s="176"/>
    </row>
    <row r="19" spans="1:14" ht="16.5" thickTop="1" thickBot="1" x14ac:dyDescent="0.2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4" ht="16.5" thickTop="1" thickBot="1" x14ac:dyDescent="0.25">
      <c r="A20" s="176"/>
      <c r="B20" s="176"/>
      <c r="C20" s="176" t="s">
        <v>153</v>
      </c>
      <c r="D20" s="176"/>
      <c r="E20" s="176"/>
      <c r="F20" s="176"/>
      <c r="G20" s="176"/>
      <c r="H20" s="176"/>
      <c r="I20" s="171" t="s">
        <v>155</v>
      </c>
      <c r="J20" s="176"/>
      <c r="K20" s="176"/>
    </row>
    <row r="21" spans="1:14" ht="15.75" thickTop="1" x14ac:dyDescent="0.2">
      <c r="A21" s="176"/>
      <c r="B21" s="176"/>
      <c r="C21" s="401" t="s">
        <v>234</v>
      </c>
      <c r="D21" s="176"/>
      <c r="E21" s="176"/>
      <c r="F21" s="176"/>
      <c r="G21" s="176"/>
      <c r="H21" s="176"/>
      <c r="I21" s="176"/>
      <c r="J21" s="176"/>
      <c r="K21" s="176"/>
    </row>
    <row r="22" spans="1:14" ht="15.75" thickBot="1" x14ac:dyDescent="0.25">
      <c r="A22" s="176"/>
      <c r="B22" s="176"/>
      <c r="C22" s="176"/>
      <c r="E22" s="176"/>
      <c r="F22" s="176"/>
      <c r="G22" s="176"/>
      <c r="H22" s="176"/>
      <c r="I22" s="176"/>
      <c r="J22" s="176"/>
      <c r="K22" s="176"/>
    </row>
    <row r="23" spans="1:14" ht="19.5" thickTop="1" thickBot="1" x14ac:dyDescent="0.3">
      <c r="A23" s="176"/>
      <c r="B23" s="310" t="s">
        <v>24</v>
      </c>
      <c r="C23" s="176"/>
      <c r="D23" s="311" t="s">
        <v>206</v>
      </c>
      <c r="E23" s="176"/>
      <c r="F23" s="176"/>
      <c r="G23" s="176"/>
      <c r="H23" s="176"/>
      <c r="I23" s="176"/>
      <c r="J23" s="176"/>
      <c r="K23" s="176"/>
    </row>
    <row r="24" spans="1:14" ht="16.5" thickTop="1" thickBot="1" x14ac:dyDescent="0.2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</row>
    <row r="25" spans="1:14" ht="16.5" thickTop="1" thickBot="1" x14ac:dyDescent="0.25">
      <c r="A25" s="176"/>
      <c r="B25" s="176"/>
      <c r="C25" s="176" t="s">
        <v>238</v>
      </c>
      <c r="D25" s="176"/>
      <c r="E25" s="176"/>
      <c r="F25" s="176"/>
      <c r="G25" s="176"/>
      <c r="H25" s="176"/>
      <c r="I25" s="170">
        <v>0.5</v>
      </c>
      <c r="J25" s="176"/>
      <c r="K25" s="403" t="str">
        <f>IF(I25&gt;I11/10,"FAILURE: The check standard must be at least a factor of ten less","")</f>
        <v/>
      </c>
    </row>
    <row r="26" spans="1:14" ht="15.75" thickTop="1" x14ac:dyDescent="0.2">
      <c r="A26" s="176"/>
      <c r="B26" s="176"/>
      <c r="C26" s="401" t="s">
        <v>215</v>
      </c>
      <c r="D26" s="176"/>
      <c r="E26" s="176"/>
      <c r="F26" s="176"/>
      <c r="G26" s="176"/>
      <c r="H26" s="176"/>
      <c r="I26" s="404"/>
      <c r="J26" s="176"/>
    </row>
    <row r="27" spans="1:14" x14ac:dyDescent="0.2">
      <c r="A27" s="176"/>
      <c r="B27" s="176"/>
      <c r="C27" s="401" t="s">
        <v>216</v>
      </c>
      <c r="D27" s="176"/>
      <c r="E27" s="176"/>
      <c r="F27" s="176"/>
      <c r="G27" s="176"/>
      <c r="H27" s="176"/>
      <c r="I27" s="404"/>
      <c r="J27" s="176"/>
      <c r="K27" s="176"/>
    </row>
    <row r="28" spans="1:14" x14ac:dyDescent="0.2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4" x14ac:dyDescent="0.2">
      <c r="A29" s="176"/>
      <c r="B29" s="176"/>
      <c r="C29" s="176" t="s">
        <v>217</v>
      </c>
      <c r="D29" s="176"/>
      <c r="E29" s="176"/>
      <c r="F29" s="176"/>
      <c r="G29" s="176"/>
      <c r="H29" s="176"/>
      <c r="I29" s="176"/>
      <c r="J29" s="176"/>
      <c r="K29" s="176"/>
    </row>
    <row r="30" spans="1:14" x14ac:dyDescent="0.2">
      <c r="A30" s="176"/>
      <c r="B30" s="176"/>
      <c r="C30" s="176" t="s">
        <v>298</v>
      </c>
      <c r="D30" s="176"/>
      <c r="E30" s="176"/>
      <c r="F30" s="176"/>
      <c r="G30" s="176"/>
      <c r="H30" s="176"/>
      <c r="I30" s="176"/>
      <c r="J30" s="176"/>
      <c r="K30" s="176"/>
      <c r="N30" s="400"/>
    </row>
    <row r="31" spans="1:14" x14ac:dyDescent="0.2">
      <c r="A31" s="176"/>
      <c r="B31" s="176"/>
      <c r="C31" s="401" t="s">
        <v>234</v>
      </c>
      <c r="D31" s="176"/>
      <c r="E31" s="176"/>
      <c r="F31" s="176"/>
      <c r="G31" s="176"/>
      <c r="H31" s="176"/>
      <c r="I31" s="176"/>
      <c r="J31" s="176"/>
      <c r="K31" s="176"/>
      <c r="N31" s="400"/>
    </row>
    <row r="32" spans="1:14" x14ac:dyDescent="0.2">
      <c r="A32" s="176"/>
      <c r="B32" s="176"/>
      <c r="C32" s="401" t="s">
        <v>235</v>
      </c>
      <c r="D32" s="176"/>
      <c r="E32" s="176"/>
      <c r="F32" s="176"/>
      <c r="G32" s="176"/>
      <c r="H32" s="176"/>
      <c r="I32" s="176"/>
      <c r="J32" s="176"/>
      <c r="K32" s="176"/>
      <c r="N32" s="400"/>
    </row>
    <row r="33" spans="1:11" x14ac:dyDescent="0.2">
      <c r="A33" s="176"/>
      <c r="B33" s="176"/>
      <c r="C33" s="402" t="s">
        <v>236</v>
      </c>
      <c r="D33" s="176"/>
      <c r="E33" s="176"/>
      <c r="F33" s="176"/>
      <c r="G33" s="176"/>
      <c r="H33" s="176"/>
      <c r="I33" s="176"/>
      <c r="J33" s="176"/>
      <c r="K33" s="176"/>
    </row>
    <row r="34" spans="1:11" ht="15.75" thickBot="1" x14ac:dyDescent="0.2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</row>
    <row r="35" spans="1:11" ht="16.5" thickTop="1" thickBot="1" x14ac:dyDescent="0.25">
      <c r="A35" s="176"/>
      <c r="B35" s="176"/>
      <c r="C35" s="176" t="s">
        <v>207</v>
      </c>
      <c r="D35" s="176"/>
      <c r="E35" s="176"/>
      <c r="F35" s="176"/>
      <c r="G35" s="176"/>
      <c r="H35" s="176"/>
      <c r="I35" s="170">
        <v>0.01</v>
      </c>
      <c r="J35" s="176"/>
      <c r="K35" s="176"/>
    </row>
    <row r="36" spans="1:11" ht="16.5" thickTop="1" thickBo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</row>
    <row r="37" spans="1:11" ht="16.5" thickTop="1" thickBot="1" x14ac:dyDescent="0.25">
      <c r="A37" s="176"/>
      <c r="B37" s="176"/>
      <c r="C37" s="176" t="s">
        <v>153</v>
      </c>
      <c r="D37" s="176"/>
      <c r="E37" s="176"/>
      <c r="F37" s="176"/>
      <c r="G37" s="176"/>
      <c r="H37" s="176"/>
      <c r="I37" s="171" t="s">
        <v>155</v>
      </c>
      <c r="J37" s="176"/>
      <c r="K37" s="371" t="str">
        <f>IF(OR(I37="yes",I37="no"),"","Must answer yes or no")</f>
        <v/>
      </c>
    </row>
    <row r="38" spans="1:11" ht="16.5" thickTop="1" thickBot="1" x14ac:dyDescent="0.2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ht="19.5" thickTop="1" thickBot="1" x14ac:dyDescent="0.3">
      <c r="A39" s="176"/>
      <c r="B39" s="310" t="s">
        <v>26</v>
      </c>
      <c r="C39" s="176"/>
      <c r="D39" s="311" t="s">
        <v>208</v>
      </c>
      <c r="E39" s="176"/>
      <c r="F39" s="176"/>
      <c r="G39" s="176"/>
      <c r="H39" s="176"/>
      <c r="I39" s="176"/>
      <c r="J39" s="176"/>
      <c r="K39" s="176"/>
    </row>
    <row r="40" spans="1:11" ht="15.75" thickTop="1" x14ac:dyDescent="0.2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</row>
    <row r="41" spans="1:11" x14ac:dyDescent="0.2">
      <c r="A41" s="176"/>
      <c r="B41" s="176"/>
      <c r="C41" s="176" t="s">
        <v>209</v>
      </c>
      <c r="D41" s="176"/>
      <c r="E41" s="176"/>
      <c r="F41" s="176"/>
      <c r="G41" s="176"/>
      <c r="H41" s="176"/>
      <c r="I41" s="176"/>
      <c r="J41" s="176"/>
      <c r="K41" s="176"/>
    </row>
    <row r="42" spans="1:11" x14ac:dyDescent="0.2">
      <c r="A42" s="176"/>
      <c r="B42" s="176"/>
      <c r="C42" s="176" t="s">
        <v>254</v>
      </c>
      <c r="D42" s="176"/>
      <c r="E42" s="176"/>
      <c r="F42" s="176"/>
      <c r="G42" s="176"/>
      <c r="H42" s="176"/>
      <c r="I42" s="176"/>
      <c r="J42" s="176"/>
      <c r="K42" s="176"/>
    </row>
    <row r="43" spans="1:11" x14ac:dyDescent="0.2">
      <c r="A43" s="176"/>
      <c r="B43" s="176"/>
      <c r="C43" s="176" t="s">
        <v>210</v>
      </c>
      <c r="D43" s="176"/>
      <c r="E43" s="176"/>
      <c r="F43" s="176"/>
      <c r="G43" s="176"/>
      <c r="H43" s="176"/>
      <c r="I43" s="176"/>
      <c r="J43" s="176"/>
      <c r="K43" s="176"/>
    </row>
    <row r="44" spans="1:11" ht="15.75" thickBot="1" x14ac:dyDescent="0.2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</row>
    <row r="45" spans="1:11" ht="16.5" thickTop="1" thickBot="1" x14ac:dyDescent="0.25">
      <c r="A45" s="176"/>
      <c r="B45" s="176"/>
      <c r="C45" s="176" t="s">
        <v>211</v>
      </c>
      <c r="D45" s="176"/>
      <c r="E45" s="176"/>
      <c r="F45" s="176"/>
      <c r="G45" s="176"/>
      <c r="H45" s="176"/>
      <c r="I45" s="170">
        <v>60</v>
      </c>
      <c r="J45" s="176"/>
      <c r="K45" s="371" t="str">
        <f>IF(AND(I45&lt;=MAX(X),I45&gt;=MIN(X)),"","Error, valve setting out of range tested")</f>
        <v/>
      </c>
    </row>
    <row r="46" spans="1:11" ht="16.5" thickTop="1" thickBot="1" x14ac:dyDescent="0.2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</row>
    <row r="47" spans="1:11" ht="16.5" thickTop="1" thickBot="1" x14ac:dyDescent="0.25">
      <c r="A47" s="176"/>
      <c r="B47" s="176"/>
      <c r="C47" s="176" t="s">
        <v>212</v>
      </c>
      <c r="D47" s="176"/>
      <c r="E47" s="176"/>
      <c r="F47" s="176"/>
      <c r="G47" s="176"/>
      <c r="H47" s="176"/>
      <c r="I47" s="170">
        <v>5940</v>
      </c>
      <c r="J47" s="176"/>
      <c r="K47" s="371" t="str">
        <f>IF(AND(I47&lt;=MAX(X_new),I47&gt;=MIN(X_new)),"","Error, valve setting out of range tested")</f>
        <v/>
      </c>
    </row>
    <row r="48" spans="1:11" ht="15.75" thickTop="1" x14ac:dyDescent="0.2"/>
    <row r="49" spans="2:9" ht="15.75" x14ac:dyDescent="0.25">
      <c r="C49" s="405" t="s">
        <v>308</v>
      </c>
      <c r="H49" s="406"/>
    </row>
    <row r="50" spans="2:9" ht="16.5" thickBot="1" x14ac:dyDescent="0.3">
      <c r="C50" s="405" t="s">
        <v>309</v>
      </c>
      <c r="H50" s="406"/>
      <c r="I50" s="407" t="s">
        <v>218</v>
      </c>
    </row>
    <row r="51" spans="2:9" ht="16.5" thickBot="1" x14ac:dyDescent="0.3">
      <c r="C51" s="408">
        <f>C87</f>
        <v>0.49918549532599915</v>
      </c>
      <c r="D51" s="409"/>
      <c r="E51" s="409"/>
      <c r="F51" s="407" t="s">
        <v>240</v>
      </c>
      <c r="G51" s="409"/>
      <c r="H51" s="409"/>
      <c r="I51" s="410">
        <f>I25</f>
        <v>0.5</v>
      </c>
    </row>
    <row r="52" spans="2:9" s="409" customFormat="1" ht="15.75" thickBot="1" x14ac:dyDescent="0.25">
      <c r="B52" s="396"/>
      <c r="C52" s="396"/>
      <c r="D52" s="396"/>
      <c r="E52" s="396"/>
      <c r="F52" s="411">
        <f>100*((C51-I51)/I51)</f>
        <v>-0.16290093480016976</v>
      </c>
      <c r="G52" s="409" t="s">
        <v>241</v>
      </c>
    </row>
    <row r="53" spans="2:9" x14ac:dyDescent="0.2">
      <c r="B53" s="409"/>
      <c r="C53" s="412" t="s">
        <v>239</v>
      </c>
    </row>
    <row r="54" spans="2:9" s="409" customFormat="1" x14ac:dyDescent="0.2">
      <c r="B54" s="396"/>
      <c r="C54" s="413" t="s">
        <v>253</v>
      </c>
    </row>
    <row r="55" spans="2:9" s="409" customFormat="1" ht="15.75" thickBot="1" x14ac:dyDescent="0.25"/>
    <row r="56" spans="2:9" ht="19.5" thickTop="1" thickBot="1" x14ac:dyDescent="0.3">
      <c r="B56" s="310" t="s">
        <v>28</v>
      </c>
      <c r="C56" s="176"/>
      <c r="D56" s="311" t="s">
        <v>219</v>
      </c>
    </row>
    <row r="57" spans="2:9" ht="15.75" thickTop="1" x14ac:dyDescent="0.2"/>
    <row r="58" spans="2:9" x14ac:dyDescent="0.2">
      <c r="C58" s="396" t="s">
        <v>242</v>
      </c>
    </row>
    <row r="59" spans="2:9" x14ac:dyDescent="0.2">
      <c r="C59" s="396" t="s">
        <v>243</v>
      </c>
    </row>
    <row r="61" spans="2:9" ht="64.5" thickBot="1" x14ac:dyDescent="0.3">
      <c r="C61" s="440" t="s">
        <v>246</v>
      </c>
      <c r="D61" s="438"/>
      <c r="I61" s="439" t="s">
        <v>247</v>
      </c>
    </row>
    <row r="62" spans="2:9" ht="15.75" thickTop="1" x14ac:dyDescent="0.2">
      <c r="C62" s="172">
        <v>1.0049999999999999</v>
      </c>
      <c r="I62" s="172">
        <v>1.0049999999999999</v>
      </c>
    </row>
    <row r="63" spans="2:9" x14ac:dyDescent="0.2">
      <c r="C63" s="173">
        <v>1</v>
      </c>
      <c r="I63" s="173">
        <v>1</v>
      </c>
    </row>
    <row r="64" spans="2:9" x14ac:dyDescent="0.2">
      <c r="C64" s="173">
        <v>0.995</v>
      </c>
      <c r="I64" s="173">
        <v>0.995</v>
      </c>
    </row>
    <row r="65" spans="3:12" x14ac:dyDescent="0.2">
      <c r="C65" s="173"/>
      <c r="I65" s="173"/>
    </row>
    <row r="66" spans="3:12" ht="15.75" thickBot="1" x14ac:dyDescent="0.25">
      <c r="C66" s="174"/>
      <c r="I66" s="174"/>
    </row>
    <row r="67" spans="3:12" ht="15.75" thickTop="1" x14ac:dyDescent="0.2">
      <c r="I67" s="192"/>
    </row>
    <row r="68" spans="3:12" ht="16.5" thickBot="1" x14ac:dyDescent="0.3">
      <c r="C68" s="405" t="s">
        <v>251</v>
      </c>
      <c r="I68" s="436" t="s">
        <v>252</v>
      </c>
    </row>
    <row r="69" spans="3:12" ht="16.5" thickBot="1" x14ac:dyDescent="0.3">
      <c r="C69" s="408">
        <f>C93</f>
        <v>1</v>
      </c>
      <c r="D69" s="409"/>
      <c r="E69" s="409"/>
      <c r="F69" s="407" t="s">
        <v>255</v>
      </c>
      <c r="G69" s="409"/>
      <c r="H69" s="409"/>
      <c r="I69" s="410">
        <f>H93</f>
        <v>1</v>
      </c>
    </row>
    <row r="70" spans="3:12" ht="15.75" thickBot="1" x14ac:dyDescent="0.25">
      <c r="C70" s="414"/>
      <c r="D70" s="415"/>
      <c r="E70" s="415"/>
      <c r="F70" s="411">
        <f>100*((C69-I69)/I69)</f>
        <v>0</v>
      </c>
      <c r="G70" s="409" t="s">
        <v>241</v>
      </c>
      <c r="H70" s="416"/>
      <c r="I70" s="192"/>
    </row>
    <row r="71" spans="3:12" x14ac:dyDescent="0.2">
      <c r="C71" s="414"/>
      <c r="D71" s="415"/>
      <c r="E71" s="415"/>
      <c r="F71" s="437"/>
      <c r="G71" s="409"/>
      <c r="H71" s="416"/>
      <c r="I71" s="192"/>
    </row>
    <row r="72" spans="3:12" s="409" customFormat="1" x14ac:dyDescent="0.2">
      <c r="C72" s="417" t="str">
        <f>IF(F$107=1,"","Excessive Dilution Error, Redo Calibration")</f>
        <v/>
      </c>
    </row>
    <row r="73" spans="3:12" s="409" customFormat="1" x14ac:dyDescent="0.2">
      <c r="C73" s="426" t="str">
        <f>IF(F107=1,"Acceptable Relative Agreement","")</f>
        <v>Acceptable Relative Agreement</v>
      </c>
    </row>
    <row r="74" spans="3:12" s="409" customFormat="1" x14ac:dyDescent="0.2"/>
    <row r="75" spans="3:12" s="409" customFormat="1" x14ac:dyDescent="0.2"/>
    <row r="76" spans="3:12" s="409" customFormat="1" x14ac:dyDescent="0.2"/>
    <row r="77" spans="3:12" x14ac:dyDescent="0.2">
      <c r="C77" s="178" t="s">
        <v>244</v>
      </c>
      <c r="D77" s="178"/>
      <c r="E77" s="178"/>
      <c r="F77" s="178"/>
      <c r="G77" s="178"/>
      <c r="H77" s="178" t="s">
        <v>245</v>
      </c>
      <c r="I77" s="178"/>
      <c r="J77" s="178"/>
      <c r="K77" s="178"/>
      <c r="L77" s="178"/>
    </row>
    <row r="78" spans="3:12" x14ac:dyDescent="0.2">
      <c r="C78" s="418">
        <f>IF(p="L",'Pollutant Annual Calibration'!$C$71+'Pollutant Annual Calibration'!$C$72*I45,'Pollutant Annual Calibration'!$C$80+'Pollutant Annual Calibration'!$C$81*I45+'Pollutant Annual Calibration'!$C$82*I45^2)</f>
        <v>60.234224866149191</v>
      </c>
      <c r="D78" s="178"/>
      <c r="E78" s="178"/>
      <c r="F78" s="419"/>
      <c r="G78" s="178"/>
      <c r="H78" s="200">
        <f>IF(p_new="L",'Zero Gas Annual Calibration'!$C$71+'Zero Gas Annual Calibration'!$C$72*I47,'Zero Gas Annual Calibration'!$C$80+'Zero Gas Annual Calibration'!$C$81*I47+'Zero Gas Annual Calibration'!$C$82*I47^2)</f>
        <v>5973.0164835516207</v>
      </c>
      <c r="I78" s="178"/>
      <c r="J78" s="178"/>
      <c r="K78" s="178"/>
      <c r="L78" s="178"/>
    </row>
    <row r="79" spans="3:12" x14ac:dyDescent="0.2">
      <c r="C79" s="178"/>
      <c r="D79" s="178"/>
      <c r="E79" s="178"/>
      <c r="F79" s="178"/>
      <c r="G79" s="178"/>
      <c r="H79" s="178"/>
      <c r="I79" s="178"/>
      <c r="J79" s="178"/>
      <c r="K79" s="178"/>
      <c r="L79" s="178"/>
    </row>
    <row r="80" spans="3:12" x14ac:dyDescent="0.2">
      <c r="C80" s="178" t="s">
        <v>278</v>
      </c>
      <c r="D80" s="178"/>
      <c r="E80" s="178"/>
      <c r="F80" s="178"/>
      <c r="G80" s="178"/>
      <c r="H80" s="178" t="s">
        <v>279</v>
      </c>
      <c r="I80" s="178"/>
      <c r="J80" s="178"/>
      <c r="K80" s="178"/>
      <c r="L80" s="178"/>
    </row>
    <row r="81" spans="3:12" x14ac:dyDescent="0.2">
      <c r="C81" s="418">
        <f>IF(p="L",'Pollutant Annual Calibration'!C74/C78,'Pollutant Annual Calibration'!C84/C78)</f>
        <v>1.503976879401702E-3</v>
      </c>
      <c r="D81" s="178"/>
      <c r="E81" s="178"/>
      <c r="F81" s="178"/>
      <c r="G81" s="178"/>
      <c r="H81" s="200">
        <f>IF(p_new="L",'Zero Gas Annual Calibration'!C74/H78,'Zero Gas Annual Calibration'!C84/H78)</f>
        <v>2.9962625910075584E-3</v>
      </c>
      <c r="I81" s="178"/>
      <c r="J81" s="178"/>
      <c r="K81" s="178"/>
      <c r="L81" s="178"/>
    </row>
    <row r="82" spans="3:12" x14ac:dyDescent="0.2">
      <c r="C82" s="178"/>
      <c r="D82" s="178"/>
      <c r="E82" s="178"/>
      <c r="F82" s="178"/>
      <c r="G82" s="178"/>
      <c r="H82" s="178"/>
      <c r="I82" s="178"/>
      <c r="J82" s="178"/>
      <c r="K82" s="178"/>
      <c r="L82" s="178"/>
    </row>
    <row r="83" spans="3:12" x14ac:dyDescent="0.2">
      <c r="C83" s="178" t="s">
        <v>230</v>
      </c>
      <c r="D83" s="178"/>
      <c r="E83" s="178"/>
      <c r="F83" s="178"/>
      <c r="G83" s="178"/>
      <c r="H83" s="178" t="s">
        <v>231</v>
      </c>
      <c r="I83" s="178"/>
      <c r="J83" s="178"/>
      <c r="K83" s="178"/>
      <c r="L83" s="178"/>
    </row>
    <row r="84" spans="3:12" x14ac:dyDescent="0.2">
      <c r="C84" s="418">
        <f>I11</f>
        <v>50</v>
      </c>
      <c r="D84" s="178"/>
      <c r="E84" s="178"/>
      <c r="F84" s="178"/>
      <c r="G84" s="178"/>
      <c r="H84" s="200">
        <f>I25</f>
        <v>0.5</v>
      </c>
      <c r="I84" s="178"/>
      <c r="J84" s="178"/>
      <c r="K84" s="178"/>
      <c r="L84" s="178"/>
    </row>
    <row r="85" spans="3:12" x14ac:dyDescent="0.2">
      <c r="C85" s="178"/>
      <c r="D85" s="178"/>
      <c r="E85" s="178"/>
      <c r="F85" s="178"/>
      <c r="G85" s="178"/>
      <c r="H85" s="178"/>
      <c r="I85" s="178"/>
      <c r="J85" s="178"/>
      <c r="K85" s="178"/>
      <c r="L85" s="178"/>
    </row>
    <row r="86" spans="3:12" x14ac:dyDescent="0.2">
      <c r="C86" s="178" t="s">
        <v>248</v>
      </c>
      <c r="D86" s="178"/>
      <c r="E86" s="178"/>
      <c r="F86" s="178"/>
      <c r="G86" s="178"/>
      <c r="H86" s="178" t="s">
        <v>225</v>
      </c>
      <c r="I86" s="178"/>
      <c r="J86" s="178"/>
      <c r="K86" s="178"/>
      <c r="L86" s="178"/>
    </row>
    <row r="87" spans="3:12" x14ac:dyDescent="0.2">
      <c r="C87" s="418">
        <f>I11*(C78/(C78+H78))</f>
        <v>0.49918549532599915</v>
      </c>
      <c r="D87" s="178"/>
      <c r="E87" s="178"/>
      <c r="F87" s="178"/>
      <c r="G87" s="178"/>
      <c r="H87" s="420">
        <f>(C87-I51)/I51</f>
        <v>-1.6290093480016976E-3</v>
      </c>
      <c r="I87" s="178"/>
      <c r="J87" s="178"/>
      <c r="K87" s="178"/>
      <c r="L87" s="178"/>
    </row>
    <row r="88" spans="3:12" x14ac:dyDescent="0.2">
      <c r="C88" s="178"/>
      <c r="D88" s="178"/>
      <c r="E88" s="178"/>
      <c r="F88" s="178"/>
      <c r="G88" s="178"/>
      <c r="H88" s="178"/>
      <c r="I88" s="178"/>
      <c r="J88" s="178"/>
      <c r="K88" s="178"/>
      <c r="L88" s="178"/>
    </row>
    <row r="89" spans="3:12" x14ac:dyDescent="0.2">
      <c r="C89" s="178" t="s">
        <v>273</v>
      </c>
      <c r="D89" s="178"/>
      <c r="E89" s="178"/>
      <c r="F89" s="178"/>
      <c r="G89" s="178"/>
      <c r="H89" s="178" t="s">
        <v>274</v>
      </c>
      <c r="I89" s="178"/>
      <c r="J89" s="178"/>
      <c r="K89" s="178"/>
      <c r="L89" s="178"/>
    </row>
    <row r="90" spans="3:12" x14ac:dyDescent="0.2">
      <c r="C90" s="418">
        <f>IF(I20="no",I18,I18/I11)</f>
        <v>0.01</v>
      </c>
      <c r="D90" s="178"/>
      <c r="E90" s="178"/>
      <c r="F90" s="178"/>
      <c r="G90" s="178"/>
      <c r="H90" s="200">
        <f>IF(I37="no",I35,I35/I25)</f>
        <v>0.01</v>
      </c>
      <c r="I90" s="178"/>
      <c r="J90" s="178"/>
      <c r="K90" s="178"/>
      <c r="L90" s="178"/>
    </row>
    <row r="91" spans="3:12" x14ac:dyDescent="0.2">
      <c r="C91" s="178"/>
      <c r="D91" s="178"/>
      <c r="E91" s="178"/>
      <c r="F91" s="178"/>
      <c r="G91" s="178"/>
      <c r="H91" s="178"/>
      <c r="I91" s="178"/>
      <c r="J91" s="178"/>
      <c r="K91" s="178"/>
      <c r="L91" s="178"/>
    </row>
    <row r="92" spans="3:12" x14ac:dyDescent="0.2">
      <c r="C92" s="178" t="s">
        <v>249</v>
      </c>
      <c r="D92" s="178"/>
      <c r="E92" s="178"/>
      <c r="F92" s="178"/>
      <c r="G92" s="178"/>
      <c r="H92" s="178" t="s">
        <v>250</v>
      </c>
      <c r="I92" s="178"/>
      <c r="J92" s="178"/>
      <c r="K92" s="178"/>
      <c r="L92" s="178"/>
    </row>
    <row r="93" spans="3:12" x14ac:dyDescent="0.2">
      <c r="C93" s="418">
        <f>AVERAGE(C62:C66)</f>
        <v>1</v>
      </c>
      <c r="D93" s="178"/>
      <c r="E93" s="178"/>
      <c r="F93" s="178"/>
      <c r="G93" s="178"/>
      <c r="H93" s="200">
        <f>AVERAGE(I62:I66)</f>
        <v>1</v>
      </c>
      <c r="I93" s="178"/>
      <c r="J93" s="178"/>
      <c r="K93" s="178"/>
      <c r="L93" s="178"/>
    </row>
    <row r="94" spans="3:12" x14ac:dyDescent="0.2">
      <c r="C94" s="178"/>
      <c r="D94" s="178"/>
      <c r="E94" s="178"/>
      <c r="F94" s="178"/>
      <c r="G94" s="178"/>
      <c r="H94" s="178"/>
      <c r="I94" s="178"/>
      <c r="J94" s="178"/>
      <c r="K94" s="178"/>
      <c r="L94" s="178"/>
    </row>
    <row r="95" spans="3:12" x14ac:dyDescent="0.2">
      <c r="C95" s="178" t="s">
        <v>276</v>
      </c>
      <c r="D95" s="178"/>
      <c r="E95" s="178"/>
      <c r="F95" s="178"/>
      <c r="G95" s="178"/>
      <c r="H95" s="178" t="s">
        <v>277</v>
      </c>
      <c r="I95" s="178"/>
      <c r="J95" s="178"/>
      <c r="K95" s="178"/>
      <c r="L95" s="178"/>
    </row>
    <row r="96" spans="3:12" x14ac:dyDescent="0.2">
      <c r="C96" s="418">
        <f>STDEV(C62:C66)</f>
        <v>4.9999999999999489E-3</v>
      </c>
      <c r="D96" s="178"/>
      <c r="E96" s="178"/>
      <c r="F96" s="178"/>
      <c r="G96" s="178"/>
      <c r="H96" s="200">
        <f>STDEV(I62:I66)</f>
        <v>4.9999999999999489E-3</v>
      </c>
      <c r="I96" s="178"/>
      <c r="J96" s="178"/>
      <c r="K96" s="178"/>
      <c r="L96" s="178"/>
    </row>
    <row r="97" spans="3:12" x14ac:dyDescent="0.2">
      <c r="C97" s="418"/>
      <c r="D97" s="178"/>
      <c r="E97" s="178"/>
      <c r="F97" s="178"/>
      <c r="G97" s="178"/>
      <c r="H97" s="200"/>
      <c r="I97" s="178"/>
      <c r="J97" s="178"/>
      <c r="K97" s="178"/>
      <c r="L97" s="178"/>
    </row>
    <row r="98" spans="3:12" x14ac:dyDescent="0.2">
      <c r="C98" s="178" t="s">
        <v>275</v>
      </c>
      <c r="D98" s="178"/>
      <c r="E98" s="178"/>
      <c r="F98" s="178"/>
      <c r="G98" s="178"/>
      <c r="H98" s="200"/>
      <c r="I98" s="178"/>
      <c r="J98" s="178"/>
      <c r="K98" s="178"/>
      <c r="L98" s="178"/>
    </row>
    <row r="99" spans="3:12" x14ac:dyDescent="0.2">
      <c r="C99" s="418">
        <f>SQRT(C90^2+H90^2+C81^2+H81^2+(C96/C93)^2+(H96/H93)^2)</f>
        <v>1.6162906173335451E-2</v>
      </c>
      <c r="D99" s="178"/>
      <c r="E99" s="178"/>
      <c r="F99" s="178"/>
      <c r="G99" s="178"/>
      <c r="H99" s="200"/>
      <c r="I99" s="178"/>
      <c r="J99" s="178"/>
      <c r="K99" s="178"/>
      <c r="L99" s="178"/>
    </row>
    <row r="100" spans="3:12" x14ac:dyDescent="0.2"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</row>
    <row r="101" spans="3:12" x14ac:dyDescent="0.2">
      <c r="C101" s="178" t="s">
        <v>220</v>
      </c>
      <c r="D101" s="178"/>
      <c r="E101" s="178"/>
      <c r="F101" s="178"/>
      <c r="G101" s="178"/>
      <c r="H101" s="178"/>
      <c r="I101" s="178"/>
      <c r="J101" s="178"/>
      <c r="K101" s="178"/>
      <c r="L101" s="178"/>
    </row>
    <row r="102" spans="3:12" x14ac:dyDescent="0.2">
      <c r="C102" s="421">
        <f>(ABS(H87)+2*C99)*C93</f>
        <v>3.39548216946726E-2</v>
      </c>
      <c r="D102" s="178"/>
      <c r="E102" s="178"/>
      <c r="F102" s="178"/>
      <c r="G102" s="178"/>
      <c r="H102" s="178"/>
      <c r="I102" s="178"/>
      <c r="J102" s="178"/>
      <c r="K102" s="178"/>
      <c r="L102" s="178"/>
    </row>
    <row r="103" spans="3:12" x14ac:dyDescent="0.2"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</row>
    <row r="104" spans="3:12" x14ac:dyDescent="0.2">
      <c r="C104" s="178"/>
      <c r="D104" s="178"/>
      <c r="E104" s="422" t="s">
        <v>256</v>
      </c>
      <c r="F104" s="178"/>
      <c r="G104" s="252" t="s">
        <v>257</v>
      </c>
      <c r="H104" s="178"/>
      <c r="I104" s="178"/>
      <c r="J104" s="178"/>
      <c r="K104" s="178"/>
      <c r="L104" s="178"/>
    </row>
    <row r="105" spans="3:12" x14ac:dyDescent="0.2">
      <c r="C105" s="418"/>
      <c r="D105" s="178"/>
      <c r="E105" s="423">
        <f>C93-C102</f>
        <v>0.96604517830532743</v>
      </c>
      <c r="F105" s="178"/>
      <c r="G105" s="424">
        <f>C93+C102</f>
        <v>1.0339548216946726</v>
      </c>
      <c r="H105" s="178"/>
      <c r="I105" s="178"/>
      <c r="J105" s="178"/>
      <c r="K105" s="178"/>
      <c r="L105" s="178"/>
    </row>
    <row r="106" spans="3:12" x14ac:dyDescent="0.2">
      <c r="C106" s="418"/>
      <c r="D106" s="178"/>
      <c r="E106" s="200"/>
      <c r="F106" s="178"/>
      <c r="G106" s="200"/>
      <c r="H106" s="178"/>
      <c r="I106" s="178"/>
      <c r="J106" s="178"/>
      <c r="K106" s="178"/>
      <c r="L106" s="178"/>
    </row>
    <row r="107" spans="3:12" x14ac:dyDescent="0.2">
      <c r="C107" s="418"/>
      <c r="D107" s="178"/>
      <c r="E107" s="178"/>
      <c r="F107" s="425">
        <f>IF(AND(C62&lt;=G105,C62&gt;=E105),1,0)</f>
        <v>1</v>
      </c>
      <c r="G107" s="178" t="s">
        <v>258</v>
      </c>
      <c r="H107" s="178"/>
      <c r="I107" s="178"/>
      <c r="J107" s="178"/>
      <c r="K107" s="178"/>
      <c r="L107" s="178"/>
    </row>
    <row r="108" spans="3:12" x14ac:dyDescent="0.2">
      <c r="C108" s="418"/>
      <c r="D108" s="178"/>
      <c r="E108" s="178"/>
      <c r="F108" s="178"/>
      <c r="G108" s="178"/>
      <c r="H108" s="425"/>
      <c r="I108" s="178"/>
      <c r="J108" s="178"/>
      <c r="K108" s="178"/>
      <c r="L108" s="178"/>
    </row>
  </sheetData>
  <sheetProtection sheet="1" objects="1" scenarios="1"/>
  <phoneticPr fontId="35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172"/>
  <sheetViews>
    <sheetView showGridLines="0" zoomScale="80" workbookViewId="0"/>
  </sheetViews>
  <sheetFormatPr defaultColWidth="10.125" defaultRowHeight="18" customHeight="1" x14ac:dyDescent="0.2"/>
  <cols>
    <col min="1" max="1" width="4.375" style="176" customWidth="1"/>
    <col min="2" max="2" width="13.125" style="176" customWidth="1"/>
    <col min="3" max="3" width="14.625" style="176" customWidth="1"/>
    <col min="4" max="4" width="10.125" style="176"/>
    <col min="5" max="5" width="12" style="176" customWidth="1"/>
    <col min="6" max="6" width="10.125" style="176"/>
    <col min="7" max="7" width="12" style="176" customWidth="1"/>
    <col min="8" max="11" width="10.125" style="176"/>
    <col min="12" max="12" width="12.625" style="176" customWidth="1"/>
    <col min="13" max="14" width="12" style="176" customWidth="1"/>
    <col min="15" max="15" width="10.125" style="176"/>
    <col min="16" max="16" width="15.375" style="176" customWidth="1"/>
    <col min="17" max="18" width="10.125" style="176"/>
    <col min="19" max="23" width="10.125" style="177"/>
    <col min="24" max="24" width="12.5" style="177" customWidth="1"/>
    <col min="25" max="25" width="14.875" style="177" customWidth="1"/>
    <col min="26" max="27" width="10.125" style="177"/>
    <col min="28" max="28" width="14.625" style="177" customWidth="1"/>
    <col min="29" max="29" width="13.125" style="177" customWidth="1"/>
    <col min="30" max="31" width="14.875" style="177" customWidth="1"/>
    <col min="32" max="32" width="14.625" style="177" customWidth="1"/>
    <col min="33" max="33" width="14.375" style="177" customWidth="1"/>
    <col min="34" max="34" width="14.5" style="177" customWidth="1"/>
    <col min="35" max="35" width="14.625" style="177" customWidth="1"/>
    <col min="36" max="37" width="10.125" style="177"/>
    <col min="38" max="46" width="10.5" style="177" customWidth="1"/>
    <col min="47" max="47" width="15.125" style="177" customWidth="1"/>
    <col min="48" max="51" width="10.5" style="177" customWidth="1"/>
    <col min="52" max="52" width="15.375" style="177" customWidth="1"/>
    <col min="53" max="55" width="10.5" style="177" customWidth="1"/>
    <col min="56" max="56" width="13" style="177" customWidth="1"/>
    <col min="57" max="57" width="14.625" style="177" customWidth="1"/>
    <col min="58" max="58" width="15.375" style="177" customWidth="1"/>
    <col min="59" max="61" width="14.625" style="177" customWidth="1"/>
    <col min="62" max="64" width="18.875" style="177" customWidth="1"/>
    <col min="65" max="65" width="14.625" style="177" customWidth="1"/>
    <col min="66" max="66" width="18.875" style="177" customWidth="1"/>
    <col min="67" max="67" width="14.625" style="177" customWidth="1"/>
    <col min="68" max="68" width="11.5" style="177" customWidth="1"/>
    <col min="69" max="69" width="14.625" style="177" customWidth="1"/>
    <col min="70" max="70" width="15.375" style="177" customWidth="1"/>
    <col min="71" max="71" width="14.625" style="177" customWidth="1"/>
    <col min="72" max="72" width="15.375" style="177" customWidth="1"/>
    <col min="73" max="73" width="14.625" style="177" customWidth="1"/>
    <col min="74" max="79" width="10.125" style="177"/>
    <col min="80" max="81" width="10.5" style="177" customWidth="1"/>
    <col min="82" max="82" width="10.875" style="177" customWidth="1"/>
    <col min="83" max="83" width="10.125" style="177"/>
    <col min="84" max="84" width="10.875" style="177" customWidth="1"/>
    <col min="85" max="85" width="10.125" style="177"/>
    <col min="86" max="86" width="10.875" style="177" customWidth="1"/>
    <col min="87" max="87" width="10.125" style="177"/>
    <col min="88" max="88" width="10.875" style="177" customWidth="1"/>
    <col min="89" max="89" width="11.5" style="177" customWidth="1"/>
    <col min="90" max="16384" width="10.125" style="177"/>
  </cols>
  <sheetData>
    <row r="1" spans="1:101" ht="18" customHeight="1" x14ac:dyDescent="0.25">
      <c r="A1" s="175" t="s">
        <v>175</v>
      </c>
    </row>
    <row r="2" spans="1:101" ht="18" customHeight="1" thickBot="1" x14ac:dyDescent="0.25"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78"/>
      <c r="M2" s="178"/>
      <c r="N2" s="178"/>
      <c r="O2" s="178"/>
      <c r="P2" s="178"/>
      <c r="Q2" s="178"/>
      <c r="R2" s="178"/>
      <c r="S2" s="179"/>
      <c r="T2" s="179"/>
      <c r="U2" s="179"/>
      <c r="V2" s="179"/>
      <c r="W2" s="179"/>
      <c r="X2" s="179"/>
      <c r="Y2" s="179"/>
      <c r="Z2" s="179"/>
      <c r="AA2" s="179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2"/>
    </row>
    <row r="3" spans="1:101" s="176" customFormat="1" ht="18" customHeight="1" thickTop="1" thickBot="1" x14ac:dyDescent="0.3">
      <c r="B3" s="310" t="s">
        <v>22</v>
      </c>
      <c r="C3" s="177"/>
      <c r="D3" s="311" t="s">
        <v>23</v>
      </c>
      <c r="E3" s="177"/>
      <c r="F3" s="177"/>
      <c r="G3" s="177"/>
      <c r="H3" s="177"/>
      <c r="I3" s="177"/>
      <c r="J3" s="177"/>
      <c r="K3" s="186" t="s">
        <v>29</v>
      </c>
      <c r="L3" s="178"/>
      <c r="M3" s="178"/>
      <c r="N3" s="187"/>
      <c r="O3" s="187"/>
      <c r="P3" s="187"/>
      <c r="Q3" s="187"/>
      <c r="R3" s="187"/>
      <c r="S3" s="188" t="s">
        <v>30</v>
      </c>
      <c r="T3" s="179"/>
      <c r="U3" s="179"/>
      <c r="V3" s="179"/>
      <c r="W3" s="179"/>
      <c r="X3" s="179"/>
      <c r="Y3" s="179"/>
      <c r="Z3" s="179"/>
      <c r="AA3" s="179"/>
      <c r="AB3" s="189" t="s">
        <v>31</v>
      </c>
      <c r="AC3" s="180"/>
      <c r="AD3" s="180"/>
      <c r="AE3" s="180"/>
      <c r="AF3" s="180"/>
      <c r="AG3" s="180"/>
      <c r="AH3" s="180"/>
      <c r="AI3" s="189" t="s">
        <v>31</v>
      </c>
      <c r="AJ3" s="180"/>
      <c r="AK3" s="180"/>
      <c r="AL3" s="180"/>
      <c r="AM3" s="180"/>
      <c r="AN3" s="180"/>
      <c r="AO3" s="180"/>
      <c r="AP3" s="189" t="s">
        <v>31</v>
      </c>
      <c r="AQ3" s="180"/>
      <c r="AR3" s="180"/>
      <c r="AS3" s="180"/>
      <c r="AT3" s="180"/>
      <c r="AU3" s="180"/>
      <c r="AV3" s="180"/>
      <c r="AW3" s="189" t="s">
        <v>31</v>
      </c>
      <c r="AX3" s="180"/>
      <c r="AY3" s="180"/>
      <c r="AZ3" s="180"/>
      <c r="BA3" s="180"/>
      <c r="BB3" s="180"/>
      <c r="BC3" s="180"/>
      <c r="BD3" s="180"/>
      <c r="BE3" s="190" t="s">
        <v>32</v>
      </c>
      <c r="BF3" s="191"/>
      <c r="BG3" s="191"/>
      <c r="BH3" s="191"/>
      <c r="BI3" s="191"/>
      <c r="BJ3" s="191"/>
      <c r="BK3" s="191"/>
      <c r="BL3" s="190" t="s">
        <v>32</v>
      </c>
      <c r="BM3" s="191"/>
      <c r="BN3" s="191"/>
      <c r="BO3" s="191"/>
      <c r="BP3" s="191"/>
      <c r="BQ3" s="191"/>
      <c r="BR3" s="191"/>
      <c r="BS3" s="190" t="s">
        <v>32</v>
      </c>
      <c r="BT3" s="191"/>
      <c r="BU3" s="191"/>
      <c r="BV3" s="191"/>
      <c r="BW3" s="191"/>
      <c r="BX3" s="191"/>
      <c r="BY3" s="191"/>
      <c r="BZ3" s="190" t="s">
        <v>32</v>
      </c>
      <c r="CA3" s="191"/>
      <c r="CB3" s="191"/>
      <c r="CC3" s="191"/>
      <c r="CD3" s="191"/>
      <c r="CE3" s="191"/>
      <c r="CF3" s="191"/>
      <c r="CG3" s="190" t="s">
        <v>32</v>
      </c>
      <c r="CH3" s="191"/>
      <c r="CI3" s="191"/>
      <c r="CJ3" s="191"/>
      <c r="CK3" s="191"/>
      <c r="CL3" s="191"/>
      <c r="CM3" s="191"/>
      <c r="CN3" s="190" t="s">
        <v>32</v>
      </c>
      <c r="CO3" s="191"/>
      <c r="CP3" s="191"/>
      <c r="CQ3" s="191"/>
      <c r="CR3" s="191"/>
      <c r="CS3" s="191"/>
      <c r="CT3" s="191"/>
      <c r="CU3" s="191"/>
      <c r="CV3" s="191"/>
      <c r="CW3" s="192"/>
    </row>
    <row r="4" spans="1:101" s="176" customFormat="1" ht="18" customHeight="1" thickTop="1" x14ac:dyDescent="0.2">
      <c r="K4" s="178"/>
      <c r="L4" s="178"/>
      <c r="M4" s="178"/>
      <c r="N4" s="178"/>
      <c r="O4" s="178"/>
      <c r="P4" s="178"/>
      <c r="Q4" s="178"/>
      <c r="R4" s="178"/>
      <c r="S4" s="193"/>
      <c r="T4" s="193"/>
      <c r="U4" s="193"/>
      <c r="V4" s="193"/>
      <c r="W4" s="193"/>
      <c r="X4" s="193"/>
      <c r="Y4" s="193"/>
      <c r="Z4" s="193"/>
      <c r="AA4" s="193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2"/>
    </row>
    <row r="5" spans="1:101" s="176" customFormat="1" ht="18" customHeight="1" x14ac:dyDescent="0.2">
      <c r="B5" s="195" t="s">
        <v>176</v>
      </c>
      <c r="K5" s="178"/>
      <c r="L5" s="178"/>
      <c r="M5" s="178"/>
      <c r="N5" s="178"/>
      <c r="O5" s="178"/>
      <c r="P5" s="178"/>
      <c r="Q5" s="178"/>
      <c r="R5" s="178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2"/>
    </row>
    <row r="6" spans="1:101" s="176" customFormat="1" ht="18" customHeight="1" x14ac:dyDescent="0.2">
      <c r="B6" s="176" t="s">
        <v>177</v>
      </c>
      <c r="K6" s="178"/>
      <c r="L6" s="178"/>
      <c r="M6" s="178"/>
      <c r="N6" s="178"/>
      <c r="O6" s="178"/>
      <c r="P6" s="178"/>
      <c r="Q6" s="178"/>
      <c r="R6" s="178"/>
      <c r="S6" s="193"/>
      <c r="T6" s="193"/>
      <c r="U6" s="193"/>
      <c r="V6" s="193"/>
      <c r="W6" s="193"/>
      <c r="X6" s="193"/>
      <c r="Y6" s="193"/>
      <c r="Z6" s="193"/>
      <c r="AA6" s="193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2"/>
    </row>
    <row r="7" spans="1:101" s="176" customFormat="1" ht="18" customHeight="1" x14ac:dyDescent="0.2">
      <c r="B7" s="176" t="s">
        <v>178</v>
      </c>
      <c r="K7" s="178"/>
      <c r="L7" s="178"/>
      <c r="M7" s="178"/>
      <c r="N7" s="178"/>
      <c r="O7" s="178"/>
      <c r="P7" s="178"/>
      <c r="Q7" s="178"/>
      <c r="R7" s="178"/>
      <c r="S7" s="193"/>
      <c r="T7" s="193"/>
      <c r="U7" s="193"/>
      <c r="V7" s="193"/>
      <c r="W7" s="193"/>
      <c r="X7" s="193"/>
      <c r="Y7" s="193"/>
      <c r="Z7" s="193"/>
      <c r="AA7" s="193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2"/>
    </row>
    <row r="8" spans="1:101" s="176" customFormat="1" ht="18" customHeight="1" x14ac:dyDescent="0.2">
      <c r="B8" s="176" t="s">
        <v>179</v>
      </c>
      <c r="K8" s="178"/>
      <c r="L8" s="178"/>
      <c r="M8" s="178"/>
      <c r="N8" s="178"/>
      <c r="O8" s="178"/>
      <c r="P8" s="178"/>
      <c r="Q8" s="178"/>
      <c r="R8" s="178"/>
      <c r="S8" s="193"/>
      <c r="T8" s="193"/>
      <c r="U8" s="193"/>
      <c r="V8" s="193"/>
      <c r="W8" s="193"/>
      <c r="X8" s="193"/>
      <c r="Y8" s="193"/>
      <c r="Z8" s="193"/>
      <c r="AA8" s="193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2"/>
    </row>
    <row r="9" spans="1:101" ht="18" customHeight="1" x14ac:dyDescent="0.2">
      <c r="B9" s="176" t="s">
        <v>180</v>
      </c>
      <c r="K9" s="187"/>
      <c r="L9" s="187"/>
      <c r="M9" s="187"/>
      <c r="N9" s="187"/>
      <c r="O9" s="187"/>
      <c r="P9" s="187"/>
      <c r="Q9" s="187"/>
      <c r="R9" s="187"/>
      <c r="S9" s="179"/>
      <c r="T9" s="179"/>
      <c r="U9" s="179"/>
      <c r="V9" s="179"/>
      <c r="W9" s="179"/>
      <c r="X9" s="179"/>
      <c r="Y9" s="179"/>
      <c r="Z9" s="179"/>
      <c r="AA9" s="179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2"/>
    </row>
    <row r="10" spans="1:101" ht="18" customHeight="1" thickBot="1" x14ac:dyDescent="0.25">
      <c r="K10" s="187"/>
      <c r="L10" s="187"/>
      <c r="M10" s="187"/>
      <c r="N10" s="187"/>
      <c r="O10" s="187"/>
      <c r="P10" s="187"/>
      <c r="Q10" s="187"/>
      <c r="R10" s="187"/>
      <c r="S10" s="179"/>
      <c r="T10" s="179"/>
      <c r="U10" s="179"/>
      <c r="V10" s="179"/>
      <c r="W10" s="179"/>
      <c r="X10" s="179"/>
      <c r="Y10" s="179"/>
      <c r="Z10" s="179"/>
      <c r="AA10" s="179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2"/>
    </row>
    <row r="11" spans="1:101" ht="18" customHeight="1" thickTop="1" thickBot="1" x14ac:dyDescent="0.4">
      <c r="B11" s="197" t="s">
        <v>33</v>
      </c>
      <c r="C11" s="198" t="s">
        <v>34</v>
      </c>
      <c r="D11" s="198" t="s">
        <v>35</v>
      </c>
      <c r="F11" s="199" t="s">
        <v>36</v>
      </c>
      <c r="G11" s="177"/>
      <c r="H11" s="177"/>
      <c r="I11" s="177"/>
      <c r="J11" s="177"/>
      <c r="K11" s="178" t="s">
        <v>37</v>
      </c>
      <c r="L11" s="200"/>
      <c r="M11" s="200"/>
      <c r="N11" s="187"/>
      <c r="O11" s="187"/>
      <c r="P11" s="187"/>
      <c r="Q11" s="187"/>
      <c r="R11" s="187"/>
      <c r="S11" s="201" t="s">
        <v>38</v>
      </c>
      <c r="T11" s="193"/>
      <c r="U11" s="193" t="s">
        <v>37</v>
      </c>
      <c r="V11" s="202"/>
      <c r="W11" s="202"/>
      <c r="X11" s="179"/>
      <c r="Y11" s="179"/>
      <c r="Z11" s="179"/>
      <c r="AA11" s="179"/>
      <c r="AB11" s="203" t="s">
        <v>39</v>
      </c>
      <c r="AC11" s="180"/>
      <c r="AD11" s="194" t="s">
        <v>37</v>
      </c>
      <c r="AE11" s="204"/>
      <c r="AF11" s="204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205" t="s">
        <v>40</v>
      </c>
      <c r="BF11" s="181"/>
      <c r="BG11" s="191" t="s">
        <v>37</v>
      </c>
      <c r="BH11" s="206"/>
      <c r="BI11" s="206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2"/>
    </row>
    <row r="12" spans="1:101" ht="18" customHeight="1" thickTop="1" x14ac:dyDescent="0.2">
      <c r="B12" s="207">
        <v>1</v>
      </c>
      <c r="C12" s="208">
        <v>78</v>
      </c>
      <c r="D12" s="395">
        <v>78.452904109589028</v>
      </c>
      <c r="E12" s="210"/>
      <c r="F12" s="177"/>
      <c r="G12" s="177"/>
      <c r="H12" s="177"/>
      <c r="I12" s="177"/>
      <c r="J12" s="177"/>
      <c r="K12" s="211">
        <f>n</f>
        <v>5</v>
      </c>
      <c r="L12" s="212">
        <f>K13</f>
        <v>298</v>
      </c>
      <c r="M12" s="200"/>
      <c r="N12" s="187"/>
      <c r="O12" s="187"/>
      <c r="P12" s="187"/>
      <c r="Q12" s="187"/>
      <c r="R12" s="187"/>
      <c r="S12" s="213">
        <f>C12^2</f>
        <v>6084</v>
      </c>
      <c r="T12" s="202"/>
      <c r="U12" s="214">
        <f>n</f>
        <v>5</v>
      </c>
      <c r="V12" s="215">
        <f>L12</f>
        <v>298</v>
      </c>
      <c r="W12" s="216">
        <f>U14</f>
        <v>18684</v>
      </c>
      <c r="X12" s="179"/>
      <c r="Y12" s="179"/>
      <c r="Z12" s="179"/>
      <c r="AA12" s="179"/>
      <c r="AB12" s="217">
        <f>C12^3</f>
        <v>474552</v>
      </c>
      <c r="AC12" s="180"/>
      <c r="AD12" s="218">
        <f t="shared" ref="AD12:AF14" si="0">U12</f>
        <v>5</v>
      </c>
      <c r="AE12" s="219">
        <f t="shared" si="0"/>
        <v>298</v>
      </c>
      <c r="AF12" s="219">
        <f t="shared" si="0"/>
        <v>18684</v>
      </c>
      <c r="AG12" s="220">
        <f>AD15</f>
        <v>1222552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221">
        <f>C12^4</f>
        <v>37015056</v>
      </c>
      <c r="BF12" s="181"/>
      <c r="BG12" s="222">
        <f t="shared" ref="BG12:BJ15" si="1">AD12</f>
        <v>5</v>
      </c>
      <c r="BH12" s="223">
        <f t="shared" si="1"/>
        <v>298</v>
      </c>
      <c r="BI12" s="223">
        <f t="shared" si="1"/>
        <v>18684</v>
      </c>
      <c r="BJ12" s="223">
        <f t="shared" si="1"/>
        <v>1222552</v>
      </c>
      <c r="BK12" s="224">
        <f>BH15</f>
        <v>82795056</v>
      </c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2"/>
    </row>
    <row r="13" spans="1:101" ht="18" customHeight="1" x14ac:dyDescent="0.3">
      <c r="B13" s="225">
        <v>2</v>
      </c>
      <c r="C13" s="226">
        <v>70</v>
      </c>
      <c r="D13" s="263">
        <v>70.198350364963531</v>
      </c>
      <c r="E13" s="210"/>
      <c r="F13" s="228" t="s">
        <v>41</v>
      </c>
      <c r="G13" s="229"/>
      <c r="H13" s="230"/>
      <c r="I13" s="177"/>
      <c r="J13" s="177"/>
      <c r="K13" s="231">
        <f>SUM(X)</f>
        <v>298</v>
      </c>
      <c r="L13" s="232">
        <f>SUMPRODUCT(X,X)</f>
        <v>18684</v>
      </c>
      <c r="M13" s="200"/>
      <c r="N13" s="187"/>
      <c r="O13" s="187"/>
      <c r="P13" s="187"/>
      <c r="Q13" s="187"/>
      <c r="R13" s="187"/>
      <c r="S13" s="233">
        <f>C13^2</f>
        <v>4900</v>
      </c>
      <c r="T13" s="234"/>
      <c r="U13" s="235">
        <f>K13</f>
        <v>298</v>
      </c>
      <c r="V13" s="236">
        <f>L13</f>
        <v>18684</v>
      </c>
      <c r="W13" s="237">
        <f>V14</f>
        <v>1222552</v>
      </c>
      <c r="X13" s="179"/>
      <c r="Y13" s="179"/>
      <c r="Z13" s="179"/>
      <c r="AA13" s="179"/>
      <c r="AB13" s="238">
        <f>C13^3</f>
        <v>343000</v>
      </c>
      <c r="AC13" s="180"/>
      <c r="AD13" s="239">
        <f t="shared" si="0"/>
        <v>298</v>
      </c>
      <c r="AE13" s="240">
        <f t="shared" si="0"/>
        <v>18684</v>
      </c>
      <c r="AF13" s="240">
        <f t="shared" si="0"/>
        <v>1222552</v>
      </c>
      <c r="AG13" s="241">
        <f>AE15</f>
        <v>82795056</v>
      </c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242">
        <f>C13^4</f>
        <v>24010000</v>
      </c>
      <c r="BF13" s="181"/>
      <c r="BG13" s="243">
        <f t="shared" si="1"/>
        <v>298</v>
      </c>
      <c r="BH13" s="244">
        <f t="shared" si="1"/>
        <v>18684</v>
      </c>
      <c r="BI13" s="244">
        <f t="shared" si="1"/>
        <v>1222552</v>
      </c>
      <c r="BJ13" s="244">
        <f t="shared" si="1"/>
        <v>82795056</v>
      </c>
      <c r="BK13" s="245">
        <f>BI15</f>
        <v>5760374368</v>
      </c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2"/>
    </row>
    <row r="14" spans="1:101" ht="18" customHeight="1" thickBot="1" x14ac:dyDescent="0.25">
      <c r="B14" s="225">
        <v>3</v>
      </c>
      <c r="C14" s="226">
        <v>60</v>
      </c>
      <c r="D14" s="263">
        <v>60.277616000000002</v>
      </c>
      <c r="E14" s="210"/>
      <c r="F14" s="177"/>
      <c r="G14" s="177"/>
      <c r="H14" s="177"/>
      <c r="I14" s="177"/>
      <c r="J14" s="177"/>
      <c r="K14" s="200"/>
      <c r="L14" s="200"/>
      <c r="M14" s="200"/>
      <c r="N14" s="187"/>
      <c r="O14" s="187"/>
      <c r="P14" s="187"/>
      <c r="Q14" s="187"/>
      <c r="R14" s="187"/>
      <c r="S14" s="233">
        <f>C14^2</f>
        <v>3600</v>
      </c>
      <c r="T14" s="202"/>
      <c r="U14" s="246">
        <f>SUM(S12:S61)</f>
        <v>18684</v>
      </c>
      <c r="V14" s="247">
        <f>SUMPRODUCT(X,S12:S61)</f>
        <v>1222552</v>
      </c>
      <c r="W14" s="248">
        <f>SUMPRODUCT(S12:S61,S12:S61)</f>
        <v>82795056</v>
      </c>
      <c r="X14" s="179"/>
      <c r="Y14" s="179"/>
      <c r="Z14" s="179"/>
      <c r="AA14" s="179"/>
      <c r="AB14" s="238">
        <f>C14^3</f>
        <v>216000</v>
      </c>
      <c r="AC14" s="180"/>
      <c r="AD14" s="239">
        <f t="shared" si="0"/>
        <v>18684</v>
      </c>
      <c r="AE14" s="240">
        <f t="shared" si="0"/>
        <v>1222552</v>
      </c>
      <c r="AF14" s="240">
        <f t="shared" si="0"/>
        <v>82795056</v>
      </c>
      <c r="AG14" s="241">
        <f>AF15</f>
        <v>5760374368</v>
      </c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242">
        <f>C14^4</f>
        <v>12960000</v>
      </c>
      <c r="BF14" s="181"/>
      <c r="BG14" s="243">
        <f t="shared" si="1"/>
        <v>18684</v>
      </c>
      <c r="BH14" s="244">
        <f t="shared" si="1"/>
        <v>1222552</v>
      </c>
      <c r="BI14" s="244">
        <f t="shared" si="1"/>
        <v>82795056</v>
      </c>
      <c r="BJ14" s="244">
        <f t="shared" si="1"/>
        <v>5760374368</v>
      </c>
      <c r="BK14" s="245">
        <f>BJ15</f>
        <v>409225600704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2"/>
    </row>
    <row r="15" spans="1:101" ht="18" customHeight="1" thickTop="1" thickBot="1" x14ac:dyDescent="0.35">
      <c r="B15" s="225">
        <f>IF(C15="","",+B14+1)</f>
        <v>4</v>
      </c>
      <c r="C15" s="226">
        <v>50</v>
      </c>
      <c r="D15" s="263">
        <v>50.198524271844661</v>
      </c>
      <c r="E15" s="210"/>
      <c r="F15" s="249" t="s">
        <v>42</v>
      </c>
      <c r="G15" s="250"/>
      <c r="H15" s="251"/>
      <c r="I15" s="177"/>
      <c r="J15" s="177"/>
      <c r="K15" s="252" t="s">
        <v>43</v>
      </c>
      <c r="L15" s="200"/>
      <c r="M15" s="200"/>
      <c r="N15" s="187"/>
      <c r="O15" s="187"/>
      <c r="P15" s="187"/>
      <c r="Q15" s="187"/>
      <c r="R15" s="187"/>
      <c r="S15" s="253">
        <f t="shared" ref="S15:S61" si="2">IF(C15="","",+C15^2)</f>
        <v>2500</v>
      </c>
      <c r="T15" s="234"/>
      <c r="U15" s="202"/>
      <c r="V15" s="202"/>
      <c r="W15" s="202"/>
      <c r="X15" s="179"/>
      <c r="Y15" s="179"/>
      <c r="Z15" s="179"/>
      <c r="AA15" s="179"/>
      <c r="AB15" s="254">
        <f t="shared" ref="AB15:AB61" si="3">IF(C15="","",+C15^3)</f>
        <v>125000</v>
      </c>
      <c r="AC15" s="180"/>
      <c r="AD15" s="255">
        <f>SUM(xcubed)</f>
        <v>1222552</v>
      </c>
      <c r="AE15" s="256">
        <f>SUMPRODUCT(X,xcubed)</f>
        <v>82795056</v>
      </c>
      <c r="AF15" s="256">
        <f>SUMPRODUCT(xsquared,xcubed)</f>
        <v>5760374368</v>
      </c>
      <c r="AG15" s="257">
        <f>SUMPRODUCT(xcubed,xcubed)</f>
        <v>409225600704</v>
      </c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258">
        <f t="shared" ref="BE15:BE61" si="4">IF(C15="","",C15^4)</f>
        <v>6250000</v>
      </c>
      <c r="BF15" s="181"/>
      <c r="BG15" s="243">
        <f t="shared" si="1"/>
        <v>1222552</v>
      </c>
      <c r="BH15" s="244">
        <f t="shared" si="1"/>
        <v>82795056</v>
      </c>
      <c r="BI15" s="244">
        <f t="shared" si="1"/>
        <v>5760374368</v>
      </c>
      <c r="BJ15" s="244">
        <f t="shared" si="1"/>
        <v>409225600704</v>
      </c>
      <c r="BK15" s="245">
        <f>BJ16</f>
        <v>29545448854912</v>
      </c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2"/>
    </row>
    <row r="16" spans="1:101" ht="18" customHeight="1" thickTop="1" x14ac:dyDescent="0.2">
      <c r="B16" s="225">
        <f t="shared" ref="B16:B61" si="5">IF(C16="","",+B15+1)</f>
        <v>5</v>
      </c>
      <c r="C16" s="226">
        <v>40</v>
      </c>
      <c r="D16" s="263">
        <v>40.026208333333329</v>
      </c>
      <c r="E16" s="210"/>
      <c r="F16" s="177"/>
      <c r="G16" s="177"/>
      <c r="H16" s="177"/>
      <c r="I16" s="177"/>
      <c r="J16" s="177"/>
      <c r="K16" s="259">
        <f>MDETERM(K12:L13)</f>
        <v>4616.0000000000055</v>
      </c>
      <c r="L16" s="200"/>
      <c r="M16" s="200"/>
      <c r="N16" s="187"/>
      <c r="O16" s="187"/>
      <c r="P16" s="187"/>
      <c r="Q16" s="187"/>
      <c r="R16" s="187"/>
      <c r="S16" s="233">
        <f t="shared" si="2"/>
        <v>1600</v>
      </c>
      <c r="T16" s="202"/>
      <c r="U16" s="193" t="s">
        <v>43</v>
      </c>
      <c r="V16" s="202"/>
      <c r="W16" s="202"/>
      <c r="X16" s="179"/>
      <c r="Y16" s="179"/>
      <c r="Z16" s="179"/>
      <c r="AA16" s="179"/>
      <c r="AB16" s="238">
        <f t="shared" si="3"/>
        <v>64000</v>
      </c>
      <c r="AC16" s="180"/>
      <c r="AD16" s="194" t="s">
        <v>43</v>
      </c>
      <c r="AE16" s="204"/>
      <c r="AF16" s="204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242">
        <f t="shared" si="4"/>
        <v>2560000</v>
      </c>
      <c r="BF16" s="181"/>
      <c r="BG16" s="260">
        <f>SUM(BE12:BE61)</f>
        <v>82795056</v>
      </c>
      <c r="BH16" s="261">
        <f>SUMPRODUCT(X,BE12:BE61)</f>
        <v>5760374368</v>
      </c>
      <c r="BI16" s="261">
        <f>SUMPRODUCT(xsquared,BE12:BE61)</f>
        <v>409225600704</v>
      </c>
      <c r="BJ16" s="261">
        <f>SUMPRODUCT(xcubed,BE12:BE61)</f>
        <v>29545448854912</v>
      </c>
      <c r="BK16" s="262">
        <f>SUMPRODUCT(BE12:BE61,BE12:BE61)</f>
        <v>2160172170683136</v>
      </c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2"/>
    </row>
    <row r="17" spans="2:101" ht="18" customHeight="1" x14ac:dyDescent="0.2">
      <c r="B17" s="225" t="str">
        <f t="shared" si="5"/>
        <v/>
      </c>
      <c r="C17" s="226"/>
      <c r="D17" s="263"/>
      <c r="E17" s="210"/>
      <c r="F17" s="177" t="s">
        <v>44</v>
      </c>
      <c r="G17" s="177"/>
      <c r="H17" s="177"/>
      <c r="I17" s="177"/>
      <c r="J17" s="177"/>
      <c r="K17" s="200"/>
      <c r="L17" s="200"/>
      <c r="M17" s="200"/>
      <c r="N17" s="187"/>
      <c r="O17" s="187"/>
      <c r="P17" s="187"/>
      <c r="Q17" s="187"/>
      <c r="R17" s="187"/>
      <c r="S17" s="233" t="str">
        <f t="shared" si="2"/>
        <v/>
      </c>
      <c r="T17" s="202"/>
      <c r="U17" s="264">
        <f>MDETERM(U12:W14)</f>
        <v>511071999.99995124</v>
      </c>
      <c r="V17" s="202"/>
      <c r="W17" s="202"/>
      <c r="X17" s="179"/>
      <c r="Y17" s="179"/>
      <c r="Z17" s="179"/>
      <c r="AA17" s="179"/>
      <c r="AB17" s="238" t="str">
        <f t="shared" si="3"/>
        <v/>
      </c>
      <c r="AC17" s="180"/>
      <c r="AD17" s="265">
        <f>MDETERM(AD12:AG15)</f>
        <v>5362513920023795</v>
      </c>
      <c r="AE17" s="204"/>
      <c r="AF17" s="204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242" t="str">
        <f t="shared" si="4"/>
        <v/>
      </c>
      <c r="BF17" s="181">
        <v>1</v>
      </c>
      <c r="BG17" s="191">
        <v>2</v>
      </c>
      <c r="BH17" s="191">
        <v>3</v>
      </c>
      <c r="BI17" s="191">
        <v>4</v>
      </c>
      <c r="BJ17" s="191">
        <v>5</v>
      </c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2"/>
    </row>
    <row r="18" spans="2:101" ht="18" customHeight="1" x14ac:dyDescent="0.2">
      <c r="B18" s="225" t="str">
        <f t="shared" si="5"/>
        <v/>
      </c>
      <c r="C18" s="266"/>
      <c r="D18" s="267"/>
      <c r="E18" s="210"/>
      <c r="F18" s="177"/>
      <c r="G18" s="177"/>
      <c r="H18" s="177"/>
      <c r="I18" s="177"/>
      <c r="J18" s="177"/>
      <c r="K18" s="178" t="s">
        <v>45</v>
      </c>
      <c r="L18" s="200"/>
      <c r="M18" s="200"/>
      <c r="N18" s="187"/>
      <c r="O18" s="187"/>
      <c r="P18" s="187"/>
      <c r="Q18" s="187"/>
      <c r="R18" s="187"/>
      <c r="S18" s="233" t="str">
        <f t="shared" si="2"/>
        <v/>
      </c>
      <c r="T18" s="202"/>
      <c r="U18" s="202"/>
      <c r="V18" s="202"/>
      <c r="W18" s="202"/>
      <c r="X18" s="179"/>
      <c r="Y18" s="179"/>
      <c r="Z18" s="179"/>
      <c r="AA18" s="179"/>
      <c r="AB18" s="238" t="str">
        <f t="shared" si="3"/>
        <v/>
      </c>
      <c r="AC18" s="180"/>
      <c r="AD18" s="204"/>
      <c r="AE18" s="180"/>
      <c r="AF18" s="204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242" t="str">
        <f t="shared" si="4"/>
        <v/>
      </c>
      <c r="BF18" s="181">
        <v>2</v>
      </c>
      <c r="BG18" s="191" t="s">
        <v>45</v>
      </c>
      <c r="BH18" s="206"/>
      <c r="BI18" s="206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2"/>
    </row>
    <row r="19" spans="2:101" ht="18" customHeight="1" x14ac:dyDescent="0.2">
      <c r="B19" s="225" t="str">
        <f t="shared" si="5"/>
        <v/>
      </c>
      <c r="C19" s="266"/>
      <c r="D19" s="267"/>
      <c r="E19" s="210"/>
      <c r="F19" s="177"/>
      <c r="G19" s="177"/>
      <c r="H19" s="177"/>
      <c r="I19" s="177"/>
      <c r="J19" s="177"/>
      <c r="K19" s="211">
        <f>L13/K16</f>
        <v>4.0476603119584009</v>
      </c>
      <c r="L19" s="212">
        <f>K20</f>
        <v>-6.455805892547653E-2</v>
      </c>
      <c r="M19" s="200"/>
      <c r="N19" s="187"/>
      <c r="O19" s="187"/>
      <c r="P19" s="187"/>
      <c r="Q19" s="187"/>
      <c r="R19" s="187"/>
      <c r="S19" s="233" t="str">
        <f t="shared" si="2"/>
        <v/>
      </c>
      <c r="T19" s="202"/>
      <c r="U19" s="193" t="s">
        <v>45</v>
      </c>
      <c r="V19" s="202"/>
      <c r="W19" s="202"/>
      <c r="X19" s="179"/>
      <c r="Y19" s="179"/>
      <c r="Z19" s="179"/>
      <c r="AA19" s="179"/>
      <c r="AB19" s="238" t="str">
        <f t="shared" si="3"/>
        <v/>
      </c>
      <c r="AC19" s="180"/>
      <c r="AD19" s="194" t="s">
        <v>45</v>
      </c>
      <c r="AE19" s="204"/>
      <c r="AF19" s="204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242" t="str">
        <f t="shared" si="4"/>
        <v/>
      </c>
      <c r="BF19" s="181">
        <v>3</v>
      </c>
      <c r="BG19" s="268">
        <f t="shared" ref="BG19:BK23" si="6">INDEX(MINVERSE($BG$12:$BK$16),$BF17,BF$17)</f>
        <v>192959.13229959016</v>
      </c>
      <c r="BH19" s="223">
        <f t="shared" si="6"/>
        <v>-13790.120505532257</v>
      </c>
      <c r="BI19" s="223">
        <f t="shared" si="6"/>
        <v>361.57149189354629</v>
      </c>
      <c r="BJ19" s="223">
        <f t="shared" si="6"/>
        <v>-4.1279226770853583</v>
      </c>
      <c r="BK19" s="224">
        <f t="shared" si="6"/>
        <v>1.7339919660512997E-2</v>
      </c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2"/>
    </row>
    <row r="20" spans="2:101" ht="18" customHeight="1" x14ac:dyDescent="0.2">
      <c r="B20" s="225" t="str">
        <f t="shared" si="5"/>
        <v/>
      </c>
      <c r="C20" s="266"/>
      <c r="D20" s="267"/>
      <c r="E20" s="210"/>
      <c r="F20" s="177"/>
      <c r="G20" s="177"/>
      <c r="H20" s="177"/>
      <c r="I20" s="177"/>
      <c r="J20" s="177"/>
      <c r="K20" s="231">
        <f>-L12/K16</f>
        <v>-6.455805892547653E-2</v>
      </c>
      <c r="L20" s="232">
        <f>K12/K16</f>
        <v>1.0831889081455793E-3</v>
      </c>
      <c r="M20" s="200"/>
      <c r="N20" s="187"/>
      <c r="O20" s="187"/>
      <c r="P20" s="187"/>
      <c r="Q20" s="187"/>
      <c r="R20" s="187"/>
      <c r="S20" s="233" t="str">
        <f t="shared" si="2"/>
        <v/>
      </c>
      <c r="T20" s="202"/>
      <c r="U20" s="214">
        <f>(W14*V13-V14*W13)/U17</f>
        <v>102.35237618183933</v>
      </c>
      <c r="V20" s="215">
        <f>U21</f>
        <v>-3.5822058731454174</v>
      </c>
      <c r="W20" s="216">
        <f>U22</f>
        <v>2.9797445369735484E-2</v>
      </c>
      <c r="X20" s="179"/>
      <c r="Y20" s="179"/>
      <c r="Z20" s="179"/>
      <c r="AA20" s="179"/>
      <c r="AB20" s="238" t="str">
        <f t="shared" si="3"/>
        <v/>
      </c>
      <c r="AC20" s="180"/>
      <c r="AD20" s="269">
        <f>INDEX(MINVERSE($AD$12:$AG$15),1,1)</f>
        <v>3421.0595596802714</v>
      </c>
      <c r="AE20" s="219">
        <f>INDEX(MINVERSE($AD$12:$AG$15),1,2)</f>
        <v>-183.42445110794912</v>
      </c>
      <c r="AF20" s="219">
        <f>INDEX(MINVERSE($AD$12:$AG$15),1,3)</f>
        <v>3.1737661333140399</v>
      </c>
      <c r="AG20" s="220">
        <f>INDEX(MINVERSE($AD$12:$AG$15),1,4)</f>
        <v>-1.7784485079630215E-2</v>
      </c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242" t="str">
        <f t="shared" si="4"/>
        <v/>
      </c>
      <c r="BF20" s="181">
        <v>4</v>
      </c>
      <c r="BG20" s="243">
        <f t="shared" si="6"/>
        <v>-13790.120505394254</v>
      </c>
      <c r="BH20" s="244">
        <f t="shared" si="6"/>
        <v>986.68001166061913</v>
      </c>
      <c r="BI20" s="244">
        <f t="shared" si="6"/>
        <v>-25.900354111444493</v>
      </c>
      <c r="BJ20" s="244">
        <f t="shared" si="6"/>
        <v>0.29602531825771289</v>
      </c>
      <c r="BK20" s="245">
        <f t="shared" si="6"/>
        <v>-1.2448106758484164E-3</v>
      </c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2"/>
    </row>
    <row r="21" spans="2:101" ht="18" customHeight="1" x14ac:dyDescent="0.2">
      <c r="B21" s="225" t="str">
        <f t="shared" si="5"/>
        <v/>
      </c>
      <c r="C21" s="266"/>
      <c r="D21" s="267"/>
      <c r="E21" s="210"/>
      <c r="F21" s="177"/>
      <c r="G21" s="177"/>
      <c r="H21" s="177"/>
      <c r="I21" s="177"/>
      <c r="J21" s="177"/>
      <c r="K21" s="200"/>
      <c r="L21" s="200"/>
      <c r="M21" s="200"/>
      <c r="N21" s="187"/>
      <c r="O21" s="187"/>
      <c r="P21" s="187"/>
      <c r="Q21" s="187"/>
      <c r="R21" s="187"/>
      <c r="S21" s="233" t="str">
        <f t="shared" si="2"/>
        <v/>
      </c>
      <c r="T21" s="202"/>
      <c r="U21" s="235">
        <f>(V14*W12-V12*W14)/U17</f>
        <v>-3.5822058731454174</v>
      </c>
      <c r="V21" s="236">
        <f>(U12*W14-U14*W12)/U17</f>
        <v>0.12695554442428109</v>
      </c>
      <c r="W21" s="237">
        <f>V22</f>
        <v>-1.0662450691880049E-3</v>
      </c>
      <c r="X21" s="179"/>
      <c r="Y21" s="179"/>
      <c r="Z21" s="179"/>
      <c r="AA21" s="179"/>
      <c r="AB21" s="238" t="str">
        <f t="shared" si="3"/>
        <v/>
      </c>
      <c r="AC21" s="180"/>
      <c r="AD21" s="239">
        <f>INDEX(MINVERSE($AD$12:$AG$15),2,1)</f>
        <v>-183.42445110798053</v>
      </c>
      <c r="AE21" s="240">
        <f>INDEX(MINVERSE($AD$12:$AG$15),2,2)</f>
        <v>9.8726882598385171</v>
      </c>
      <c r="AF21" s="240">
        <f>INDEX(MINVERSE($AD$12:$AG$15),2,3)</f>
        <v>-0.17143933209516751</v>
      </c>
      <c r="AG21" s="241">
        <f>INDEX(MINVERSE($AD$12:$AG$15),2,4)</f>
        <v>9.6374930062208904E-4</v>
      </c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242" t="str">
        <f t="shared" si="4"/>
        <v/>
      </c>
      <c r="BF21" s="181">
        <v>5</v>
      </c>
      <c r="BG21" s="243">
        <f t="shared" si="6"/>
        <v>361.57149188621582</v>
      </c>
      <c r="BH21" s="244">
        <f t="shared" si="6"/>
        <v>-25.900354111179151</v>
      </c>
      <c r="BI21" s="244">
        <f t="shared" si="6"/>
        <v>0.68068207020342364</v>
      </c>
      <c r="BJ21" s="244">
        <f t="shared" si="6"/>
        <v>-7.7887123835611548E-3</v>
      </c>
      <c r="BK21" s="245">
        <f t="shared" si="6"/>
        <v>3.2788070920164589E-5</v>
      </c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2"/>
    </row>
    <row r="22" spans="2:101" ht="18" customHeight="1" x14ac:dyDescent="0.2">
      <c r="B22" s="225" t="str">
        <f t="shared" si="5"/>
        <v/>
      </c>
      <c r="C22" s="266"/>
      <c r="D22" s="267"/>
      <c r="E22" s="210"/>
      <c r="F22" s="177"/>
      <c r="G22" s="177"/>
      <c r="H22" s="177"/>
      <c r="I22" s="177"/>
      <c r="J22" s="177"/>
      <c r="K22" s="270" t="s">
        <v>46</v>
      </c>
      <c r="L22" s="200"/>
      <c r="M22" s="200"/>
      <c r="N22" s="187"/>
      <c r="O22" s="187"/>
      <c r="P22" s="187"/>
      <c r="Q22" s="187"/>
      <c r="R22" s="187"/>
      <c r="S22" s="233" t="str">
        <f t="shared" si="2"/>
        <v/>
      </c>
      <c r="T22" s="202"/>
      <c r="U22" s="246">
        <f>(V12*W13-V13*W12)/U17</f>
        <v>2.9797445369735484E-2</v>
      </c>
      <c r="V22" s="247">
        <f>(U13*W12-U12*W13)/U17</f>
        <v>-1.0662450691880049E-3</v>
      </c>
      <c r="W22" s="248">
        <f>(U12*V13-U13*V12)/U17</f>
        <v>9.0319954918298017E-6</v>
      </c>
      <c r="X22" s="179"/>
      <c r="Y22" s="179"/>
      <c r="Z22" s="179"/>
      <c r="AA22" s="179"/>
      <c r="AB22" s="238" t="str">
        <f t="shared" si="3"/>
        <v/>
      </c>
      <c r="AC22" s="180"/>
      <c r="AD22" s="239">
        <f>INDEX(MINVERSE($AD$12:$AG$15),3,1)</f>
        <v>3.1737661333151301</v>
      </c>
      <c r="AE22" s="240">
        <f>INDEX(MINVERSE($AD$12:$AG$15),3,2)</f>
        <v>-0.17143933209519679</v>
      </c>
      <c r="AF22" s="240">
        <f>INDEX(MINVERSE($AD$12:$AG$15),3,3)</f>
        <v>2.9874626205034041E-3</v>
      </c>
      <c r="AG22" s="241">
        <f>INDEX(MINVERSE($AD$12:$AG$15),3,4)</f>
        <v>-1.6848086055801813E-5</v>
      </c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242" t="str">
        <f t="shared" si="4"/>
        <v/>
      </c>
      <c r="BF22" s="181"/>
      <c r="BG22" s="243">
        <f t="shared" si="6"/>
        <v>-4.127922676959618</v>
      </c>
      <c r="BH22" s="244">
        <f t="shared" si="6"/>
        <v>0.29602531825167955</v>
      </c>
      <c r="BI22" s="244">
        <f t="shared" si="6"/>
        <v>-7.7887123834823957E-3</v>
      </c>
      <c r="BJ22" s="244">
        <f t="shared" si="6"/>
        <v>8.9223761505987468E-5</v>
      </c>
      <c r="BK22" s="245">
        <f t="shared" si="6"/>
        <v>-3.7601662299600791E-7</v>
      </c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2"/>
    </row>
    <row r="23" spans="2:101" ht="18" customHeight="1" x14ac:dyDescent="0.2">
      <c r="B23" s="225" t="str">
        <f t="shared" si="5"/>
        <v/>
      </c>
      <c r="C23" s="266"/>
      <c r="D23" s="267"/>
      <c r="E23" s="210"/>
      <c r="F23" s="177"/>
      <c r="G23" s="177"/>
      <c r="H23" s="177"/>
      <c r="I23" s="177"/>
      <c r="J23" s="177"/>
      <c r="K23" s="271">
        <f>SUM(Y)</f>
        <v>299.15360307973054</v>
      </c>
      <c r="L23" s="200"/>
      <c r="M23" s="200"/>
      <c r="N23" s="187"/>
      <c r="O23" s="187"/>
      <c r="P23" s="187"/>
      <c r="Q23" s="187"/>
      <c r="R23" s="187"/>
      <c r="S23" s="233" t="str">
        <f t="shared" si="2"/>
        <v/>
      </c>
      <c r="T23" s="202"/>
      <c r="U23" s="202"/>
      <c r="V23" s="202"/>
      <c r="W23" s="202"/>
      <c r="X23" s="179"/>
      <c r="Y23" s="179"/>
      <c r="Z23" s="179"/>
      <c r="AA23" s="179"/>
      <c r="AB23" s="238" t="str">
        <f t="shared" si="3"/>
        <v/>
      </c>
      <c r="AC23" s="180"/>
      <c r="AD23" s="255">
        <f>INDEX(MINVERSE($AD$12:$AG$15),4,1)</f>
        <v>-1.7784485079639187E-2</v>
      </c>
      <c r="AE23" s="256">
        <f>INDEX(MINVERSE($AD$12:$AG$15),4,2)</f>
        <v>9.6374930062240671E-4</v>
      </c>
      <c r="AF23" s="256">
        <f>INDEX(MINVERSE($AD$12:$AG$15),4,3)</f>
        <v>-1.6848086055804479E-5</v>
      </c>
      <c r="AG23" s="257">
        <f>INDEX(MINVERSE($AD$12:$AG$15),4,4)</f>
        <v>9.5304554472422927E-8</v>
      </c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242" t="str">
        <f t="shared" si="4"/>
        <v/>
      </c>
      <c r="BF23" s="181"/>
      <c r="BG23" s="260">
        <f t="shared" si="6"/>
        <v>1.7339919659814185E-2</v>
      </c>
      <c r="BH23" s="261">
        <f t="shared" si="6"/>
        <v>-1.2448106758108763E-3</v>
      </c>
      <c r="BI23" s="261">
        <f t="shared" si="6"/>
        <v>3.2788070919513953E-5</v>
      </c>
      <c r="BJ23" s="261">
        <f t="shared" si="6"/>
        <v>-3.7601662299235673E-7</v>
      </c>
      <c r="BK23" s="262">
        <f t="shared" si="6"/>
        <v>1.5863452100922957E-9</v>
      </c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2"/>
    </row>
    <row r="24" spans="2:101" ht="18" customHeight="1" x14ac:dyDescent="0.2">
      <c r="B24" s="225" t="str">
        <f t="shared" si="5"/>
        <v/>
      </c>
      <c r="C24" s="266"/>
      <c r="D24" s="267"/>
      <c r="E24" s="210"/>
      <c r="F24" s="177"/>
      <c r="G24" s="177"/>
      <c r="H24" s="177"/>
      <c r="I24" s="177"/>
      <c r="J24" s="177"/>
      <c r="K24" s="272">
        <f>SUMPRODUCT(X,Y)</f>
        <v>18760.842553020957</v>
      </c>
      <c r="L24" s="200"/>
      <c r="M24" s="200"/>
      <c r="N24" s="187"/>
      <c r="O24" s="187"/>
      <c r="P24" s="187"/>
      <c r="Q24" s="187"/>
      <c r="R24" s="187"/>
      <c r="S24" s="233" t="str">
        <f t="shared" si="2"/>
        <v/>
      </c>
      <c r="T24" s="202"/>
      <c r="U24" s="193" t="s">
        <v>46</v>
      </c>
      <c r="V24" s="202"/>
      <c r="W24" s="202"/>
      <c r="X24" s="179"/>
      <c r="Y24" s="179"/>
      <c r="Z24" s="179"/>
      <c r="AA24" s="179"/>
      <c r="AB24" s="238" t="str">
        <f t="shared" si="3"/>
        <v/>
      </c>
      <c r="AC24" s="180"/>
      <c r="AD24" s="194" t="s">
        <v>46</v>
      </c>
      <c r="AE24" s="204"/>
      <c r="AF24" s="204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242" t="str">
        <f t="shared" si="4"/>
        <v/>
      </c>
      <c r="BF24" s="181"/>
      <c r="BG24" s="206"/>
      <c r="BH24" s="206"/>
      <c r="BI24" s="206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2"/>
    </row>
    <row r="25" spans="2:101" ht="18" customHeight="1" x14ac:dyDescent="0.2">
      <c r="B25" s="225" t="str">
        <f t="shared" si="5"/>
        <v/>
      </c>
      <c r="C25" s="266"/>
      <c r="D25" s="267"/>
      <c r="E25" s="210"/>
      <c r="F25" s="177"/>
      <c r="G25" s="177"/>
      <c r="H25" s="177"/>
      <c r="I25" s="177"/>
      <c r="J25" s="177"/>
      <c r="K25" s="200"/>
      <c r="L25" s="200"/>
      <c r="M25" s="200"/>
      <c r="N25" s="187"/>
      <c r="O25" s="187"/>
      <c r="P25" s="187"/>
      <c r="Q25" s="187"/>
      <c r="R25" s="187"/>
      <c r="S25" s="233" t="str">
        <f t="shared" si="2"/>
        <v/>
      </c>
      <c r="T25" s="202"/>
      <c r="U25" s="213">
        <f>K23</f>
        <v>299.15360307973054</v>
      </c>
      <c r="V25" s="202"/>
      <c r="W25" s="202"/>
      <c r="X25" s="179"/>
      <c r="Y25" s="179"/>
      <c r="Z25" s="179"/>
      <c r="AA25" s="179"/>
      <c r="AB25" s="238" t="str">
        <f t="shared" si="3"/>
        <v/>
      </c>
      <c r="AC25" s="180"/>
      <c r="AD25" s="217">
        <f>U25</f>
        <v>299.15360307973054</v>
      </c>
      <c r="AE25" s="204"/>
      <c r="AF25" s="204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242" t="str">
        <f t="shared" si="4"/>
        <v/>
      </c>
      <c r="BF25" s="181"/>
      <c r="BG25" s="191" t="s">
        <v>46</v>
      </c>
      <c r="BH25" s="206"/>
      <c r="BI25" s="191" t="s">
        <v>47</v>
      </c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2"/>
    </row>
    <row r="26" spans="2:101" ht="18" customHeight="1" x14ac:dyDescent="0.2">
      <c r="B26" s="225" t="str">
        <f t="shared" si="5"/>
        <v/>
      </c>
      <c r="C26" s="266"/>
      <c r="D26" s="267"/>
      <c r="E26" s="210"/>
      <c r="F26" s="177"/>
      <c r="G26" s="177"/>
      <c r="H26" s="177"/>
      <c r="I26" s="177"/>
      <c r="J26" s="177"/>
      <c r="K26" s="178" t="s">
        <v>47</v>
      </c>
      <c r="L26" s="200"/>
      <c r="M26" s="178" t="s">
        <v>48</v>
      </c>
      <c r="N26" s="187"/>
      <c r="O26" s="187"/>
      <c r="P26" s="187"/>
      <c r="Q26" s="187"/>
      <c r="R26" s="187"/>
      <c r="S26" s="233" t="str">
        <f t="shared" si="2"/>
        <v/>
      </c>
      <c r="T26" s="202"/>
      <c r="U26" s="233">
        <f>K24</f>
        <v>18760.842553020957</v>
      </c>
      <c r="V26" s="202"/>
      <c r="W26" s="202"/>
      <c r="X26" s="179"/>
      <c r="Y26" s="179"/>
      <c r="Z26" s="179"/>
      <c r="AA26" s="179"/>
      <c r="AB26" s="238" t="str">
        <f t="shared" si="3"/>
        <v/>
      </c>
      <c r="AC26" s="180"/>
      <c r="AD26" s="238">
        <f>U26</f>
        <v>18760.842553020957</v>
      </c>
      <c r="AE26" s="204"/>
      <c r="AF26" s="204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242" t="str">
        <f t="shared" si="4"/>
        <v/>
      </c>
      <c r="BF26" s="181"/>
      <c r="BG26" s="221">
        <f>AD25</f>
        <v>299.15360307973054</v>
      </c>
      <c r="BH26" s="206"/>
      <c r="BI26" s="221">
        <f>SUMPRODUCT($BG$26:$BG$30,BG19:BG23)</f>
        <v>25.790317013859749</v>
      </c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2"/>
    </row>
    <row r="27" spans="2:101" ht="18" customHeight="1" x14ac:dyDescent="0.3">
      <c r="B27" s="225" t="str">
        <f t="shared" si="5"/>
        <v/>
      </c>
      <c r="C27" s="266"/>
      <c r="D27" s="267"/>
      <c r="E27" s="210"/>
      <c r="F27" s="177"/>
      <c r="G27" s="177"/>
      <c r="H27" s="177"/>
      <c r="I27" s="177"/>
      <c r="J27" s="177"/>
      <c r="K27" s="271">
        <f>SUMPRODUCT(K19:K20,$K$23:$K$24)</f>
        <v>-0.29141266433271085</v>
      </c>
      <c r="L27" s="273"/>
      <c r="M27" s="274">
        <f>K27</f>
        <v>-0.29141266433271085</v>
      </c>
      <c r="N27" s="275">
        <f>K28</f>
        <v>1.0087606255080317</v>
      </c>
      <c r="O27" s="187"/>
      <c r="P27" s="187"/>
      <c r="Q27" s="187"/>
      <c r="R27" s="187"/>
      <c r="S27" s="233" t="str">
        <f t="shared" si="2"/>
        <v/>
      </c>
      <c r="T27" s="202"/>
      <c r="U27" s="276">
        <f>SUMPRODUCT(Y,S12:S61)</f>
        <v>1227817.0470040061</v>
      </c>
      <c r="V27" s="202"/>
      <c r="W27" s="202"/>
      <c r="X27" s="179"/>
      <c r="Y27" s="179"/>
      <c r="Z27" s="179"/>
      <c r="AA27" s="179"/>
      <c r="AB27" s="238" t="str">
        <f t="shared" si="3"/>
        <v/>
      </c>
      <c r="AC27" s="180"/>
      <c r="AD27" s="238">
        <f>U27</f>
        <v>1227817.0470040061</v>
      </c>
      <c r="AE27" s="204"/>
      <c r="AF27" s="204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242" t="str">
        <f t="shared" si="4"/>
        <v/>
      </c>
      <c r="BF27" s="181"/>
      <c r="BG27" s="242">
        <f>AD26</f>
        <v>18760.842553020957</v>
      </c>
      <c r="BH27" s="206"/>
      <c r="BI27" s="242">
        <f>SUMPRODUCT($BG$26:$BG$30,BH19:BH23)</f>
        <v>-1.0022106720134616</v>
      </c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2"/>
    </row>
    <row r="28" spans="2:101" ht="18" customHeight="1" x14ac:dyDescent="0.2">
      <c r="B28" s="225" t="str">
        <f t="shared" si="5"/>
        <v/>
      </c>
      <c r="C28" s="266"/>
      <c r="D28" s="267"/>
      <c r="E28" s="210"/>
      <c r="F28" s="177"/>
      <c r="G28" s="177"/>
      <c r="H28" s="177"/>
      <c r="I28" s="177"/>
      <c r="J28" s="177"/>
      <c r="K28" s="272">
        <f>SUMPRODUCT(L19:L20,$K$23:$K$24)</f>
        <v>1.0087606255080317</v>
      </c>
      <c r="L28" s="200"/>
      <c r="M28" s="200"/>
      <c r="N28" s="187"/>
      <c r="O28" s="187"/>
      <c r="P28" s="187"/>
      <c r="Q28" s="187"/>
      <c r="R28" s="187"/>
      <c r="S28" s="233" t="str">
        <f t="shared" si="2"/>
        <v/>
      </c>
      <c r="T28" s="202"/>
      <c r="U28" s="202"/>
      <c r="V28" s="202"/>
      <c r="W28" s="202"/>
      <c r="X28" s="179"/>
      <c r="Y28" s="179"/>
      <c r="Z28" s="179"/>
      <c r="AA28" s="179"/>
      <c r="AB28" s="238" t="str">
        <f t="shared" si="3"/>
        <v/>
      </c>
      <c r="AC28" s="180"/>
      <c r="AD28" s="277">
        <f>SUMPRODUCT(Y,xcubed)</f>
        <v>83164474.649510086</v>
      </c>
      <c r="AE28" s="204"/>
      <c r="AF28" s="204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242" t="str">
        <f t="shared" si="4"/>
        <v/>
      </c>
      <c r="BF28" s="181"/>
      <c r="BG28" s="242">
        <f>AD27</f>
        <v>1227817.0470040061</v>
      </c>
      <c r="BH28" s="206"/>
      <c r="BI28" s="242">
        <f>SUMPRODUCT($BG$26:$BG$30,BI19:BI23)</f>
        <v>5.6743735214695334E-2</v>
      </c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2"/>
    </row>
    <row r="29" spans="2:101" ht="18" customHeight="1" x14ac:dyDescent="0.2">
      <c r="B29" s="225" t="str">
        <f t="shared" si="5"/>
        <v/>
      </c>
      <c r="C29" s="266"/>
      <c r="D29" s="267"/>
      <c r="E29" s="210"/>
      <c r="F29" s="177"/>
      <c r="G29" s="177"/>
      <c r="H29" s="177"/>
      <c r="I29" s="177"/>
      <c r="J29" s="177"/>
      <c r="K29" s="200"/>
      <c r="L29" s="200"/>
      <c r="M29" s="200"/>
      <c r="N29" s="187"/>
      <c r="O29" s="187"/>
      <c r="P29" s="187"/>
      <c r="Q29" s="187"/>
      <c r="R29" s="187"/>
      <c r="S29" s="233" t="str">
        <f t="shared" si="2"/>
        <v/>
      </c>
      <c r="T29" s="202"/>
      <c r="U29" s="193" t="s">
        <v>47</v>
      </c>
      <c r="V29" s="202"/>
      <c r="W29" s="193" t="s">
        <v>48</v>
      </c>
      <c r="X29" s="179"/>
      <c r="Y29" s="179"/>
      <c r="Z29" s="179"/>
      <c r="AA29" s="179"/>
      <c r="AB29" s="238" t="str">
        <f t="shared" si="3"/>
        <v/>
      </c>
      <c r="AC29" s="180"/>
      <c r="AD29" s="194" t="s">
        <v>47</v>
      </c>
      <c r="AE29" s="204"/>
      <c r="AF29" s="204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242" t="str">
        <f t="shared" si="4"/>
        <v/>
      </c>
      <c r="BF29" s="181"/>
      <c r="BG29" s="242">
        <f>AD28</f>
        <v>83164474.649510086</v>
      </c>
      <c r="BH29" s="206"/>
      <c r="BI29" s="242">
        <f>SUMPRODUCT($BG$26:$BG$30,BJ19:BJ23)</f>
        <v>-6.9398044752233545E-4</v>
      </c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2"/>
    </row>
    <row r="30" spans="2:101" ht="18" customHeight="1" x14ac:dyDescent="0.3">
      <c r="B30" s="225" t="str">
        <f t="shared" si="5"/>
        <v/>
      </c>
      <c r="C30" s="266"/>
      <c r="D30" s="267"/>
      <c r="E30" s="210"/>
      <c r="F30" s="177"/>
      <c r="G30" s="177"/>
      <c r="H30" s="177"/>
      <c r="I30" s="177"/>
      <c r="J30" s="177"/>
      <c r="K30" s="270" t="s">
        <v>49</v>
      </c>
      <c r="L30" s="200"/>
      <c r="M30" s="200"/>
      <c r="N30" s="187"/>
      <c r="O30" s="187"/>
      <c r="P30" s="187"/>
      <c r="Q30" s="187"/>
      <c r="R30" s="187"/>
      <c r="S30" s="233" t="str">
        <f t="shared" si="2"/>
        <v/>
      </c>
      <c r="T30" s="202"/>
      <c r="U30" s="213">
        <f>SUMPRODUCT($U$25:$U$27,U20:U22)</f>
        <v>-0.30687788708746666</v>
      </c>
      <c r="V30" s="234"/>
      <c r="W30" s="278">
        <f>U30</f>
        <v>-0.30687788708746666</v>
      </c>
      <c r="X30" s="279">
        <f>U31</f>
        <v>1.0093140191729617</v>
      </c>
      <c r="Y30" s="280">
        <f>U32</f>
        <v>-4.6877113302201678E-6</v>
      </c>
      <c r="Z30" s="179"/>
      <c r="AA30" s="179"/>
      <c r="AB30" s="238" t="str">
        <f t="shared" si="3"/>
        <v/>
      </c>
      <c r="AC30" s="180"/>
      <c r="AD30" s="217">
        <f>SUMPRODUCT($AD$25:$AD$28,AD20:AD23)</f>
        <v>-8.1508543412201107</v>
      </c>
      <c r="AE30" s="281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242" t="str">
        <f t="shared" si="4"/>
        <v/>
      </c>
      <c r="BF30" s="181"/>
      <c r="BG30" s="282">
        <f>SUMPRODUCT(Y,BE12:BE61)</f>
        <v>5786806804.6342039</v>
      </c>
      <c r="BH30" s="206"/>
      <c r="BI30" s="282">
        <f>SUMPRODUCT($BG$26:$BG$30,BK19:BK23)</f>
        <v>3.1051132687309746E-6</v>
      </c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2"/>
    </row>
    <row r="31" spans="2:101" ht="18" customHeight="1" x14ac:dyDescent="0.2">
      <c r="B31" s="225" t="str">
        <f t="shared" si="5"/>
        <v/>
      </c>
      <c r="C31" s="266"/>
      <c r="D31" s="267"/>
      <c r="E31" s="210"/>
      <c r="F31" s="177"/>
      <c r="G31" s="177"/>
      <c r="H31" s="177"/>
      <c r="I31" s="177"/>
      <c r="J31" s="177"/>
      <c r="K31" s="259">
        <f>SUMPRODUCT(Y,Y)</f>
        <v>18838.046740448382</v>
      </c>
      <c r="L31" s="200"/>
      <c r="M31" s="200"/>
      <c r="N31" s="187"/>
      <c r="O31" s="187"/>
      <c r="P31" s="187"/>
      <c r="Q31" s="187"/>
      <c r="R31" s="187"/>
      <c r="S31" s="233" t="str">
        <f t="shared" si="2"/>
        <v/>
      </c>
      <c r="T31" s="202"/>
      <c r="U31" s="233">
        <f>SUMPRODUCT($U$25:$U$27,V20:V22)</f>
        <v>1.0093140191729617</v>
      </c>
      <c r="V31" s="202"/>
      <c r="W31" s="202"/>
      <c r="X31" s="179"/>
      <c r="Y31" s="179"/>
      <c r="Z31" s="179"/>
      <c r="AA31" s="179"/>
      <c r="AB31" s="238" t="str">
        <f t="shared" si="3"/>
        <v/>
      </c>
      <c r="AC31" s="180"/>
      <c r="AD31" s="238">
        <f>SUMPRODUCT($AD$25:$AD$28,AE20:AE23)</f>
        <v>1.4343826555850683</v>
      </c>
      <c r="AE31" s="283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242" t="str">
        <f t="shared" si="4"/>
        <v/>
      </c>
      <c r="BF31" s="181"/>
      <c r="BG31" s="284"/>
      <c r="BH31" s="284"/>
      <c r="BI31" s="206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2"/>
    </row>
    <row r="32" spans="2:101" ht="18" customHeight="1" x14ac:dyDescent="0.2">
      <c r="B32" s="225" t="str">
        <f t="shared" si="5"/>
        <v/>
      </c>
      <c r="C32" s="266"/>
      <c r="D32" s="267"/>
      <c r="E32" s="210"/>
      <c r="F32" s="177"/>
      <c r="G32" s="177"/>
      <c r="H32" s="177"/>
      <c r="I32" s="177"/>
      <c r="J32" s="177"/>
      <c r="K32" s="200"/>
      <c r="L32" s="200"/>
      <c r="M32" s="200"/>
      <c r="N32" s="187"/>
      <c r="O32" s="187"/>
      <c r="P32" s="187"/>
      <c r="Q32" s="187"/>
      <c r="R32" s="187"/>
      <c r="S32" s="233" t="str">
        <f t="shared" si="2"/>
        <v/>
      </c>
      <c r="T32" s="202"/>
      <c r="U32" s="276">
        <f>SUMPRODUCT($U$25:$U$27,W20:W22)</f>
        <v>-4.6877113302201678E-6</v>
      </c>
      <c r="V32" s="202"/>
      <c r="W32" s="202"/>
      <c r="X32" s="179"/>
      <c r="Y32" s="179"/>
      <c r="Z32" s="179"/>
      <c r="AA32" s="179"/>
      <c r="AB32" s="238" t="str">
        <f t="shared" si="3"/>
        <v/>
      </c>
      <c r="AC32" s="180"/>
      <c r="AD32" s="238">
        <f>SUMPRODUCT($AD$25:$AD$28,AF20:AF23)</f>
        <v>-7.4356585673740483E-3</v>
      </c>
      <c r="AE32" s="283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242" t="str">
        <f t="shared" si="4"/>
        <v/>
      </c>
      <c r="BF32" s="181"/>
      <c r="BG32" s="284"/>
      <c r="BH32" s="284"/>
      <c r="BI32" s="206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2"/>
    </row>
    <row r="33" spans="2:101" ht="18" customHeight="1" x14ac:dyDescent="0.2">
      <c r="B33" s="225" t="str">
        <f t="shared" si="5"/>
        <v/>
      </c>
      <c r="C33" s="266"/>
      <c r="D33" s="267"/>
      <c r="E33" s="210"/>
      <c r="F33" s="177"/>
      <c r="G33" s="177"/>
      <c r="H33" s="177"/>
      <c r="I33" s="177"/>
      <c r="J33" s="177"/>
      <c r="K33" s="178" t="s">
        <v>50</v>
      </c>
      <c r="L33" s="200"/>
      <c r="M33" s="200"/>
      <c r="N33" s="187"/>
      <c r="O33" s="187"/>
      <c r="P33" s="187"/>
      <c r="Q33" s="187"/>
      <c r="R33" s="187"/>
      <c r="S33" s="233" t="str">
        <f t="shared" si="2"/>
        <v/>
      </c>
      <c r="T33" s="202"/>
      <c r="U33" s="202"/>
      <c r="V33" s="202"/>
      <c r="W33" s="202"/>
      <c r="X33" s="179"/>
      <c r="Y33" s="179"/>
      <c r="Z33" s="179"/>
      <c r="AA33" s="179"/>
      <c r="AB33" s="238" t="str">
        <f t="shared" si="3"/>
        <v/>
      </c>
      <c r="AC33" s="180"/>
      <c r="AD33" s="277">
        <f>SUMPRODUCT($AD$25:$AD$28,AG20:AG23)</f>
        <v>4.2034766702947479E-5</v>
      </c>
      <c r="AE33" s="283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242" t="str">
        <f t="shared" si="4"/>
        <v/>
      </c>
      <c r="BF33" s="181"/>
      <c r="BG33" s="284"/>
      <c r="BH33" s="284"/>
      <c r="BI33" s="206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2"/>
    </row>
    <row r="34" spans="2:101" ht="18" customHeight="1" x14ac:dyDescent="0.2">
      <c r="B34" s="225" t="str">
        <f t="shared" si="5"/>
        <v/>
      </c>
      <c r="C34" s="266"/>
      <c r="D34" s="267"/>
      <c r="E34" s="210"/>
      <c r="F34" s="177"/>
      <c r="G34" s="177"/>
      <c r="H34" s="177"/>
      <c r="I34" s="177"/>
      <c r="J34" s="177"/>
      <c r="K34" s="285">
        <f>n-2</f>
        <v>3</v>
      </c>
      <c r="L34" s="200"/>
      <c r="M34" s="200"/>
      <c r="N34" s="187"/>
      <c r="O34" s="187"/>
      <c r="P34" s="187"/>
      <c r="Q34" s="187"/>
      <c r="R34" s="187"/>
      <c r="S34" s="233" t="str">
        <f t="shared" si="2"/>
        <v/>
      </c>
      <c r="T34" s="202"/>
      <c r="U34" s="193" t="s">
        <v>51</v>
      </c>
      <c r="V34" s="202"/>
      <c r="W34" s="202"/>
      <c r="X34" s="179"/>
      <c r="Y34" s="179"/>
      <c r="Z34" s="179"/>
      <c r="AA34" s="179"/>
      <c r="AB34" s="238" t="str">
        <f t="shared" si="3"/>
        <v/>
      </c>
      <c r="AC34" s="180"/>
      <c r="AD34" s="194" t="s">
        <v>51</v>
      </c>
      <c r="AE34" s="283"/>
      <c r="AF34" s="204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242" t="str">
        <f t="shared" si="4"/>
        <v/>
      </c>
      <c r="BF34" s="181"/>
      <c r="BG34" s="191" t="s">
        <v>51</v>
      </c>
      <c r="BH34" s="284"/>
      <c r="BI34" s="206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2"/>
    </row>
    <row r="35" spans="2:101" ht="18" customHeight="1" x14ac:dyDescent="0.2">
      <c r="B35" s="225" t="str">
        <f t="shared" si="5"/>
        <v/>
      </c>
      <c r="C35" s="266"/>
      <c r="D35" s="267"/>
      <c r="E35" s="210"/>
      <c r="F35" s="177"/>
      <c r="G35" s="177"/>
      <c r="H35" s="177"/>
      <c r="I35" s="177"/>
      <c r="J35" s="177"/>
      <c r="K35" s="200"/>
      <c r="L35" s="200"/>
      <c r="M35" s="200"/>
      <c r="N35" s="187"/>
      <c r="O35" s="187"/>
      <c r="P35" s="187"/>
      <c r="Q35" s="187"/>
      <c r="R35" s="187"/>
      <c r="S35" s="233" t="str">
        <f t="shared" si="2"/>
        <v/>
      </c>
      <c r="T35" s="202"/>
      <c r="U35" s="286">
        <f>TINV(0.05,df-1)</f>
        <v>4.3026527297494637</v>
      </c>
      <c r="V35" s="202"/>
      <c r="W35" s="202"/>
      <c r="X35" s="179"/>
      <c r="Y35" s="179"/>
      <c r="Z35" s="179"/>
      <c r="AA35" s="179"/>
      <c r="AB35" s="238" t="str">
        <f t="shared" si="3"/>
        <v/>
      </c>
      <c r="AC35" s="180"/>
      <c r="AD35" s="287">
        <f>TINV(0.05,df-2)</f>
        <v>12.706204736174707</v>
      </c>
      <c r="AE35" s="283"/>
      <c r="AF35" s="204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242" t="str">
        <f t="shared" si="4"/>
        <v/>
      </c>
      <c r="BF35" s="181"/>
      <c r="BG35" s="288" t="e">
        <f>TINV(0.05,df-3)</f>
        <v>#NUM!</v>
      </c>
      <c r="BH35" s="284"/>
      <c r="BI35" s="206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2"/>
    </row>
    <row r="36" spans="2:101" ht="18" customHeight="1" x14ac:dyDescent="0.2">
      <c r="B36" s="225" t="str">
        <f t="shared" si="5"/>
        <v/>
      </c>
      <c r="C36" s="266"/>
      <c r="D36" s="267"/>
      <c r="E36" s="210"/>
      <c r="F36" s="177"/>
      <c r="G36" s="177"/>
      <c r="H36" s="177"/>
      <c r="I36" s="177"/>
      <c r="J36" s="177"/>
      <c r="K36" s="178" t="s">
        <v>51</v>
      </c>
      <c r="L36" s="200"/>
      <c r="M36" s="200"/>
      <c r="N36" s="187"/>
      <c r="O36" s="187"/>
      <c r="P36" s="187"/>
      <c r="Q36" s="187"/>
      <c r="R36" s="187"/>
      <c r="S36" s="233" t="str">
        <f t="shared" si="2"/>
        <v/>
      </c>
      <c r="T36" s="202"/>
      <c r="U36" s="202"/>
      <c r="V36" s="202"/>
      <c r="W36" s="202"/>
      <c r="X36" s="179"/>
      <c r="Y36" s="179"/>
      <c r="Z36" s="179"/>
      <c r="AA36" s="179"/>
      <c r="AB36" s="238" t="str">
        <f t="shared" si="3"/>
        <v/>
      </c>
      <c r="AC36" s="180"/>
      <c r="AD36" s="204"/>
      <c r="AE36" s="283"/>
      <c r="AF36" s="289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242" t="str">
        <f t="shared" si="4"/>
        <v/>
      </c>
      <c r="BF36" s="181"/>
      <c r="BG36" s="206"/>
      <c r="BH36" s="284"/>
      <c r="BI36" s="290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2"/>
    </row>
    <row r="37" spans="2:101" ht="18" customHeight="1" x14ac:dyDescent="0.2">
      <c r="B37" s="225" t="str">
        <f t="shared" si="5"/>
        <v/>
      </c>
      <c r="C37" s="266"/>
      <c r="D37" s="267"/>
      <c r="E37" s="210"/>
      <c r="F37" s="177"/>
      <c r="G37" s="177"/>
      <c r="H37" s="177"/>
      <c r="I37" s="177"/>
      <c r="J37" s="177"/>
      <c r="K37" s="259">
        <f>TINV(0.05,df)</f>
        <v>3.1824463052837091</v>
      </c>
      <c r="L37" s="200"/>
      <c r="M37" s="200"/>
      <c r="N37" s="187"/>
      <c r="O37" s="187"/>
      <c r="P37" s="187"/>
      <c r="Q37" s="187"/>
      <c r="R37" s="187"/>
      <c r="S37" s="233" t="str">
        <f t="shared" si="2"/>
        <v/>
      </c>
      <c r="T37" s="202"/>
      <c r="U37" s="193" t="s">
        <v>52</v>
      </c>
      <c r="V37" s="202"/>
      <c r="W37" s="202"/>
      <c r="X37" s="179"/>
      <c r="Y37" s="179"/>
      <c r="Z37" s="179"/>
      <c r="AA37" s="179"/>
      <c r="AB37" s="238" t="str">
        <f t="shared" si="3"/>
        <v/>
      </c>
      <c r="AC37" s="180"/>
      <c r="AD37" s="194" t="s">
        <v>52</v>
      </c>
      <c r="AE37" s="283"/>
      <c r="AF37" s="204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242" t="str">
        <f t="shared" si="4"/>
        <v/>
      </c>
      <c r="BF37" s="181"/>
      <c r="BG37" s="191" t="s">
        <v>52</v>
      </c>
      <c r="BH37" s="284"/>
      <c r="BI37" s="206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2"/>
    </row>
    <row r="38" spans="2:101" ht="18" customHeight="1" x14ac:dyDescent="0.2">
      <c r="B38" s="225" t="str">
        <f t="shared" si="5"/>
        <v/>
      </c>
      <c r="C38" s="266"/>
      <c r="D38" s="267"/>
      <c r="E38" s="210"/>
      <c r="F38" s="177"/>
      <c r="G38" s="177"/>
      <c r="H38" s="177"/>
      <c r="I38" s="177"/>
      <c r="J38" s="177"/>
      <c r="K38" s="200"/>
      <c r="L38" s="200"/>
      <c r="M38" s="200"/>
      <c r="N38" s="187"/>
      <c r="O38" s="187"/>
      <c r="P38" s="187"/>
      <c r="Q38" s="187"/>
      <c r="R38" s="187"/>
      <c r="S38" s="233" t="str">
        <f t="shared" si="2"/>
        <v/>
      </c>
      <c r="T38" s="202"/>
      <c r="U38" s="264">
        <f>SUMPRODUCT(U25:U27,U30:U32)</f>
        <v>18838.022122750321</v>
      </c>
      <c r="V38" s="202"/>
      <c r="W38" s="202"/>
      <c r="X38" s="179"/>
      <c r="Y38" s="179"/>
      <c r="Z38" s="179"/>
      <c r="AA38" s="179"/>
      <c r="AB38" s="238" t="str">
        <f t="shared" si="3"/>
        <v/>
      </c>
      <c r="AC38" s="180"/>
      <c r="AD38" s="265">
        <f>SUMPRODUCT(AD25:AD28,AD30:AD33)</f>
        <v>18838.040663003598</v>
      </c>
      <c r="AE38" s="204"/>
      <c r="AF38" s="204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242" t="str">
        <f t="shared" si="4"/>
        <v/>
      </c>
      <c r="BF38" s="181"/>
      <c r="BG38" s="291">
        <f>SUMPRODUCT(BG26:BG30,BI26:BI30)</f>
        <v>18838.046301372629</v>
      </c>
      <c r="BH38" s="206"/>
      <c r="BI38" s="206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2"/>
    </row>
    <row r="39" spans="2:101" ht="18" customHeight="1" x14ac:dyDescent="0.2">
      <c r="B39" s="225" t="str">
        <f t="shared" si="5"/>
        <v/>
      </c>
      <c r="C39" s="266"/>
      <c r="D39" s="267"/>
      <c r="E39" s="210"/>
      <c r="F39" s="177"/>
      <c r="G39" s="177"/>
      <c r="H39" s="177"/>
      <c r="I39" s="177"/>
      <c r="J39" s="177"/>
      <c r="K39" s="270" t="s">
        <v>52</v>
      </c>
      <c r="L39" s="200"/>
      <c r="M39" s="200"/>
      <c r="N39" s="187"/>
      <c r="O39" s="187"/>
      <c r="P39" s="187"/>
      <c r="Q39" s="187"/>
      <c r="R39" s="187"/>
      <c r="S39" s="233" t="str">
        <f t="shared" si="2"/>
        <v/>
      </c>
      <c r="T39" s="202"/>
      <c r="U39" s="202"/>
      <c r="V39" s="202"/>
      <c r="W39" s="202"/>
      <c r="X39" s="179"/>
      <c r="Y39" s="179"/>
      <c r="Z39" s="179"/>
      <c r="AA39" s="179"/>
      <c r="AB39" s="238" t="str">
        <f t="shared" si="3"/>
        <v/>
      </c>
      <c r="AC39" s="180"/>
      <c r="AD39" s="204"/>
      <c r="AE39" s="204"/>
      <c r="AF39" s="289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242" t="str">
        <f t="shared" si="4"/>
        <v/>
      </c>
      <c r="BF39" s="181"/>
      <c r="BG39" s="206"/>
      <c r="BH39" s="206"/>
      <c r="BI39" s="290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2"/>
    </row>
    <row r="40" spans="2:101" ht="18" customHeight="1" x14ac:dyDescent="0.2">
      <c r="B40" s="225" t="str">
        <f t="shared" si="5"/>
        <v/>
      </c>
      <c r="C40" s="266"/>
      <c r="D40" s="267"/>
      <c r="E40" s="210"/>
      <c r="F40" s="177"/>
      <c r="G40" s="177"/>
      <c r="H40" s="177"/>
      <c r="I40" s="177"/>
      <c r="J40" s="177"/>
      <c r="K40" s="259">
        <f>SUMPRODUCT(K27:K28,K23:K24)</f>
        <v>18838.022120324924</v>
      </c>
      <c r="L40" s="200"/>
      <c r="M40" s="200"/>
      <c r="N40" s="187"/>
      <c r="O40" s="187"/>
      <c r="P40" s="187"/>
      <c r="Q40" s="187"/>
      <c r="R40" s="187"/>
      <c r="S40" s="233" t="str">
        <f t="shared" si="2"/>
        <v/>
      </c>
      <c r="T40" s="202"/>
      <c r="U40" s="193" t="s">
        <v>53</v>
      </c>
      <c r="V40" s="202"/>
      <c r="W40" s="202"/>
      <c r="X40" s="179"/>
      <c r="Y40" s="179"/>
      <c r="Z40" s="179"/>
      <c r="AA40" s="179"/>
      <c r="AB40" s="238" t="str">
        <f t="shared" si="3"/>
        <v/>
      </c>
      <c r="AC40" s="180"/>
      <c r="AD40" s="194" t="s">
        <v>53</v>
      </c>
      <c r="AE40" s="204"/>
      <c r="AF40" s="204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242" t="str">
        <f t="shared" si="4"/>
        <v/>
      </c>
      <c r="BF40" s="181"/>
      <c r="BG40" s="191" t="s">
        <v>53</v>
      </c>
      <c r="BH40" s="206"/>
      <c r="BI40" s="206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2"/>
    </row>
    <row r="41" spans="2:101" ht="18" customHeight="1" x14ac:dyDescent="0.2">
      <c r="B41" s="225" t="str">
        <f t="shared" si="5"/>
        <v/>
      </c>
      <c r="C41" s="266"/>
      <c r="D41" s="267"/>
      <c r="E41" s="210"/>
      <c r="F41" s="177"/>
      <c r="G41" s="177"/>
      <c r="H41" s="177"/>
      <c r="I41" s="177"/>
      <c r="J41" s="177"/>
      <c r="K41" s="200"/>
      <c r="L41" s="200"/>
      <c r="M41" s="200"/>
      <c r="N41" s="187"/>
      <c r="O41" s="187"/>
      <c r="P41" s="187"/>
      <c r="Q41" s="187"/>
      <c r="R41" s="187"/>
      <c r="S41" s="233" t="str">
        <f t="shared" si="2"/>
        <v/>
      </c>
      <c r="T41" s="202"/>
      <c r="U41" s="264">
        <f>U38-SUM(Y)^2/n</f>
        <v>939.44647563332546</v>
      </c>
      <c r="V41" s="202"/>
      <c r="W41" s="202"/>
      <c r="X41" s="179"/>
      <c r="Y41" s="179"/>
      <c r="Z41" s="179"/>
      <c r="AA41" s="179"/>
      <c r="AB41" s="238" t="str">
        <f t="shared" si="3"/>
        <v/>
      </c>
      <c r="AC41" s="180"/>
      <c r="AD41" s="265">
        <f>AD38-SUM(Y)^2/n</f>
        <v>939.46501588660249</v>
      </c>
      <c r="AE41" s="204"/>
      <c r="AF41" s="204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242" t="str">
        <f t="shared" si="4"/>
        <v/>
      </c>
      <c r="BF41" s="181"/>
      <c r="BG41" s="291">
        <f>BG38-SUM(Y)^2/n</f>
        <v>939.47065425563414</v>
      </c>
      <c r="BH41" s="206"/>
      <c r="BI41" s="206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2"/>
    </row>
    <row r="42" spans="2:101" ht="18" customHeight="1" x14ac:dyDescent="0.2">
      <c r="B42" s="225" t="str">
        <f t="shared" si="5"/>
        <v/>
      </c>
      <c r="C42" s="266"/>
      <c r="D42" s="267"/>
      <c r="E42" s="210"/>
      <c r="F42" s="177"/>
      <c r="G42" s="177"/>
      <c r="H42" s="177"/>
      <c r="I42" s="177"/>
      <c r="J42" s="177"/>
      <c r="K42" s="270" t="s">
        <v>53</v>
      </c>
      <c r="L42" s="200"/>
      <c r="M42" s="200"/>
      <c r="N42" s="187"/>
      <c r="O42" s="187"/>
      <c r="P42" s="187"/>
      <c r="Q42" s="187"/>
      <c r="R42" s="187"/>
      <c r="S42" s="233" t="str">
        <f t="shared" si="2"/>
        <v/>
      </c>
      <c r="T42" s="202"/>
      <c r="U42" s="202"/>
      <c r="V42" s="202"/>
      <c r="W42" s="202"/>
      <c r="X42" s="179"/>
      <c r="Y42" s="179"/>
      <c r="Z42" s="179"/>
      <c r="AA42" s="179"/>
      <c r="AB42" s="238" t="str">
        <f t="shared" si="3"/>
        <v/>
      </c>
      <c r="AC42" s="180"/>
      <c r="AD42" s="204"/>
      <c r="AE42" s="204"/>
      <c r="AF42" s="194" t="s">
        <v>48</v>
      </c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242" t="str">
        <f t="shared" si="4"/>
        <v/>
      </c>
      <c r="BF42" s="181"/>
      <c r="BG42" s="206"/>
      <c r="BH42" s="206"/>
      <c r="BI42" s="191" t="s">
        <v>48</v>
      </c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2"/>
    </row>
    <row r="43" spans="2:101" ht="18" customHeight="1" x14ac:dyDescent="0.2">
      <c r="B43" s="225" t="str">
        <f t="shared" si="5"/>
        <v/>
      </c>
      <c r="C43" s="266"/>
      <c r="D43" s="267"/>
      <c r="E43" s="210"/>
      <c r="F43" s="177"/>
      <c r="G43" s="177"/>
      <c r="H43" s="177"/>
      <c r="I43" s="177"/>
      <c r="J43" s="177"/>
      <c r="K43" s="259">
        <f>K40-SUM(Y)^2/n</f>
        <v>939.44647320792865</v>
      </c>
      <c r="L43" s="200"/>
      <c r="M43" s="200"/>
      <c r="N43" s="187"/>
      <c r="O43" s="187"/>
      <c r="P43" s="187"/>
      <c r="Q43" s="187"/>
      <c r="R43" s="187"/>
      <c r="S43" s="233" t="str">
        <f t="shared" si="2"/>
        <v/>
      </c>
      <c r="T43" s="202"/>
      <c r="U43" s="193" t="s">
        <v>54</v>
      </c>
      <c r="V43" s="202"/>
      <c r="W43" s="202"/>
      <c r="X43" s="179"/>
      <c r="Y43" s="179"/>
      <c r="Z43" s="179"/>
      <c r="AA43" s="179"/>
      <c r="AB43" s="238" t="str">
        <f t="shared" si="3"/>
        <v/>
      </c>
      <c r="AC43" s="180"/>
      <c r="AD43" s="194" t="s">
        <v>54</v>
      </c>
      <c r="AE43" s="204"/>
      <c r="AF43" s="292">
        <f>AD30</f>
        <v>-8.1508543412201107</v>
      </c>
      <c r="AG43" s="293">
        <f>AD31</f>
        <v>1.4343826555850683</v>
      </c>
      <c r="AH43" s="293">
        <f>AD32</f>
        <v>-7.4356585673740483E-3</v>
      </c>
      <c r="AI43" s="294">
        <f>AD33</f>
        <v>4.2034766702947479E-5</v>
      </c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242" t="str">
        <f t="shared" si="4"/>
        <v/>
      </c>
      <c r="BF43" s="181"/>
      <c r="BG43" s="191" t="s">
        <v>54</v>
      </c>
      <c r="BH43" s="206"/>
      <c r="BI43" s="295">
        <f>BI26</f>
        <v>25.790317013859749</v>
      </c>
      <c r="BJ43" s="296">
        <f>BI27</f>
        <v>-1.0022106720134616</v>
      </c>
      <c r="BK43" s="296">
        <f>BI28</f>
        <v>5.6743735214695334E-2</v>
      </c>
      <c r="BL43" s="296">
        <f>BI29</f>
        <v>-6.9398044752233545E-4</v>
      </c>
      <c r="BM43" s="297">
        <f>BI30</f>
        <v>3.1051132687309746E-6</v>
      </c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2"/>
    </row>
    <row r="44" spans="2:101" ht="18" customHeight="1" x14ac:dyDescent="0.2">
      <c r="B44" s="225" t="str">
        <f t="shared" si="5"/>
        <v/>
      </c>
      <c r="C44" s="266"/>
      <c r="D44" s="267"/>
      <c r="E44" s="210"/>
      <c r="F44" s="177"/>
      <c r="G44" s="177"/>
      <c r="H44" s="177"/>
      <c r="I44" s="177"/>
      <c r="J44" s="177"/>
      <c r="K44" s="200"/>
      <c r="L44" s="200"/>
      <c r="M44" s="200"/>
      <c r="N44" s="187"/>
      <c r="O44" s="187"/>
      <c r="P44" s="187"/>
      <c r="Q44" s="187"/>
      <c r="R44" s="187"/>
      <c r="S44" s="233" t="str">
        <f t="shared" si="2"/>
        <v/>
      </c>
      <c r="T44" s="202"/>
      <c r="U44" s="264">
        <f>K31-U38</f>
        <v>2.4617698061774718E-2</v>
      </c>
      <c r="V44" s="202"/>
      <c r="W44" s="202"/>
      <c r="X44" s="179"/>
      <c r="Y44" s="179"/>
      <c r="Z44" s="179"/>
      <c r="AA44" s="179"/>
      <c r="AB44" s="238" t="str">
        <f t="shared" si="3"/>
        <v/>
      </c>
      <c r="AC44" s="180"/>
      <c r="AD44" s="265">
        <f>K31-AD38</f>
        <v>6.0774447847506963E-3</v>
      </c>
      <c r="AE44" s="204"/>
      <c r="AF44" s="204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242" t="str">
        <f t="shared" si="4"/>
        <v/>
      </c>
      <c r="BF44" s="181"/>
      <c r="BG44" s="291">
        <f>K31-BG38</f>
        <v>4.3907575309276581E-4</v>
      </c>
      <c r="BH44" s="206"/>
      <c r="BI44" s="206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2"/>
    </row>
    <row r="45" spans="2:101" ht="18" customHeight="1" x14ac:dyDescent="0.2">
      <c r="B45" s="225" t="str">
        <f t="shared" si="5"/>
        <v/>
      </c>
      <c r="C45" s="266"/>
      <c r="D45" s="267"/>
      <c r="E45" s="210"/>
      <c r="F45" s="177"/>
      <c r="G45" s="177"/>
      <c r="H45" s="177"/>
      <c r="I45" s="177"/>
      <c r="J45" s="177"/>
      <c r="K45" s="178" t="s">
        <v>54</v>
      </c>
      <c r="L45" s="200"/>
      <c r="M45" s="200"/>
      <c r="N45" s="187"/>
      <c r="O45" s="187"/>
      <c r="P45" s="187"/>
      <c r="Q45" s="187"/>
      <c r="R45" s="187"/>
      <c r="S45" s="233" t="str">
        <f t="shared" si="2"/>
        <v/>
      </c>
      <c r="T45" s="202"/>
      <c r="U45" s="202"/>
      <c r="V45" s="202"/>
      <c r="W45" s="202"/>
      <c r="X45" s="179"/>
      <c r="Y45" s="179"/>
      <c r="Z45" s="179"/>
      <c r="AA45" s="179"/>
      <c r="AB45" s="238" t="str">
        <f t="shared" si="3"/>
        <v/>
      </c>
      <c r="AC45" s="180"/>
      <c r="AD45" s="204"/>
      <c r="AE45" s="204"/>
      <c r="AF45" s="204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242" t="str">
        <f t="shared" si="4"/>
        <v/>
      </c>
      <c r="BF45" s="181"/>
      <c r="BG45" s="206"/>
      <c r="BH45" s="206"/>
      <c r="BI45" s="206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2"/>
    </row>
    <row r="46" spans="2:101" ht="18" customHeight="1" x14ac:dyDescent="0.2">
      <c r="B46" s="225" t="str">
        <f t="shared" si="5"/>
        <v/>
      </c>
      <c r="C46" s="266"/>
      <c r="D46" s="267"/>
      <c r="E46" s="210"/>
      <c r="F46" s="177"/>
      <c r="G46" s="177"/>
      <c r="H46" s="177"/>
      <c r="I46" s="177"/>
      <c r="J46" s="177"/>
      <c r="K46" s="259">
        <f>K31-K40</f>
        <v>2.462012345858966E-2</v>
      </c>
      <c r="L46" s="200"/>
      <c r="M46" s="200"/>
      <c r="N46" s="187"/>
      <c r="O46" s="187"/>
      <c r="P46" s="187"/>
      <c r="Q46" s="187"/>
      <c r="R46" s="187"/>
      <c r="S46" s="233" t="str">
        <f t="shared" si="2"/>
        <v/>
      </c>
      <c r="T46" s="202"/>
      <c r="U46" s="201" t="s">
        <v>55</v>
      </c>
      <c r="V46" s="179"/>
      <c r="W46" s="179"/>
      <c r="X46" s="179"/>
      <c r="Y46" s="179"/>
      <c r="Z46" s="179"/>
      <c r="AA46" s="179"/>
      <c r="AB46" s="238" t="str">
        <f t="shared" si="3"/>
        <v/>
      </c>
      <c r="AC46" s="180"/>
      <c r="AD46" s="203" t="s">
        <v>55</v>
      </c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242" t="str">
        <f t="shared" si="4"/>
        <v/>
      </c>
      <c r="BF46" s="181"/>
      <c r="BG46" s="205" t="s">
        <v>55</v>
      </c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2"/>
    </row>
    <row r="47" spans="2:101" ht="18" customHeight="1" x14ac:dyDescent="0.2">
      <c r="B47" s="225" t="str">
        <f t="shared" si="5"/>
        <v/>
      </c>
      <c r="C47" s="266"/>
      <c r="D47" s="267"/>
      <c r="E47" s="210"/>
      <c r="F47" s="177"/>
      <c r="G47" s="177"/>
      <c r="H47" s="177"/>
      <c r="I47" s="177"/>
      <c r="J47" s="177"/>
      <c r="K47" s="200"/>
      <c r="L47" s="200"/>
      <c r="M47" s="200"/>
      <c r="N47" s="187"/>
      <c r="O47" s="187"/>
      <c r="P47" s="187"/>
      <c r="Q47" s="187"/>
      <c r="R47" s="187"/>
      <c r="S47" s="233" t="str">
        <f t="shared" si="2"/>
        <v/>
      </c>
      <c r="T47" s="202"/>
      <c r="U47" s="264">
        <f>U44/(df-1)</f>
        <v>1.2308849030887359E-2</v>
      </c>
      <c r="V47" s="179"/>
      <c r="W47" s="179"/>
      <c r="X47" s="179"/>
      <c r="Y47" s="179"/>
      <c r="Z47" s="179"/>
      <c r="AA47" s="179"/>
      <c r="AB47" s="238" t="str">
        <f t="shared" si="3"/>
        <v/>
      </c>
      <c r="AC47" s="180"/>
      <c r="AD47" s="265">
        <f>AD44/(df-2)</f>
        <v>6.0774447847506963E-3</v>
      </c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242" t="str">
        <f t="shared" si="4"/>
        <v/>
      </c>
      <c r="BF47" s="181"/>
      <c r="BG47" s="291" t="e">
        <f>BG44/(df-3)</f>
        <v>#DIV/0!</v>
      </c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2"/>
    </row>
    <row r="48" spans="2:101" ht="18" customHeight="1" x14ac:dyDescent="0.2">
      <c r="B48" s="225" t="str">
        <f t="shared" si="5"/>
        <v/>
      </c>
      <c r="C48" s="266"/>
      <c r="D48" s="267"/>
      <c r="E48" s="210"/>
      <c r="F48" s="177"/>
      <c r="G48" s="177"/>
      <c r="H48" s="177"/>
      <c r="I48" s="177"/>
      <c r="J48" s="177"/>
      <c r="K48" s="298" t="s">
        <v>55</v>
      </c>
      <c r="L48" s="200"/>
      <c r="M48" s="200"/>
      <c r="N48" s="187"/>
      <c r="O48" s="187"/>
      <c r="P48" s="187"/>
      <c r="Q48" s="187"/>
      <c r="R48" s="187"/>
      <c r="S48" s="233" t="str">
        <f t="shared" si="2"/>
        <v/>
      </c>
      <c r="T48" s="202"/>
      <c r="U48" s="179"/>
      <c r="V48" s="179"/>
      <c r="W48" s="179"/>
      <c r="X48" s="179"/>
      <c r="Y48" s="179"/>
      <c r="Z48" s="179"/>
      <c r="AA48" s="179"/>
      <c r="AB48" s="238" t="str">
        <f t="shared" si="3"/>
        <v/>
      </c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242" t="str">
        <f t="shared" si="4"/>
        <v/>
      </c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2"/>
    </row>
    <row r="49" spans="2:101" ht="18" customHeight="1" x14ac:dyDescent="0.2">
      <c r="B49" s="225" t="str">
        <f t="shared" si="5"/>
        <v/>
      </c>
      <c r="C49" s="266"/>
      <c r="D49" s="267"/>
      <c r="E49" s="210"/>
      <c r="F49" s="177"/>
      <c r="G49" s="177"/>
      <c r="H49" s="177"/>
      <c r="I49" s="177"/>
      <c r="J49" s="177"/>
      <c r="K49" s="259">
        <f>K46/df</f>
        <v>8.2067078195298872E-3</v>
      </c>
      <c r="L49" s="200"/>
      <c r="M49" s="200"/>
      <c r="N49" s="187"/>
      <c r="O49" s="187"/>
      <c r="P49" s="187"/>
      <c r="Q49" s="187"/>
      <c r="R49" s="187"/>
      <c r="S49" s="233" t="str">
        <f t="shared" si="2"/>
        <v/>
      </c>
      <c r="T49" s="202"/>
      <c r="U49" s="299" t="s">
        <v>56</v>
      </c>
      <c r="V49" s="202"/>
      <c r="W49" s="202"/>
      <c r="X49" s="179"/>
      <c r="Y49" s="179"/>
      <c r="Z49" s="179"/>
      <c r="AA49" s="179"/>
      <c r="AB49" s="238" t="str">
        <f t="shared" si="3"/>
        <v/>
      </c>
      <c r="AC49" s="180"/>
      <c r="AD49" s="300" t="s">
        <v>56</v>
      </c>
      <c r="AE49" s="204"/>
      <c r="AF49" s="204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242" t="str">
        <f t="shared" si="4"/>
        <v/>
      </c>
      <c r="BF49" s="181"/>
      <c r="BG49" s="301" t="s">
        <v>56</v>
      </c>
      <c r="BH49" s="206"/>
      <c r="BI49" s="206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2"/>
    </row>
    <row r="50" spans="2:101" ht="18" customHeight="1" x14ac:dyDescent="0.2">
      <c r="B50" s="225" t="str">
        <f t="shared" si="5"/>
        <v/>
      </c>
      <c r="C50" s="266"/>
      <c r="D50" s="267"/>
      <c r="E50" s="210"/>
      <c r="F50" s="177"/>
      <c r="G50" s="177"/>
      <c r="H50" s="177"/>
      <c r="I50" s="177"/>
      <c r="J50" s="177"/>
      <c r="K50" s="200"/>
      <c r="L50" s="200"/>
      <c r="M50" s="200"/>
      <c r="N50" s="187"/>
      <c r="O50" s="187"/>
      <c r="P50" s="187"/>
      <c r="Q50" s="187"/>
      <c r="R50" s="187"/>
      <c r="S50" s="233" t="str">
        <f t="shared" si="2"/>
        <v/>
      </c>
      <c r="T50" s="202"/>
      <c r="U50" s="264">
        <f>FINV(0.05,df,df-1)</f>
        <v>19.164292127511288</v>
      </c>
      <c r="V50" s="202"/>
      <c r="W50" s="202"/>
      <c r="X50" s="179"/>
      <c r="Y50" s="179"/>
      <c r="Z50" s="179"/>
      <c r="AA50" s="179"/>
      <c r="AB50" s="238" t="str">
        <f t="shared" si="3"/>
        <v/>
      </c>
      <c r="AC50" s="180"/>
      <c r="AD50" s="265">
        <f>FINV(0.05,df-1,df-2)</f>
        <v>199.49999999999994</v>
      </c>
      <c r="AE50" s="204"/>
      <c r="AF50" s="204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242" t="str">
        <f t="shared" si="4"/>
        <v/>
      </c>
      <c r="BF50" s="181"/>
      <c r="BG50" s="291" t="e">
        <f>FINV(0.05,df-2,df-3)</f>
        <v>#NUM!</v>
      </c>
      <c r="BH50" s="206"/>
      <c r="BI50" s="206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2"/>
    </row>
    <row r="51" spans="2:101" ht="18" customHeight="1" x14ac:dyDescent="0.2">
      <c r="B51" s="225" t="str">
        <f t="shared" si="5"/>
        <v/>
      </c>
      <c r="C51" s="266"/>
      <c r="D51" s="267"/>
      <c r="E51" s="210"/>
      <c r="F51" s="177"/>
      <c r="G51" s="177"/>
      <c r="H51" s="177"/>
      <c r="I51" s="177"/>
      <c r="J51" s="177"/>
      <c r="K51" s="178" t="s">
        <v>57</v>
      </c>
      <c r="L51" s="200"/>
      <c r="M51" s="200"/>
      <c r="N51" s="187"/>
      <c r="O51" s="187"/>
      <c r="P51" s="187"/>
      <c r="Q51" s="187"/>
      <c r="R51" s="187"/>
      <c r="S51" s="233" t="str">
        <f t="shared" si="2"/>
        <v/>
      </c>
      <c r="T51" s="202"/>
      <c r="U51" s="202"/>
      <c r="V51" s="202"/>
      <c r="W51" s="202"/>
      <c r="X51" s="179"/>
      <c r="Y51" s="179"/>
      <c r="Z51" s="179"/>
      <c r="AA51" s="179"/>
      <c r="AB51" s="238" t="str">
        <f t="shared" si="3"/>
        <v/>
      </c>
      <c r="AC51" s="180"/>
      <c r="AD51" s="204"/>
      <c r="AE51" s="204"/>
      <c r="AF51" s="204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242" t="str">
        <f t="shared" si="4"/>
        <v/>
      </c>
      <c r="BF51" s="181"/>
      <c r="BG51" s="206"/>
      <c r="BH51" s="206"/>
      <c r="BI51" s="206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2"/>
    </row>
    <row r="52" spans="2:101" ht="18" customHeight="1" x14ac:dyDescent="0.2">
      <c r="B52" s="225" t="str">
        <f t="shared" si="5"/>
        <v/>
      </c>
      <c r="C52" s="302"/>
      <c r="D52" s="303"/>
      <c r="F52" s="177"/>
      <c r="G52" s="177"/>
      <c r="H52" s="177"/>
      <c r="I52" s="177"/>
      <c r="J52" s="177"/>
      <c r="K52" s="211">
        <f>$K$49*K19</f>
        <v>3.3217965532949791E-2</v>
      </c>
      <c r="L52" s="212">
        <f>$K$49*L19</f>
        <v>-5.2980912699737942E-4</v>
      </c>
      <c r="M52" s="200"/>
      <c r="N52" s="187"/>
      <c r="O52" s="187"/>
      <c r="P52" s="187"/>
      <c r="Q52" s="187"/>
      <c r="R52" s="187"/>
      <c r="S52" s="233" t="str">
        <f t="shared" si="2"/>
        <v/>
      </c>
      <c r="T52" s="202"/>
      <c r="U52" s="193" t="s">
        <v>58</v>
      </c>
      <c r="V52" s="202"/>
      <c r="W52" s="202"/>
      <c r="X52" s="179"/>
      <c r="Y52" s="179"/>
      <c r="Z52" s="179"/>
      <c r="AA52" s="179"/>
      <c r="AB52" s="238" t="str">
        <f t="shared" si="3"/>
        <v/>
      </c>
      <c r="AC52" s="180"/>
      <c r="AD52" s="194" t="s">
        <v>58</v>
      </c>
      <c r="AE52" s="204"/>
      <c r="AF52" s="204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242" t="str">
        <f t="shared" si="4"/>
        <v/>
      </c>
      <c r="BF52" s="181"/>
      <c r="BG52" s="191" t="s">
        <v>58</v>
      </c>
      <c r="BH52" s="206"/>
      <c r="BI52" s="206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2"/>
    </row>
    <row r="53" spans="2:101" ht="18" customHeight="1" x14ac:dyDescent="0.2">
      <c r="B53" s="225" t="str">
        <f t="shared" si="5"/>
        <v/>
      </c>
      <c r="C53" s="302"/>
      <c r="D53" s="303"/>
      <c r="F53" s="177"/>
      <c r="G53" s="177"/>
      <c r="H53" s="177"/>
      <c r="I53" s="177"/>
      <c r="J53" s="177"/>
      <c r="K53" s="231">
        <f>$K$49*K20</f>
        <v>-5.2980912699737942E-4</v>
      </c>
      <c r="L53" s="232">
        <f>$K$49*L20</f>
        <v>8.8894148825063668E-6</v>
      </c>
      <c r="M53" s="200"/>
      <c r="N53" s="200"/>
      <c r="O53" s="187"/>
      <c r="P53" s="187"/>
      <c r="Q53" s="187"/>
      <c r="R53" s="187"/>
      <c r="S53" s="233" t="str">
        <f t="shared" si="2"/>
        <v/>
      </c>
      <c r="T53" s="202"/>
      <c r="U53" s="264">
        <f>K49/U47</f>
        <v>0.66673234832406225</v>
      </c>
      <c r="V53" s="202"/>
      <c r="W53" s="202"/>
      <c r="X53" s="179"/>
      <c r="Y53" s="179"/>
      <c r="Z53" s="179"/>
      <c r="AA53" s="179"/>
      <c r="AB53" s="238" t="str">
        <f t="shared" si="3"/>
        <v/>
      </c>
      <c r="AC53" s="180"/>
      <c r="AD53" s="265">
        <f>U47/AD47</f>
        <v>2.0253329263924003</v>
      </c>
      <c r="AE53" s="204"/>
      <c r="AF53" s="204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242" t="str">
        <f t="shared" si="4"/>
        <v/>
      </c>
      <c r="BF53" s="181"/>
      <c r="BG53" s="291" t="e">
        <f>AD47/BG47</f>
        <v>#DIV/0!</v>
      </c>
      <c r="BH53" s="206"/>
      <c r="BI53" s="206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2"/>
    </row>
    <row r="54" spans="2:101" ht="18" customHeight="1" x14ac:dyDescent="0.2">
      <c r="B54" s="225" t="str">
        <f t="shared" si="5"/>
        <v/>
      </c>
      <c r="C54" s="302"/>
      <c r="D54" s="303"/>
      <c r="F54" s="177"/>
      <c r="G54" s="177"/>
      <c r="H54" s="177"/>
      <c r="I54" s="177"/>
      <c r="J54" s="177"/>
      <c r="K54" s="200"/>
      <c r="L54" s="200"/>
      <c r="M54" s="200"/>
      <c r="N54" s="187"/>
      <c r="O54" s="187"/>
      <c r="P54" s="187"/>
      <c r="Q54" s="187"/>
      <c r="R54" s="187"/>
      <c r="S54" s="233" t="str">
        <f t="shared" si="2"/>
        <v/>
      </c>
      <c r="T54" s="202"/>
      <c r="U54" s="202"/>
      <c r="V54" s="202"/>
      <c r="W54" s="202"/>
      <c r="X54" s="179"/>
      <c r="Y54" s="179"/>
      <c r="Z54" s="179"/>
      <c r="AA54" s="179"/>
      <c r="AB54" s="238" t="str">
        <f t="shared" si="3"/>
        <v/>
      </c>
      <c r="AC54" s="180"/>
      <c r="AD54" s="204"/>
      <c r="AE54" s="204"/>
      <c r="AF54" s="204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242" t="str">
        <f t="shared" si="4"/>
        <v/>
      </c>
      <c r="BF54" s="181"/>
      <c r="BG54" s="206"/>
      <c r="BH54" s="206"/>
      <c r="BI54" s="206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2"/>
    </row>
    <row r="55" spans="2:101" ht="18" customHeight="1" x14ac:dyDescent="0.3">
      <c r="B55" s="225" t="str">
        <f t="shared" si="5"/>
        <v/>
      </c>
      <c r="C55" s="302"/>
      <c r="D55" s="303"/>
      <c r="F55" s="177"/>
      <c r="G55" s="177"/>
      <c r="H55" s="177"/>
      <c r="I55" s="177"/>
      <c r="J55" s="177"/>
      <c r="K55" s="298" t="s">
        <v>59</v>
      </c>
      <c r="L55" s="273"/>
      <c r="M55" s="200"/>
      <c r="N55" s="187"/>
      <c r="O55" s="187"/>
      <c r="P55" s="187"/>
      <c r="Q55" s="187"/>
      <c r="R55" s="187"/>
      <c r="S55" s="233" t="str">
        <f t="shared" si="2"/>
        <v/>
      </c>
      <c r="T55" s="202"/>
      <c r="U55" s="299" t="s">
        <v>60</v>
      </c>
      <c r="V55" s="202"/>
      <c r="W55" s="202"/>
      <c r="X55" s="179"/>
      <c r="Y55" s="179"/>
      <c r="Z55" s="179"/>
      <c r="AA55" s="179"/>
      <c r="AB55" s="238" t="str">
        <f t="shared" si="3"/>
        <v/>
      </c>
      <c r="AC55" s="180"/>
      <c r="AD55" s="300" t="s">
        <v>60</v>
      </c>
      <c r="AE55" s="204"/>
      <c r="AF55" s="204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242" t="str">
        <f t="shared" si="4"/>
        <v/>
      </c>
      <c r="BF55" s="181"/>
      <c r="BG55" s="301" t="s">
        <v>60</v>
      </c>
      <c r="BH55" s="206"/>
      <c r="BI55" s="206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2"/>
    </row>
    <row r="56" spans="2:101" ht="18" customHeight="1" x14ac:dyDescent="0.2">
      <c r="B56" s="225" t="str">
        <f t="shared" si="5"/>
        <v/>
      </c>
      <c r="C56" s="302"/>
      <c r="D56" s="303"/>
      <c r="F56" s="177"/>
      <c r="G56" s="177"/>
      <c r="H56" s="177"/>
      <c r="I56" s="177"/>
      <c r="J56" s="177"/>
      <c r="K56" s="285">
        <f>COUNT(X)</f>
        <v>5</v>
      </c>
      <c r="L56" s="200"/>
      <c r="M56" s="200"/>
      <c r="N56" s="187"/>
      <c r="O56" s="187"/>
      <c r="P56" s="187"/>
      <c r="Q56" s="187"/>
      <c r="R56" s="187"/>
      <c r="S56" s="233" t="str">
        <f t="shared" si="2"/>
        <v/>
      </c>
      <c r="T56" s="202"/>
      <c r="U56" s="304" t="str">
        <f>IF(U53&gt;U50,"Q","L")</f>
        <v>L</v>
      </c>
      <c r="V56" s="202"/>
      <c r="W56" s="202"/>
      <c r="X56" s="202"/>
      <c r="Y56" s="179"/>
      <c r="Z56" s="179"/>
      <c r="AA56" s="179"/>
      <c r="AB56" s="238" t="str">
        <f t="shared" si="3"/>
        <v/>
      </c>
      <c r="AC56" s="180"/>
      <c r="AD56" s="305" t="str">
        <f>IF(AD53&gt;AD50,"Cubic","Quadratic")</f>
        <v>Quadratic</v>
      </c>
      <c r="AE56" s="204"/>
      <c r="AF56" s="204"/>
      <c r="AG56" s="204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242" t="str">
        <f t="shared" si="4"/>
        <v/>
      </c>
      <c r="BF56" s="181"/>
      <c r="BG56" s="306" t="e">
        <f>IF(BG53&gt;BG50,"Quartic","Cubic")</f>
        <v>#DIV/0!</v>
      </c>
      <c r="BH56" s="206"/>
      <c r="BI56" s="206"/>
      <c r="BJ56" s="206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2"/>
    </row>
    <row r="57" spans="2:101" ht="18" customHeight="1" x14ac:dyDescent="0.2">
      <c r="B57" s="225" t="str">
        <f t="shared" si="5"/>
        <v/>
      </c>
      <c r="C57" s="302"/>
      <c r="D57" s="303"/>
      <c r="F57" s="177"/>
      <c r="G57" s="177"/>
      <c r="H57" s="177"/>
      <c r="I57" s="177"/>
      <c r="J57" s="177"/>
      <c r="K57" s="200"/>
      <c r="L57" s="200"/>
      <c r="M57" s="200"/>
      <c r="N57" s="187"/>
      <c r="O57" s="187"/>
      <c r="P57" s="187"/>
      <c r="Q57" s="187"/>
      <c r="R57" s="187"/>
      <c r="S57" s="233" t="str">
        <f t="shared" si="2"/>
        <v/>
      </c>
      <c r="T57" s="202"/>
      <c r="U57" s="202"/>
      <c r="V57" s="202"/>
      <c r="W57" s="202"/>
      <c r="X57" s="179"/>
      <c r="Y57" s="202"/>
      <c r="Z57" s="179"/>
      <c r="AA57" s="179"/>
      <c r="AB57" s="238" t="str">
        <f t="shared" si="3"/>
        <v/>
      </c>
      <c r="AC57" s="180"/>
      <c r="AD57" s="204"/>
      <c r="AE57" s="204"/>
      <c r="AF57" s="204"/>
      <c r="AG57" s="180"/>
      <c r="AH57" s="204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242" t="str">
        <f t="shared" si="4"/>
        <v/>
      </c>
      <c r="BF57" s="181"/>
      <c r="BG57" s="206"/>
      <c r="BH57" s="206"/>
      <c r="BI57" s="206"/>
      <c r="BJ57" s="181"/>
      <c r="BK57" s="206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2"/>
    </row>
    <row r="58" spans="2:101" ht="18" customHeight="1" x14ac:dyDescent="0.2">
      <c r="B58" s="225" t="str">
        <f t="shared" si="5"/>
        <v/>
      </c>
      <c r="C58" s="302"/>
      <c r="D58" s="303"/>
      <c r="F58" s="177"/>
      <c r="G58" s="177"/>
      <c r="H58" s="177"/>
      <c r="I58" s="177"/>
      <c r="J58" s="177"/>
      <c r="K58" s="200"/>
      <c r="L58" s="200"/>
      <c r="M58" s="200"/>
      <c r="N58" s="187"/>
      <c r="O58" s="187"/>
      <c r="P58" s="187"/>
      <c r="Q58" s="187"/>
      <c r="R58" s="187"/>
      <c r="S58" s="233" t="str">
        <f t="shared" si="2"/>
        <v/>
      </c>
      <c r="T58" s="202"/>
      <c r="U58" s="193" t="s">
        <v>57</v>
      </c>
      <c r="V58" s="202"/>
      <c r="W58" s="202"/>
      <c r="X58" s="179"/>
      <c r="Y58" s="179"/>
      <c r="Z58" s="179"/>
      <c r="AA58" s="179"/>
      <c r="AB58" s="238" t="str">
        <f t="shared" si="3"/>
        <v/>
      </c>
      <c r="AC58" s="180"/>
      <c r="AD58" s="194" t="s">
        <v>57</v>
      </c>
      <c r="AE58" s="204"/>
      <c r="AF58" s="204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242" t="str">
        <f t="shared" si="4"/>
        <v/>
      </c>
      <c r="BF58" s="181"/>
      <c r="BG58" s="191" t="s">
        <v>57</v>
      </c>
      <c r="BH58" s="206"/>
      <c r="BI58" s="206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2"/>
    </row>
    <row r="59" spans="2:101" ht="18" customHeight="1" x14ac:dyDescent="0.2">
      <c r="B59" s="225" t="str">
        <f t="shared" si="5"/>
        <v/>
      </c>
      <c r="C59" s="302"/>
      <c r="D59" s="303"/>
      <c r="F59" s="177"/>
      <c r="G59" s="177"/>
      <c r="H59" s="177"/>
      <c r="I59" s="177"/>
      <c r="J59" s="177"/>
      <c r="K59" s="200"/>
      <c r="L59" s="200"/>
      <c r="M59" s="200"/>
      <c r="N59" s="187"/>
      <c r="O59" s="187"/>
      <c r="P59" s="187"/>
      <c r="Q59" s="187"/>
      <c r="R59" s="187"/>
      <c r="S59" s="233" t="str">
        <f t="shared" si="2"/>
        <v/>
      </c>
      <c r="T59" s="202"/>
      <c r="U59" s="214">
        <f t="shared" ref="U59:W61" si="7">$U$47*U20</f>
        <v>1.2598399463748515</v>
      </c>
      <c r="V59" s="215">
        <f t="shared" si="7"/>
        <v>-4.4092831290104974E-2</v>
      </c>
      <c r="W59" s="216">
        <f t="shared" si="7"/>
        <v>3.6677225656218764E-4</v>
      </c>
      <c r="X59" s="179"/>
      <c r="Y59" s="179"/>
      <c r="Z59" s="179"/>
      <c r="AA59" s="179"/>
      <c r="AB59" s="238" t="str">
        <f t="shared" si="3"/>
        <v/>
      </c>
      <c r="AC59" s="180"/>
      <c r="AD59" s="218">
        <f t="shared" ref="AD59:AG62" si="8">$U$47*AD20</f>
        <v>42.109305645778441</v>
      </c>
      <c r="AE59" s="219">
        <f t="shared" si="8"/>
        <v>-2.2577438772611251</v>
      </c>
      <c r="AF59" s="219">
        <f t="shared" si="8"/>
        <v>3.9065408194305637E-2</v>
      </c>
      <c r="AG59" s="220">
        <f t="shared" si="8"/>
        <v>-2.1890654193723705E-4</v>
      </c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242" t="str">
        <f t="shared" si="4"/>
        <v/>
      </c>
      <c r="BF59" s="181"/>
      <c r="BG59" s="222" t="e">
        <f t="shared" ref="BG59:BK63" si="9">$BG$47*BG19</f>
        <v>#DIV/0!</v>
      </c>
      <c r="BH59" s="223" t="e">
        <f t="shared" si="9"/>
        <v>#DIV/0!</v>
      </c>
      <c r="BI59" s="223" t="e">
        <f t="shared" si="9"/>
        <v>#DIV/0!</v>
      </c>
      <c r="BJ59" s="223" t="e">
        <f t="shared" si="9"/>
        <v>#DIV/0!</v>
      </c>
      <c r="BK59" s="224" t="e">
        <f t="shared" si="9"/>
        <v>#DIV/0!</v>
      </c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2"/>
    </row>
    <row r="60" spans="2:101" ht="18" customHeight="1" x14ac:dyDescent="0.2">
      <c r="B60" s="225" t="str">
        <f t="shared" si="5"/>
        <v/>
      </c>
      <c r="C60" s="302"/>
      <c r="D60" s="303"/>
      <c r="F60" s="177"/>
      <c r="G60" s="177"/>
      <c r="H60" s="177"/>
      <c r="I60" s="177"/>
      <c r="J60" s="177"/>
      <c r="K60" s="187"/>
      <c r="L60" s="187"/>
      <c r="M60" s="187"/>
      <c r="N60" s="187"/>
      <c r="O60" s="187"/>
      <c r="P60" s="187"/>
      <c r="Q60" s="187"/>
      <c r="R60" s="187"/>
      <c r="S60" s="233" t="str">
        <f t="shared" si="2"/>
        <v/>
      </c>
      <c r="T60" s="202"/>
      <c r="U60" s="235">
        <f t="shared" si="7"/>
        <v>-4.4092831290104974E-2</v>
      </c>
      <c r="V60" s="236">
        <f t="shared" si="7"/>
        <v>1.5626766299525893E-3</v>
      </c>
      <c r="W60" s="237">
        <f t="shared" si="7"/>
        <v>-1.3124249586563199E-5</v>
      </c>
      <c r="X60" s="179"/>
      <c r="Y60" s="179"/>
      <c r="Z60" s="179"/>
      <c r="AA60" s="179"/>
      <c r="AB60" s="238" t="str">
        <f t="shared" si="3"/>
        <v/>
      </c>
      <c r="AC60" s="180"/>
      <c r="AD60" s="239">
        <f t="shared" si="8"/>
        <v>-2.2577438772615119</v>
      </c>
      <c r="AE60" s="240">
        <f t="shared" si="8"/>
        <v>0.12152142931936634</v>
      </c>
      <c r="AF60" s="240">
        <f t="shared" si="8"/>
        <v>-2.1102208567155786E-3</v>
      </c>
      <c r="AG60" s="241">
        <f t="shared" si="8"/>
        <v>1.1862644644980571E-5</v>
      </c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242" t="str">
        <f t="shared" si="4"/>
        <v/>
      </c>
      <c r="BF60" s="181"/>
      <c r="BG60" s="243" t="e">
        <f t="shared" si="9"/>
        <v>#DIV/0!</v>
      </c>
      <c r="BH60" s="244" t="e">
        <f t="shared" si="9"/>
        <v>#DIV/0!</v>
      </c>
      <c r="BI60" s="244" t="e">
        <f t="shared" si="9"/>
        <v>#DIV/0!</v>
      </c>
      <c r="BJ60" s="244" t="e">
        <f t="shared" si="9"/>
        <v>#DIV/0!</v>
      </c>
      <c r="BK60" s="245" t="e">
        <f t="shared" si="9"/>
        <v>#DIV/0!</v>
      </c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2"/>
    </row>
    <row r="61" spans="2:101" ht="18" customHeight="1" thickBot="1" x14ac:dyDescent="0.25">
      <c r="B61" s="307" t="str">
        <f t="shared" si="5"/>
        <v/>
      </c>
      <c r="C61" s="308"/>
      <c r="D61" s="309"/>
      <c r="F61" s="177"/>
      <c r="G61" s="177"/>
      <c r="H61" s="177"/>
      <c r="I61" s="177"/>
      <c r="J61" s="177"/>
      <c r="K61" s="187"/>
      <c r="L61" s="187"/>
      <c r="M61" s="187"/>
      <c r="N61" s="187"/>
      <c r="O61" s="187"/>
      <c r="P61" s="187"/>
      <c r="Q61" s="187"/>
      <c r="R61" s="187"/>
      <c r="S61" s="276" t="str">
        <f t="shared" si="2"/>
        <v/>
      </c>
      <c r="T61" s="202"/>
      <c r="U61" s="246">
        <f t="shared" si="7"/>
        <v>3.6677225656218764E-4</v>
      </c>
      <c r="V61" s="247">
        <f t="shared" si="7"/>
        <v>-1.3124249586563199E-5</v>
      </c>
      <c r="W61" s="248">
        <f t="shared" si="7"/>
        <v>1.1117346895658824E-7</v>
      </c>
      <c r="X61" s="179"/>
      <c r="Y61" s="179"/>
      <c r="Z61" s="179"/>
      <c r="AA61" s="179"/>
      <c r="AB61" s="277" t="str">
        <f t="shared" si="3"/>
        <v/>
      </c>
      <c r="AC61" s="180"/>
      <c r="AD61" s="239">
        <f t="shared" si="8"/>
        <v>3.9065408194319057E-2</v>
      </c>
      <c r="AE61" s="240">
        <f t="shared" si="8"/>
        <v>-2.110220856715939E-3</v>
      </c>
      <c r="AF61" s="240">
        <f t="shared" si="8"/>
        <v>3.6772226381195534E-5</v>
      </c>
      <c r="AG61" s="241">
        <f t="shared" si="8"/>
        <v>-2.0738054772026297E-7</v>
      </c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282" t="str">
        <f t="shared" si="4"/>
        <v/>
      </c>
      <c r="BF61" s="181"/>
      <c r="BG61" s="243" t="e">
        <f t="shared" si="9"/>
        <v>#DIV/0!</v>
      </c>
      <c r="BH61" s="244" t="e">
        <f t="shared" si="9"/>
        <v>#DIV/0!</v>
      </c>
      <c r="BI61" s="244" t="e">
        <f t="shared" si="9"/>
        <v>#DIV/0!</v>
      </c>
      <c r="BJ61" s="244" t="e">
        <f t="shared" si="9"/>
        <v>#DIV/0!</v>
      </c>
      <c r="BK61" s="245" t="e">
        <f t="shared" si="9"/>
        <v>#DIV/0!</v>
      </c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2"/>
    </row>
    <row r="62" spans="2:101" ht="18" customHeight="1" thickTop="1" thickBot="1" x14ac:dyDescent="0.25">
      <c r="K62" s="178"/>
      <c r="L62" s="178"/>
      <c r="M62" s="178"/>
      <c r="N62" s="178"/>
      <c r="O62" s="178"/>
      <c r="P62" s="178"/>
      <c r="Q62" s="178"/>
      <c r="R62" s="178"/>
      <c r="S62" s="179"/>
      <c r="T62" s="179"/>
      <c r="U62" s="179"/>
      <c r="V62" s="179"/>
      <c r="W62" s="179"/>
      <c r="X62" s="179"/>
      <c r="Y62" s="179"/>
      <c r="Z62" s="179"/>
      <c r="AA62" s="179"/>
      <c r="AB62" s="180"/>
      <c r="AC62" s="180"/>
      <c r="AD62" s="255">
        <f t="shared" si="8"/>
        <v>-2.189065419373475E-4</v>
      </c>
      <c r="AE62" s="256">
        <f t="shared" si="8"/>
        <v>1.186264464498448E-5</v>
      </c>
      <c r="AF62" s="256">
        <f t="shared" si="8"/>
        <v>-2.073805477202958E-7</v>
      </c>
      <c r="AG62" s="257">
        <f t="shared" si="8"/>
        <v>1.1730893729570344E-9</v>
      </c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1"/>
      <c r="BF62" s="181"/>
      <c r="BG62" s="243" t="e">
        <f t="shared" si="9"/>
        <v>#DIV/0!</v>
      </c>
      <c r="BH62" s="244" t="e">
        <f t="shared" si="9"/>
        <v>#DIV/0!</v>
      </c>
      <c r="BI62" s="244" t="e">
        <f t="shared" si="9"/>
        <v>#DIV/0!</v>
      </c>
      <c r="BJ62" s="244" t="e">
        <f t="shared" si="9"/>
        <v>#DIV/0!</v>
      </c>
      <c r="BK62" s="245" t="e">
        <f t="shared" si="9"/>
        <v>#DIV/0!</v>
      </c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2"/>
    </row>
    <row r="63" spans="2:101" ht="18" customHeight="1" thickTop="1" thickBot="1" x14ac:dyDescent="0.3">
      <c r="B63" s="310" t="s">
        <v>24</v>
      </c>
      <c r="C63" s="177"/>
      <c r="D63" s="311" t="s">
        <v>25</v>
      </c>
      <c r="E63" s="177"/>
      <c r="F63" s="177"/>
      <c r="G63" s="177"/>
      <c r="H63" s="177"/>
      <c r="I63" s="177"/>
      <c r="J63" s="177"/>
      <c r="K63" s="178"/>
      <c r="L63" s="178"/>
      <c r="M63" s="178"/>
      <c r="N63" s="178"/>
      <c r="O63" s="178"/>
      <c r="P63" s="178"/>
      <c r="Q63" s="178"/>
      <c r="R63" s="178"/>
      <c r="S63" s="179"/>
      <c r="T63" s="179"/>
      <c r="U63" s="179"/>
      <c r="V63" s="179"/>
      <c r="W63" s="179"/>
      <c r="X63" s="179"/>
      <c r="Y63" s="179"/>
      <c r="Z63" s="179"/>
      <c r="AA63" s="179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1"/>
      <c r="BF63" s="181"/>
      <c r="BG63" s="260" t="e">
        <f t="shared" si="9"/>
        <v>#DIV/0!</v>
      </c>
      <c r="BH63" s="261" t="e">
        <f t="shared" si="9"/>
        <v>#DIV/0!</v>
      </c>
      <c r="BI63" s="261" t="e">
        <f t="shared" si="9"/>
        <v>#DIV/0!</v>
      </c>
      <c r="BJ63" s="261" t="e">
        <f t="shared" si="9"/>
        <v>#DIV/0!</v>
      </c>
      <c r="BK63" s="262" t="e">
        <f t="shared" si="9"/>
        <v>#DIV/0!</v>
      </c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2"/>
    </row>
    <row r="64" spans="2:101" ht="18" customHeight="1" thickTop="1" x14ac:dyDescent="0.2">
      <c r="B64" s="177"/>
      <c r="C64" s="177"/>
      <c r="D64" s="177"/>
      <c r="E64" s="177"/>
      <c r="F64" s="177"/>
      <c r="G64" s="177"/>
      <c r="H64" s="177"/>
      <c r="I64" s="177"/>
      <c r="J64" s="177"/>
      <c r="K64" s="178"/>
      <c r="L64" s="178"/>
      <c r="M64" s="178"/>
      <c r="N64" s="178"/>
      <c r="O64" s="178"/>
      <c r="P64" s="178"/>
      <c r="Q64" s="178"/>
      <c r="R64" s="178"/>
      <c r="S64" s="179"/>
      <c r="T64" s="179"/>
      <c r="U64" s="179"/>
      <c r="V64" s="179"/>
      <c r="W64" s="179"/>
      <c r="X64" s="179"/>
      <c r="Y64" s="179"/>
      <c r="Z64" s="179"/>
      <c r="AA64" s="179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2"/>
    </row>
    <row r="65" spans="2:100" ht="18" customHeight="1" x14ac:dyDescent="0.35">
      <c r="B65" s="312" t="s">
        <v>61</v>
      </c>
      <c r="C65" s="177"/>
      <c r="D65" s="177"/>
      <c r="E65" s="177"/>
      <c r="F65" s="177"/>
      <c r="G65" s="177"/>
      <c r="H65" s="177"/>
      <c r="I65" s="177"/>
      <c r="J65" s="177"/>
      <c r="K65" s="178"/>
      <c r="L65" s="178"/>
      <c r="M65" s="178"/>
      <c r="N65" s="178"/>
      <c r="O65" s="178"/>
      <c r="P65" s="178"/>
      <c r="Q65" s="178"/>
      <c r="R65" s="178"/>
      <c r="S65" s="179"/>
      <c r="T65" s="179"/>
      <c r="U65" s="179"/>
      <c r="V65" s="179"/>
      <c r="W65" s="179"/>
      <c r="X65" s="179"/>
      <c r="Y65" s="179"/>
      <c r="Z65" s="179"/>
      <c r="AA65" s="179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</row>
    <row r="66" spans="2:100" ht="18" customHeight="1" x14ac:dyDescent="0.2">
      <c r="B66" s="312" t="s">
        <v>62</v>
      </c>
      <c r="C66" s="177"/>
      <c r="D66" s="177"/>
      <c r="E66" s="177"/>
      <c r="F66" s="177"/>
      <c r="G66" s="177"/>
      <c r="H66" s="177"/>
      <c r="I66" s="177"/>
      <c r="J66" s="177"/>
      <c r="K66" s="178"/>
      <c r="L66" s="178"/>
      <c r="M66" s="178"/>
      <c r="N66" s="178"/>
      <c r="O66" s="178"/>
      <c r="P66" s="178"/>
      <c r="Q66" s="178"/>
      <c r="R66" s="178"/>
      <c r="S66" s="179"/>
      <c r="T66" s="179"/>
      <c r="U66" s="179"/>
      <c r="V66" s="179"/>
      <c r="W66" s="179"/>
      <c r="X66" s="179"/>
      <c r="Y66" s="179"/>
      <c r="Z66" s="179"/>
      <c r="AA66" s="179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</row>
    <row r="67" spans="2:100" ht="18" customHeight="1" x14ac:dyDescent="0.25">
      <c r="B67" s="312" t="s">
        <v>63</v>
      </c>
      <c r="C67" s="177"/>
      <c r="D67" s="177"/>
      <c r="E67" s="177"/>
      <c r="F67" s="177"/>
      <c r="G67" s="177"/>
      <c r="H67" s="177"/>
      <c r="I67" s="177"/>
      <c r="J67" s="177"/>
      <c r="K67" s="178"/>
      <c r="L67" s="178"/>
      <c r="M67" s="178"/>
      <c r="N67" s="178"/>
      <c r="O67" s="178"/>
      <c r="P67" s="178"/>
      <c r="Q67" s="178"/>
      <c r="R67" s="178"/>
      <c r="S67" s="179"/>
      <c r="T67" s="179"/>
      <c r="U67" s="179"/>
      <c r="V67" s="179"/>
      <c r="W67" s="179"/>
      <c r="X67" s="179"/>
      <c r="Y67" s="179"/>
      <c r="Z67" s="179"/>
      <c r="AA67" s="179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</row>
    <row r="68" spans="2:100" ht="18" customHeight="1" x14ac:dyDescent="0.2">
      <c r="B68" s="312"/>
      <c r="C68" s="177"/>
      <c r="D68" s="177"/>
      <c r="E68" s="177"/>
      <c r="F68" s="177"/>
      <c r="G68" s="176" t="s">
        <v>64</v>
      </c>
      <c r="H68" s="177"/>
      <c r="I68" s="177"/>
      <c r="J68" s="177"/>
      <c r="K68" s="178"/>
      <c r="L68" s="178"/>
      <c r="M68" s="178"/>
      <c r="N68" s="178"/>
      <c r="O68" s="178"/>
      <c r="P68" s="178"/>
      <c r="Q68" s="178"/>
      <c r="R68" s="178"/>
      <c r="S68" s="179"/>
      <c r="T68" s="179"/>
      <c r="U68" s="179"/>
      <c r="V68" s="179"/>
      <c r="W68" s="179"/>
      <c r="X68" s="179"/>
      <c r="Y68" s="179"/>
      <c r="Z68" s="179"/>
      <c r="AA68" s="179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</row>
    <row r="69" spans="2:100" ht="18" customHeight="1" x14ac:dyDescent="0.2">
      <c r="B69" s="313" t="s">
        <v>65</v>
      </c>
      <c r="C69" s="314"/>
      <c r="D69" s="315" t="s">
        <v>66</v>
      </c>
      <c r="E69" s="316"/>
      <c r="G69" s="176" t="s">
        <v>67</v>
      </c>
      <c r="K69" s="178"/>
      <c r="L69" s="178"/>
      <c r="M69" s="178"/>
      <c r="N69" s="178"/>
      <c r="O69" s="178"/>
      <c r="P69" s="178"/>
      <c r="Q69" s="178"/>
      <c r="R69" s="178"/>
      <c r="S69" s="179"/>
      <c r="T69" s="179"/>
      <c r="U69" s="179"/>
      <c r="V69" s="179"/>
      <c r="W69" s="179"/>
      <c r="X69" s="179"/>
      <c r="Y69" s="179"/>
      <c r="Z69" s="179"/>
      <c r="AA69" s="179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</row>
    <row r="70" spans="2:100" ht="18" customHeight="1" x14ac:dyDescent="0.2">
      <c r="B70" s="317" t="s">
        <v>68</v>
      </c>
      <c r="C70" s="318" t="s">
        <v>69</v>
      </c>
      <c r="D70" s="319" t="s">
        <v>70</v>
      </c>
      <c r="E70" s="320" t="s">
        <v>71</v>
      </c>
      <c r="G70" s="176" t="s">
        <v>72</v>
      </c>
      <c r="K70" s="178"/>
      <c r="L70" s="178"/>
      <c r="M70" s="178"/>
      <c r="N70" s="178"/>
      <c r="O70" s="178"/>
      <c r="P70" s="178"/>
      <c r="Q70" s="178"/>
      <c r="R70" s="178"/>
      <c r="S70" s="179"/>
      <c r="T70" s="179"/>
      <c r="U70" s="179"/>
      <c r="V70" s="179"/>
      <c r="W70" s="179"/>
      <c r="X70" s="179"/>
      <c r="Y70" s="179"/>
      <c r="Z70" s="179"/>
      <c r="AA70" s="179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</row>
    <row r="71" spans="2:100" ht="18" customHeight="1" x14ac:dyDescent="0.35">
      <c r="B71" s="321" t="s">
        <v>73</v>
      </c>
      <c r="C71" s="322">
        <f>K27</f>
        <v>-0.29141266433271085</v>
      </c>
      <c r="D71" s="323">
        <f>$C71-t*SQRT($K$52)</f>
        <v>-0.8714388492721068</v>
      </c>
      <c r="E71" s="324">
        <f>$C71+t*SQRT($K$52)</f>
        <v>0.2886135206066851</v>
      </c>
      <c r="K71" s="178"/>
      <c r="L71" s="178"/>
      <c r="M71" s="178"/>
      <c r="N71" s="178"/>
      <c r="O71" s="178"/>
      <c r="P71" s="178"/>
      <c r="Q71" s="178"/>
      <c r="R71" s="178"/>
      <c r="S71" s="179"/>
      <c r="T71" s="179"/>
      <c r="U71" s="179"/>
      <c r="V71" s="179"/>
      <c r="W71" s="179"/>
      <c r="X71" s="179"/>
      <c r="Y71" s="179"/>
      <c r="Z71" s="179"/>
      <c r="AA71" s="179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</row>
    <row r="72" spans="2:100" ht="18" customHeight="1" x14ac:dyDescent="0.35">
      <c r="B72" s="321" t="s">
        <v>74</v>
      </c>
      <c r="C72" s="322">
        <f>K28</f>
        <v>1.0087606255080317</v>
      </c>
      <c r="D72" s="323">
        <f>$C72-t*SQRT($L$53)</f>
        <v>0.99927212308502167</v>
      </c>
      <c r="E72" s="324">
        <f>$C72+t*SQRT($L$53)</f>
        <v>1.0182491279310417</v>
      </c>
      <c r="G72" s="176" t="s">
        <v>75</v>
      </c>
      <c r="K72" s="178"/>
      <c r="L72" s="178"/>
      <c r="M72" s="178"/>
      <c r="N72" s="178"/>
      <c r="O72" s="178"/>
      <c r="P72" s="178"/>
      <c r="Q72" s="178"/>
      <c r="R72" s="178"/>
      <c r="S72" s="179"/>
      <c r="T72" s="179"/>
      <c r="U72" s="179"/>
      <c r="V72" s="179"/>
      <c r="W72" s="179"/>
      <c r="X72" s="179"/>
      <c r="Y72" s="179"/>
      <c r="Z72" s="179"/>
      <c r="AA72" s="179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</row>
    <row r="73" spans="2:100" ht="18" customHeight="1" x14ac:dyDescent="0.25">
      <c r="B73" s="321" t="s">
        <v>76</v>
      </c>
      <c r="C73" s="322">
        <f>K49</f>
        <v>8.2067078195298872E-3</v>
      </c>
      <c r="D73" s="323">
        <f>df*C73/CHIINV(0.025,df)</f>
        <v>2.6336179416503289E-3</v>
      </c>
      <c r="E73" s="324">
        <f>df*C73/CHIINV(0.975,df)</f>
        <v>0.11409018380396756</v>
      </c>
      <c r="G73" s="176" t="s">
        <v>77</v>
      </c>
      <c r="K73" s="178"/>
      <c r="L73" s="178"/>
      <c r="M73" s="178"/>
      <c r="N73" s="178"/>
      <c r="O73" s="178"/>
      <c r="P73" s="178"/>
      <c r="Q73" s="178"/>
      <c r="R73" s="178"/>
      <c r="S73" s="179"/>
      <c r="T73" s="179"/>
      <c r="U73" s="179"/>
      <c r="V73" s="179"/>
      <c r="W73" s="179"/>
      <c r="X73" s="179"/>
      <c r="Y73" s="179"/>
      <c r="Z73" s="179"/>
      <c r="AA73" s="179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</row>
    <row r="74" spans="2:100" ht="18" customHeight="1" x14ac:dyDescent="0.25">
      <c r="B74" s="325" t="s">
        <v>78</v>
      </c>
      <c r="C74" s="326">
        <f>SQRT(C73)</f>
        <v>9.0590881547371466E-2</v>
      </c>
      <c r="D74" s="327">
        <f>SQRT(D73)</f>
        <v>5.1318787414068243E-2</v>
      </c>
      <c r="E74" s="328">
        <f>SQRT(E73)</f>
        <v>0.33777238460828551</v>
      </c>
      <c r="G74" s="176" t="s">
        <v>79</v>
      </c>
      <c r="K74" s="178"/>
      <c r="L74" s="178"/>
      <c r="M74" s="178"/>
      <c r="N74" s="178"/>
      <c r="O74" s="178"/>
      <c r="P74" s="178"/>
      <c r="Q74" s="178"/>
      <c r="R74" s="178"/>
      <c r="S74" s="179"/>
      <c r="T74" s="179"/>
      <c r="U74" s="179"/>
      <c r="V74" s="179"/>
      <c r="W74" s="179"/>
      <c r="X74" s="179"/>
      <c r="Y74" s="179"/>
      <c r="Z74" s="179"/>
      <c r="AA74" s="179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</row>
    <row r="75" spans="2:100" ht="18" customHeight="1" x14ac:dyDescent="0.25">
      <c r="B75" s="329" t="s">
        <v>80</v>
      </c>
      <c r="C75" s="330">
        <f>K34</f>
        <v>3</v>
      </c>
      <c r="G75" s="176" t="s">
        <v>81</v>
      </c>
      <c r="K75" s="178"/>
      <c r="L75" s="178"/>
      <c r="M75" s="178"/>
      <c r="N75" s="178"/>
      <c r="O75" s="178"/>
      <c r="P75" s="178"/>
      <c r="Q75" s="178"/>
      <c r="R75" s="178"/>
      <c r="S75" s="179"/>
      <c r="T75" s="179"/>
      <c r="U75" s="179"/>
      <c r="V75" s="179"/>
      <c r="W75" s="179"/>
      <c r="X75" s="179"/>
      <c r="Y75" s="179"/>
      <c r="Z75" s="179"/>
      <c r="AA75" s="179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</row>
    <row r="76" spans="2:100" ht="18" customHeight="1" x14ac:dyDescent="0.25">
      <c r="B76" s="325" t="s">
        <v>82</v>
      </c>
      <c r="C76" s="328">
        <f>t</f>
        <v>3.1824463052837091</v>
      </c>
      <c r="G76" s="176" t="s">
        <v>83</v>
      </c>
      <c r="K76" s="178"/>
      <c r="L76" s="178"/>
      <c r="M76" s="178"/>
      <c r="N76" s="178"/>
      <c r="O76" s="178"/>
      <c r="P76" s="178"/>
      <c r="Q76" s="178"/>
      <c r="R76" s="178"/>
      <c r="S76" s="179"/>
      <c r="T76" s="179"/>
      <c r="U76" s="179"/>
      <c r="V76" s="179"/>
      <c r="W76" s="179"/>
      <c r="X76" s="179"/>
      <c r="Y76" s="179"/>
      <c r="Z76" s="179"/>
      <c r="AA76" s="179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</row>
    <row r="77" spans="2:100" ht="18" customHeight="1" x14ac:dyDescent="0.2">
      <c r="K77" s="178"/>
      <c r="L77" s="178"/>
      <c r="M77" s="178"/>
      <c r="N77" s="178"/>
      <c r="O77" s="178"/>
      <c r="P77" s="178"/>
      <c r="Q77" s="178"/>
      <c r="R77" s="178"/>
      <c r="S77" s="179"/>
      <c r="T77" s="179"/>
      <c r="U77" s="179"/>
      <c r="V77" s="179"/>
      <c r="W77" s="179"/>
      <c r="X77" s="179"/>
      <c r="Y77" s="179"/>
      <c r="Z77" s="179"/>
      <c r="AA77" s="179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</row>
    <row r="78" spans="2:100" ht="18" customHeight="1" x14ac:dyDescent="0.2">
      <c r="B78" s="331" t="s">
        <v>84</v>
      </c>
      <c r="C78" s="332"/>
      <c r="D78" s="333" t="s">
        <v>66</v>
      </c>
      <c r="E78" s="334"/>
      <c r="G78" s="176" t="s">
        <v>85</v>
      </c>
      <c r="K78" s="178"/>
      <c r="L78" s="178"/>
      <c r="M78" s="178"/>
      <c r="N78" s="178"/>
      <c r="O78" s="178"/>
      <c r="P78" s="178"/>
      <c r="Q78" s="178"/>
      <c r="R78" s="178"/>
      <c r="S78" s="179"/>
      <c r="T78" s="179"/>
      <c r="U78" s="179"/>
      <c r="V78" s="179"/>
      <c r="W78" s="179"/>
      <c r="X78" s="179"/>
      <c r="Y78" s="179"/>
      <c r="Z78" s="179"/>
      <c r="AA78" s="179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</row>
    <row r="79" spans="2:100" ht="18" customHeight="1" x14ac:dyDescent="0.2">
      <c r="B79" s="335" t="s">
        <v>68</v>
      </c>
      <c r="C79" s="336" t="s">
        <v>69</v>
      </c>
      <c r="D79" s="337" t="s">
        <v>70</v>
      </c>
      <c r="E79" s="338" t="s">
        <v>71</v>
      </c>
      <c r="G79" s="176" t="s">
        <v>86</v>
      </c>
      <c r="K79" s="178"/>
      <c r="L79" s="178"/>
      <c r="M79" s="178"/>
      <c r="N79" s="178"/>
      <c r="O79" s="178"/>
      <c r="P79" s="178"/>
      <c r="Q79" s="178"/>
      <c r="R79" s="178"/>
      <c r="S79" s="179"/>
      <c r="T79" s="179"/>
      <c r="U79" s="179"/>
      <c r="V79" s="179"/>
      <c r="W79" s="179"/>
      <c r="X79" s="179"/>
      <c r="Y79" s="179"/>
      <c r="Z79" s="179"/>
      <c r="AA79" s="179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</row>
    <row r="80" spans="2:100" ht="18" customHeight="1" x14ac:dyDescent="0.35">
      <c r="B80" s="339" t="s">
        <v>73</v>
      </c>
      <c r="C80" s="340">
        <f>U30</f>
        <v>-0.30687788708746666</v>
      </c>
      <c r="D80" s="341">
        <f>$C80-$C$86*$U$59</f>
        <v>-5.7275316714046394</v>
      </c>
      <c r="E80" s="342">
        <f>$C80+$C$86*$U$59</f>
        <v>5.113775897229706</v>
      </c>
      <c r="G80" s="176" t="s">
        <v>87</v>
      </c>
      <c r="K80" s="178"/>
      <c r="L80" s="178"/>
      <c r="M80" s="178"/>
      <c r="N80" s="178"/>
      <c r="O80" s="178"/>
      <c r="P80" s="178"/>
      <c r="Q80" s="178"/>
      <c r="R80" s="178"/>
      <c r="S80" s="179"/>
      <c r="T80" s="179"/>
      <c r="U80" s="179"/>
      <c r="V80" s="179"/>
      <c r="W80" s="179"/>
      <c r="X80" s="179"/>
      <c r="Y80" s="179"/>
      <c r="Z80" s="179"/>
      <c r="AA80" s="179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</row>
    <row r="81" spans="2:100" ht="18" customHeight="1" x14ac:dyDescent="0.35">
      <c r="B81" s="339" t="s">
        <v>74</v>
      </c>
      <c r="C81" s="340">
        <f>U31</f>
        <v>1.0093140191729617</v>
      </c>
      <c r="D81" s="341">
        <f>$C81-$C$86*$V$60</f>
        <v>1.0025903643053804</v>
      </c>
      <c r="E81" s="342">
        <f>$C81+$C$86*$V$60</f>
        <v>1.016037674040543</v>
      </c>
      <c r="G81" s="176" t="s">
        <v>88</v>
      </c>
      <c r="K81" s="178"/>
      <c r="L81" s="178"/>
      <c r="M81" s="178"/>
      <c r="N81" s="178"/>
      <c r="O81" s="178"/>
      <c r="P81" s="178"/>
      <c r="Q81" s="178"/>
      <c r="R81" s="178"/>
      <c r="S81" s="179"/>
      <c r="T81" s="179"/>
      <c r="U81" s="179"/>
      <c r="V81" s="179"/>
      <c r="W81" s="179"/>
      <c r="X81" s="179"/>
      <c r="Y81" s="179"/>
      <c r="Z81" s="179"/>
      <c r="AA81" s="179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</row>
    <row r="82" spans="2:100" ht="18" customHeight="1" x14ac:dyDescent="0.35">
      <c r="B82" s="339" t="s">
        <v>89</v>
      </c>
      <c r="C82" s="340">
        <f>U32</f>
        <v>-4.6877113302201678E-6</v>
      </c>
      <c r="D82" s="341">
        <f>$C82-$C$86*$W$61</f>
        <v>-5.1660521599019497E-6</v>
      </c>
      <c r="E82" s="342">
        <f>$C82+$C$86*$W$61</f>
        <v>-4.209370500538386E-6</v>
      </c>
      <c r="G82" s="176" t="s">
        <v>90</v>
      </c>
      <c r="K82" s="178"/>
      <c r="L82" s="178"/>
      <c r="M82" s="178"/>
      <c r="N82" s="178"/>
      <c r="O82" s="178"/>
      <c r="P82" s="178"/>
      <c r="Q82" s="178"/>
      <c r="R82" s="178"/>
      <c r="S82" s="179"/>
      <c r="T82" s="179"/>
      <c r="U82" s="179"/>
      <c r="V82" s="179"/>
      <c r="W82" s="179"/>
      <c r="X82" s="179"/>
      <c r="Y82" s="179"/>
      <c r="Z82" s="179"/>
      <c r="AA82" s="179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</row>
    <row r="83" spans="2:100" ht="18" customHeight="1" x14ac:dyDescent="0.25">
      <c r="B83" s="339" t="s">
        <v>76</v>
      </c>
      <c r="C83" s="340">
        <f>U47</f>
        <v>1.2308849030887359E-2</v>
      </c>
      <c r="D83" s="341">
        <f>(df-1)*C83/CHIINV(0.024,df-1)</f>
        <v>3.3002236775264765E-3</v>
      </c>
      <c r="E83" s="342">
        <f>(df-1)*C83/CHIINV(0.975,df-1)</f>
        <v>0.48617356757445968</v>
      </c>
      <c r="K83" s="178"/>
      <c r="L83" s="178"/>
      <c r="M83" s="178"/>
      <c r="N83" s="178"/>
      <c r="O83" s="178"/>
      <c r="P83" s="178"/>
      <c r="Q83" s="178"/>
      <c r="R83" s="178"/>
      <c r="S83" s="179"/>
      <c r="T83" s="179"/>
      <c r="U83" s="179"/>
      <c r="V83" s="179"/>
      <c r="W83" s="179"/>
      <c r="X83" s="179"/>
      <c r="Y83" s="179"/>
      <c r="Z83" s="179"/>
      <c r="AA83" s="179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</row>
    <row r="84" spans="2:100" ht="18" customHeight="1" x14ac:dyDescent="0.25">
      <c r="B84" s="343" t="s">
        <v>78</v>
      </c>
      <c r="C84" s="344">
        <f>SQRT(C83)</f>
        <v>0.11094525240354974</v>
      </c>
      <c r="D84" s="345">
        <f>SQRT(D83)</f>
        <v>5.744757329536624E-2</v>
      </c>
      <c r="E84" s="346">
        <f>SQRT(E83)</f>
        <v>0.69726147719091702</v>
      </c>
      <c r="G84" s="176" t="s">
        <v>91</v>
      </c>
      <c r="K84" s="178"/>
      <c r="L84" s="178"/>
      <c r="M84" s="178"/>
      <c r="N84" s="178"/>
      <c r="O84" s="178"/>
      <c r="P84" s="178"/>
      <c r="Q84" s="178"/>
      <c r="R84" s="178"/>
      <c r="S84" s="179"/>
      <c r="T84" s="179"/>
      <c r="U84" s="179"/>
      <c r="V84" s="179"/>
      <c r="W84" s="179"/>
      <c r="X84" s="179"/>
      <c r="Y84" s="179"/>
      <c r="Z84" s="179"/>
      <c r="AA84" s="179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</row>
    <row r="85" spans="2:100" ht="18" customHeight="1" x14ac:dyDescent="0.25">
      <c r="B85" s="347" t="s">
        <v>80</v>
      </c>
      <c r="C85" s="348">
        <f>df-1</f>
        <v>2</v>
      </c>
      <c r="G85" s="176" t="s">
        <v>92</v>
      </c>
      <c r="K85" s="178"/>
      <c r="L85" s="178"/>
      <c r="M85" s="178"/>
      <c r="N85" s="178"/>
      <c r="O85" s="178"/>
      <c r="P85" s="178"/>
      <c r="Q85" s="178"/>
      <c r="R85" s="178"/>
      <c r="S85" s="179"/>
      <c r="T85" s="179"/>
      <c r="U85" s="179"/>
      <c r="V85" s="179"/>
      <c r="W85" s="179"/>
      <c r="X85" s="179"/>
      <c r="Y85" s="179"/>
      <c r="Z85" s="179"/>
      <c r="AA85" s="179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</row>
    <row r="86" spans="2:100" ht="18" customHeight="1" x14ac:dyDescent="0.25">
      <c r="B86" s="343" t="s">
        <v>82</v>
      </c>
      <c r="C86" s="346">
        <f>U35</f>
        <v>4.3026527297494637</v>
      </c>
      <c r="G86" s="176" t="s">
        <v>93</v>
      </c>
      <c r="K86" s="178"/>
      <c r="L86" s="178"/>
      <c r="M86" s="178"/>
      <c r="N86" s="178"/>
      <c r="O86" s="178"/>
      <c r="P86" s="178"/>
      <c r="Q86" s="178"/>
      <c r="R86" s="178"/>
      <c r="S86" s="179"/>
      <c r="T86" s="179"/>
      <c r="U86" s="179"/>
      <c r="V86" s="179"/>
      <c r="W86" s="179"/>
      <c r="X86" s="179"/>
      <c r="Y86" s="179"/>
      <c r="Z86" s="179"/>
      <c r="AA86" s="179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</row>
    <row r="87" spans="2:100" ht="18" customHeight="1" x14ac:dyDescent="0.2">
      <c r="G87" s="176" t="s">
        <v>94</v>
      </c>
      <c r="K87" s="178"/>
      <c r="L87" s="178"/>
      <c r="M87" s="178"/>
      <c r="N87" s="178"/>
      <c r="O87" s="178"/>
      <c r="P87" s="178"/>
      <c r="Q87" s="178"/>
      <c r="R87" s="178"/>
      <c r="S87" s="179"/>
      <c r="T87" s="179"/>
      <c r="U87" s="179"/>
      <c r="V87" s="179"/>
      <c r="W87" s="179"/>
      <c r="X87" s="179"/>
      <c r="Y87" s="179"/>
      <c r="Z87" s="179"/>
      <c r="AA87" s="179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</row>
    <row r="88" spans="2:100" ht="18" customHeight="1" x14ac:dyDescent="0.2">
      <c r="B88" s="176" t="s">
        <v>95</v>
      </c>
      <c r="K88" s="178"/>
      <c r="L88" s="178"/>
      <c r="M88" s="178"/>
      <c r="N88" s="178"/>
      <c r="O88" s="178"/>
      <c r="P88" s="178"/>
      <c r="Q88" s="178"/>
      <c r="R88" s="178"/>
      <c r="S88" s="179"/>
      <c r="T88" s="179"/>
      <c r="U88" s="179"/>
      <c r="V88" s="179"/>
      <c r="W88" s="179"/>
      <c r="X88" s="179"/>
      <c r="Y88" s="179"/>
      <c r="Z88" s="179"/>
      <c r="AA88" s="179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</row>
    <row r="89" spans="2:100" ht="18" customHeight="1" x14ac:dyDescent="0.2">
      <c r="B89" s="349" t="s">
        <v>96</v>
      </c>
      <c r="C89" s="350">
        <f>U53</f>
        <v>0.66673234832406225</v>
      </c>
      <c r="K89" s="178"/>
      <c r="L89" s="178"/>
      <c r="M89" s="178"/>
      <c r="N89" s="178"/>
      <c r="O89" s="178"/>
      <c r="P89" s="178"/>
      <c r="Q89" s="178"/>
      <c r="R89" s="178"/>
      <c r="S89" s="179"/>
      <c r="T89" s="179"/>
      <c r="U89" s="179"/>
      <c r="V89" s="179"/>
      <c r="W89" s="179"/>
      <c r="X89" s="179"/>
      <c r="Y89" s="179"/>
      <c r="Z89" s="179"/>
      <c r="AA89" s="179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</row>
    <row r="90" spans="2:100" ht="18" customHeight="1" x14ac:dyDescent="0.2">
      <c r="B90" s="349" t="s">
        <v>97</v>
      </c>
      <c r="C90" s="351">
        <f>U50</f>
        <v>19.164292127511288</v>
      </c>
      <c r="D90" s="312" t="s">
        <v>98</v>
      </c>
      <c r="K90" s="178"/>
      <c r="L90" s="178"/>
      <c r="M90" s="178"/>
      <c r="N90" s="178"/>
      <c r="O90" s="178"/>
      <c r="P90" s="178"/>
      <c r="Q90" s="178"/>
      <c r="R90" s="178"/>
      <c r="S90" s="179"/>
      <c r="T90" s="179"/>
      <c r="U90" s="179"/>
      <c r="V90" s="179"/>
      <c r="W90" s="179"/>
      <c r="X90" s="179"/>
      <c r="Y90" s="179"/>
      <c r="Z90" s="179"/>
      <c r="AA90" s="179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</row>
    <row r="91" spans="2:100" ht="18" customHeight="1" x14ac:dyDescent="0.2">
      <c r="B91" s="352" t="str">
        <f>B152</f>
        <v>The overall uncertainties of fit are not significantly different at the 5% level.</v>
      </c>
      <c r="K91" s="178"/>
      <c r="L91" s="178"/>
      <c r="M91" s="178"/>
      <c r="N91" s="178"/>
      <c r="O91" s="178"/>
      <c r="P91" s="178"/>
      <c r="Q91" s="178"/>
      <c r="R91" s="178"/>
      <c r="S91" s="179"/>
      <c r="T91" s="179"/>
      <c r="U91" s="179"/>
      <c r="V91" s="179"/>
      <c r="W91" s="179"/>
      <c r="X91" s="179"/>
      <c r="Y91" s="179"/>
      <c r="Z91" s="179"/>
      <c r="AA91" s="179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</row>
    <row r="92" spans="2:100" ht="18" customHeight="1" x14ac:dyDescent="0.2">
      <c r="B92" s="352" t="str">
        <f>B153</f>
        <v>The linear model appears to be the better choice.</v>
      </c>
      <c r="K92" s="178"/>
      <c r="L92" s="178"/>
      <c r="M92" s="178"/>
      <c r="N92" s="178"/>
      <c r="O92" s="178"/>
      <c r="P92" s="178"/>
      <c r="Q92" s="178"/>
      <c r="R92" s="178"/>
      <c r="S92" s="179"/>
      <c r="T92" s="179"/>
      <c r="U92" s="179"/>
      <c r="V92" s="179"/>
      <c r="W92" s="179"/>
      <c r="X92" s="179"/>
      <c r="Y92" s="179"/>
      <c r="Z92" s="179"/>
      <c r="AA92" s="179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</row>
    <row r="93" spans="2:100" ht="18" customHeight="1" x14ac:dyDescent="0.2">
      <c r="B93" s="349"/>
      <c r="K93" s="178"/>
      <c r="L93" s="178"/>
      <c r="M93" s="178"/>
      <c r="N93" s="178"/>
      <c r="O93" s="178"/>
      <c r="P93" s="178"/>
      <c r="Q93" s="178"/>
      <c r="R93" s="178"/>
      <c r="S93" s="179"/>
      <c r="T93" s="179"/>
      <c r="U93" s="179"/>
      <c r="V93" s="179"/>
      <c r="W93" s="179"/>
      <c r="X93" s="179"/>
      <c r="Y93" s="179"/>
      <c r="Z93" s="179"/>
      <c r="AA93" s="179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</row>
    <row r="94" spans="2:100" ht="18" hidden="1" customHeight="1" x14ac:dyDescent="0.2">
      <c r="B94" s="176" t="s">
        <v>99</v>
      </c>
      <c r="K94" s="178"/>
      <c r="L94" s="178"/>
      <c r="M94" s="178"/>
      <c r="N94" s="178"/>
      <c r="O94" s="178"/>
      <c r="P94" s="178"/>
      <c r="Q94" s="178"/>
      <c r="R94" s="178"/>
      <c r="S94" s="179"/>
      <c r="T94" s="179"/>
      <c r="U94" s="179"/>
      <c r="V94" s="179"/>
      <c r="W94" s="179"/>
      <c r="X94" s="179"/>
      <c r="Y94" s="179"/>
      <c r="Z94" s="179"/>
      <c r="AA94" s="179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</row>
    <row r="95" spans="2:100" ht="18" hidden="1" customHeight="1" x14ac:dyDescent="0.2">
      <c r="B95" s="312" t="s">
        <v>100</v>
      </c>
      <c r="K95" s="178"/>
      <c r="L95" s="178"/>
      <c r="M95" s="178"/>
      <c r="N95" s="178"/>
      <c r="O95" s="178"/>
      <c r="P95" s="178"/>
      <c r="Q95" s="178"/>
      <c r="R95" s="178"/>
      <c r="S95" s="179"/>
      <c r="T95" s="179"/>
      <c r="U95" s="179"/>
      <c r="V95" s="179"/>
      <c r="W95" s="179"/>
      <c r="X95" s="179"/>
      <c r="Y95" s="179"/>
      <c r="Z95" s="179"/>
      <c r="AA95" s="179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</row>
    <row r="96" spans="2:100" ht="18" hidden="1" customHeight="1" x14ac:dyDescent="0.25">
      <c r="B96" s="312" t="s">
        <v>101</v>
      </c>
      <c r="K96" s="178"/>
      <c r="L96" s="178"/>
      <c r="M96" s="178"/>
      <c r="N96" s="178"/>
      <c r="O96" s="178"/>
      <c r="P96" s="178"/>
      <c r="Q96" s="178"/>
      <c r="R96" s="178"/>
      <c r="S96" s="179"/>
      <c r="T96" s="179"/>
      <c r="U96" s="179"/>
      <c r="V96" s="179"/>
      <c r="W96" s="179"/>
      <c r="X96" s="179"/>
      <c r="Y96" s="179"/>
      <c r="Z96" s="179"/>
      <c r="AA96" s="179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</row>
    <row r="97" spans="2:100" ht="18" hidden="1" customHeight="1" x14ac:dyDescent="0.2">
      <c r="K97" s="178"/>
      <c r="L97" s="178"/>
      <c r="M97" s="178"/>
      <c r="N97" s="178"/>
      <c r="O97" s="178"/>
      <c r="P97" s="178"/>
      <c r="Q97" s="178"/>
      <c r="R97" s="178"/>
      <c r="S97" s="179"/>
      <c r="T97" s="179"/>
      <c r="U97" s="179"/>
      <c r="V97" s="179"/>
      <c r="W97" s="179"/>
      <c r="X97" s="179"/>
      <c r="Y97" s="179"/>
      <c r="Z97" s="179"/>
      <c r="AA97" s="179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</row>
    <row r="98" spans="2:100" ht="18" hidden="1" customHeight="1" x14ac:dyDescent="0.2">
      <c r="B98" s="353" t="s">
        <v>102</v>
      </c>
      <c r="C98" s="354"/>
      <c r="D98" s="355" t="s">
        <v>66</v>
      </c>
      <c r="E98" s="356"/>
      <c r="G98" s="176" t="s">
        <v>103</v>
      </c>
      <c r="K98" s="178"/>
      <c r="L98" s="178"/>
      <c r="M98" s="178"/>
      <c r="N98" s="178"/>
      <c r="O98" s="178"/>
      <c r="P98" s="178"/>
      <c r="Q98" s="178"/>
      <c r="R98" s="178"/>
      <c r="S98" s="179"/>
      <c r="T98" s="179"/>
      <c r="U98" s="179"/>
      <c r="V98" s="179"/>
      <c r="W98" s="179"/>
      <c r="X98" s="179"/>
      <c r="Y98" s="179"/>
      <c r="Z98" s="179"/>
      <c r="AA98" s="179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</row>
    <row r="99" spans="2:100" ht="18" hidden="1" customHeight="1" x14ac:dyDescent="0.2">
      <c r="B99" s="357" t="s">
        <v>68</v>
      </c>
      <c r="C99" s="358" t="s">
        <v>69</v>
      </c>
      <c r="D99" s="359" t="s">
        <v>70</v>
      </c>
      <c r="E99" s="360" t="s">
        <v>71</v>
      </c>
      <c r="G99" s="176" t="s">
        <v>104</v>
      </c>
      <c r="K99" s="178"/>
      <c r="L99" s="178"/>
      <c r="M99" s="178"/>
      <c r="N99" s="178"/>
      <c r="O99" s="178"/>
      <c r="P99" s="178"/>
      <c r="Q99" s="178"/>
      <c r="R99" s="178"/>
      <c r="S99" s="179"/>
      <c r="T99" s="179"/>
      <c r="U99" s="179"/>
      <c r="V99" s="179"/>
      <c r="W99" s="179"/>
      <c r="X99" s="179"/>
      <c r="Y99" s="179"/>
      <c r="Z99" s="179"/>
      <c r="AA99" s="179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</row>
    <row r="100" spans="2:100" ht="18" hidden="1" customHeight="1" x14ac:dyDescent="0.35">
      <c r="B100" s="361" t="s">
        <v>73</v>
      </c>
      <c r="C100" s="362">
        <f>AD30</f>
        <v>-8.1508543412201107</v>
      </c>
      <c r="D100" s="363">
        <f>C100-AD35*SQRT(AD59)</f>
        <v>-90.603555739760679</v>
      </c>
      <c r="E100" s="364">
        <f>2*C100-D100</f>
        <v>74.301847057320458</v>
      </c>
      <c r="K100" s="178"/>
      <c r="L100" s="178"/>
      <c r="M100" s="178"/>
      <c r="N100" s="178"/>
      <c r="O100" s="178"/>
      <c r="P100" s="178"/>
      <c r="Q100" s="178"/>
      <c r="R100" s="178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</row>
    <row r="101" spans="2:100" ht="18" hidden="1" customHeight="1" x14ac:dyDescent="0.35">
      <c r="B101" s="361" t="s">
        <v>74</v>
      </c>
      <c r="C101" s="362">
        <f>AD31</f>
        <v>1.4343826555850683</v>
      </c>
      <c r="D101" s="363">
        <f>C101-AD35*SQRT(AE60)</f>
        <v>-2.9949906439822351</v>
      </c>
      <c r="E101" s="364">
        <f>2*C101-D101</f>
        <v>5.8637559551523717</v>
      </c>
      <c r="K101" s="178"/>
      <c r="L101" s="178"/>
      <c r="M101" s="178"/>
      <c r="N101" s="178"/>
      <c r="O101" s="178"/>
      <c r="P101" s="178"/>
      <c r="Q101" s="178"/>
      <c r="R101" s="178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1"/>
      <c r="CL101" s="181"/>
      <c r="CM101" s="181"/>
      <c r="CN101" s="181"/>
      <c r="CO101" s="181"/>
      <c r="CP101" s="181"/>
      <c r="CQ101" s="181"/>
      <c r="CR101" s="181"/>
      <c r="CS101" s="181"/>
      <c r="CT101" s="181"/>
      <c r="CU101" s="181"/>
      <c r="CV101" s="181"/>
    </row>
    <row r="102" spans="2:100" ht="18" hidden="1" customHeight="1" x14ac:dyDescent="0.35">
      <c r="B102" s="361" t="s">
        <v>89</v>
      </c>
      <c r="C102" s="362">
        <f>AD32</f>
        <v>-7.4356585673740483E-3</v>
      </c>
      <c r="D102" s="363">
        <f>C102-AD35*SQRT(AF61)</f>
        <v>-8.4486220684560534E-2</v>
      </c>
      <c r="E102" s="364">
        <f>2*C102-D102</f>
        <v>6.9614903549812437E-2</v>
      </c>
      <c r="K102" s="178"/>
      <c r="L102" s="178"/>
      <c r="M102" s="178"/>
      <c r="N102" s="178"/>
      <c r="O102" s="178"/>
      <c r="P102" s="178"/>
      <c r="Q102" s="178"/>
      <c r="R102" s="178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1"/>
      <c r="CQ102" s="181"/>
      <c r="CR102" s="181"/>
      <c r="CS102" s="181"/>
      <c r="CT102" s="181"/>
      <c r="CU102" s="181"/>
      <c r="CV102" s="181"/>
    </row>
    <row r="103" spans="2:100" ht="18" hidden="1" customHeight="1" x14ac:dyDescent="0.35">
      <c r="B103" s="361" t="s">
        <v>105</v>
      </c>
      <c r="C103" s="362">
        <f>AD33</f>
        <v>4.2034766702947479E-5</v>
      </c>
      <c r="D103" s="363">
        <f>C103-AD35*SQRT(AG62)</f>
        <v>-3.9315773020210824E-4</v>
      </c>
      <c r="E103" s="364">
        <f>2*C103-D103</f>
        <v>4.772272636080032E-4</v>
      </c>
      <c r="K103" s="178"/>
      <c r="L103" s="178"/>
      <c r="M103" s="178"/>
      <c r="N103" s="178"/>
      <c r="O103" s="178"/>
      <c r="P103" s="178"/>
      <c r="Q103" s="178"/>
      <c r="R103" s="178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81"/>
      <c r="CU103" s="181"/>
      <c r="CV103" s="181"/>
    </row>
    <row r="104" spans="2:100" ht="18" hidden="1" customHeight="1" x14ac:dyDescent="0.25">
      <c r="B104" s="361" t="s">
        <v>76</v>
      </c>
      <c r="C104" s="362">
        <f>AD47</f>
        <v>6.0774447847506963E-3</v>
      </c>
      <c r="D104" s="363">
        <f>C106*C104/CHIINV(0.024,C106)</f>
        <v>1.1929113380897286E-3</v>
      </c>
      <c r="E104" s="364">
        <f>C106*C104/CHIINV(0.975,C106)</f>
        <v>6.1884084108370629</v>
      </c>
      <c r="K104" s="178"/>
      <c r="L104" s="178"/>
      <c r="M104" s="178"/>
      <c r="N104" s="178"/>
      <c r="O104" s="178"/>
      <c r="P104" s="178"/>
      <c r="Q104" s="178"/>
      <c r="R104" s="178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</row>
    <row r="105" spans="2:100" ht="18" hidden="1" customHeight="1" x14ac:dyDescent="0.25">
      <c r="B105" s="365" t="s">
        <v>78</v>
      </c>
      <c r="C105" s="366">
        <f>SQRT(C104)</f>
        <v>7.7957968064532673E-2</v>
      </c>
      <c r="D105" s="367">
        <f>SQRT(D104)</f>
        <v>3.4538548581110474E-2</v>
      </c>
      <c r="E105" s="368">
        <f>SQRT(E104)</f>
        <v>2.4876511835136901</v>
      </c>
      <c r="K105" s="178"/>
      <c r="L105" s="178"/>
      <c r="M105" s="178"/>
      <c r="N105" s="178"/>
      <c r="O105" s="178"/>
      <c r="P105" s="178"/>
      <c r="Q105" s="178"/>
      <c r="R105" s="178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</row>
    <row r="106" spans="2:100" ht="18" hidden="1" customHeight="1" x14ac:dyDescent="0.25">
      <c r="B106" s="369" t="s">
        <v>80</v>
      </c>
      <c r="C106" s="370">
        <f>n-4</f>
        <v>1</v>
      </c>
      <c r="K106" s="178"/>
      <c r="L106" s="178"/>
      <c r="M106" s="178"/>
      <c r="N106" s="178"/>
      <c r="O106" s="178"/>
      <c r="P106" s="178"/>
      <c r="Q106" s="178"/>
      <c r="R106" s="178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</row>
    <row r="107" spans="2:100" ht="18" hidden="1" customHeight="1" x14ac:dyDescent="0.25">
      <c r="B107" s="365" t="s">
        <v>82</v>
      </c>
      <c r="C107" s="368">
        <f>AD35</f>
        <v>12.706204736174707</v>
      </c>
      <c r="K107" s="178"/>
      <c r="L107" s="178"/>
      <c r="M107" s="178"/>
      <c r="N107" s="178"/>
      <c r="O107" s="178"/>
      <c r="P107" s="178"/>
      <c r="Q107" s="178"/>
      <c r="R107" s="178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</row>
    <row r="108" spans="2:100" ht="18" hidden="1" customHeight="1" x14ac:dyDescent="0.2">
      <c r="K108" s="178"/>
      <c r="L108" s="178"/>
      <c r="M108" s="178"/>
      <c r="N108" s="178"/>
      <c r="O108" s="178"/>
      <c r="P108" s="178"/>
      <c r="Q108" s="178"/>
      <c r="R108" s="178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</row>
    <row r="109" spans="2:100" ht="18" hidden="1" customHeight="1" x14ac:dyDescent="0.2">
      <c r="B109" s="176" t="s">
        <v>106</v>
      </c>
      <c r="K109" s="178"/>
      <c r="L109" s="178"/>
      <c r="M109" s="178"/>
      <c r="N109" s="178"/>
      <c r="O109" s="178"/>
      <c r="P109" s="178"/>
      <c r="Q109" s="178"/>
      <c r="R109" s="178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</row>
    <row r="110" spans="2:100" ht="18" hidden="1" customHeight="1" x14ac:dyDescent="0.2">
      <c r="B110" s="349" t="s">
        <v>96</v>
      </c>
      <c r="C110" s="351">
        <f>(C83/C104)</f>
        <v>2.0253329263924003</v>
      </c>
      <c r="K110" s="178"/>
      <c r="L110" s="178"/>
      <c r="M110" s="178"/>
      <c r="N110" s="178"/>
      <c r="O110" s="178"/>
      <c r="P110" s="178"/>
      <c r="Q110" s="178"/>
      <c r="R110" s="178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</row>
    <row r="111" spans="2:100" ht="18" hidden="1" customHeight="1" x14ac:dyDescent="0.2">
      <c r="B111" s="349" t="s">
        <v>97</v>
      </c>
      <c r="C111" s="351">
        <f>AD50</f>
        <v>199.49999999999994</v>
      </c>
      <c r="D111" s="312" t="s">
        <v>98</v>
      </c>
      <c r="K111" s="178"/>
      <c r="L111" s="178"/>
      <c r="M111" s="178"/>
      <c r="N111" s="178"/>
      <c r="O111" s="178"/>
      <c r="P111" s="178"/>
      <c r="Q111" s="178"/>
      <c r="R111" s="178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</row>
    <row r="112" spans="2:100" ht="18" hidden="1" customHeight="1" x14ac:dyDescent="0.2">
      <c r="B112" s="371" t="str">
        <f>IF(C110&gt;C111,"The cubic model produces a significantly smaller overall uncertainty of fit.","The overall uncertainties of fit are not significantly different at the 5% level.")</f>
        <v>The overall uncertainties of fit are not significantly different at the 5% level.</v>
      </c>
      <c r="K112" s="178"/>
      <c r="L112" s="178"/>
      <c r="M112" s="178"/>
      <c r="N112" s="178"/>
      <c r="O112" s="178"/>
      <c r="P112" s="178"/>
      <c r="Q112" s="178"/>
      <c r="R112" s="178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</row>
    <row r="113" spans="2:100" ht="18" hidden="1" customHeight="1" x14ac:dyDescent="0.2">
      <c r="B113" s="371" t="str">
        <f>IF(C110&gt;C111,"The cubic model appears to be a better choice than quadratic.","The quadratic model appears to be a better choice than cubic.")</f>
        <v>The quadratic model appears to be a better choice than cubic.</v>
      </c>
      <c r="K113" s="178"/>
      <c r="L113" s="178"/>
      <c r="M113" s="178"/>
      <c r="N113" s="178"/>
      <c r="O113" s="178"/>
      <c r="P113" s="178"/>
      <c r="Q113" s="178"/>
      <c r="R113" s="178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</row>
    <row r="114" spans="2:100" ht="18" hidden="1" customHeight="1" x14ac:dyDescent="0.2">
      <c r="K114" s="178"/>
      <c r="L114" s="178"/>
      <c r="M114" s="178"/>
      <c r="N114" s="178"/>
      <c r="O114" s="178"/>
      <c r="P114" s="178"/>
      <c r="Q114" s="178"/>
      <c r="R114" s="178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</row>
    <row r="115" spans="2:100" ht="18" hidden="1" customHeight="1" x14ac:dyDescent="0.2">
      <c r="B115" s="372" t="s">
        <v>107</v>
      </c>
      <c r="C115" s="373"/>
      <c r="D115" s="374" t="s">
        <v>66</v>
      </c>
      <c r="E115" s="375"/>
      <c r="K115" s="178"/>
      <c r="L115" s="178"/>
      <c r="M115" s="178"/>
      <c r="N115" s="178"/>
      <c r="O115" s="178"/>
      <c r="P115" s="178"/>
      <c r="Q115" s="178"/>
      <c r="R115" s="178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</row>
    <row r="116" spans="2:100" ht="18" hidden="1" customHeight="1" x14ac:dyDescent="0.2">
      <c r="B116" s="376" t="s">
        <v>68</v>
      </c>
      <c r="C116" s="377" t="s">
        <v>69</v>
      </c>
      <c r="D116" s="378" t="s">
        <v>70</v>
      </c>
      <c r="E116" s="379" t="s">
        <v>71</v>
      </c>
      <c r="K116" s="178"/>
      <c r="L116" s="178"/>
      <c r="M116" s="178"/>
      <c r="N116" s="178"/>
      <c r="O116" s="178"/>
      <c r="P116" s="178"/>
      <c r="Q116" s="178"/>
      <c r="R116" s="178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1"/>
      <c r="CR116" s="181"/>
      <c r="CS116" s="181"/>
      <c r="CT116" s="181"/>
      <c r="CU116" s="181"/>
      <c r="CV116" s="181"/>
    </row>
    <row r="117" spans="2:100" ht="18" hidden="1" customHeight="1" x14ac:dyDescent="0.35">
      <c r="B117" s="380" t="s">
        <v>73</v>
      </c>
      <c r="C117" s="381">
        <f>BI26</f>
        <v>25.790317013859749</v>
      </c>
      <c r="D117" s="382" t="e">
        <f>C117-$C$125*SQRT(BG59)</f>
        <v>#NUM!</v>
      </c>
      <c r="E117" s="383" t="e">
        <f>2*C117-D117</f>
        <v>#NUM!</v>
      </c>
      <c r="K117" s="178"/>
      <c r="L117" s="178"/>
      <c r="M117" s="178"/>
      <c r="N117" s="178"/>
      <c r="O117" s="178"/>
      <c r="P117" s="178"/>
      <c r="Q117" s="178"/>
      <c r="R117" s="178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  <c r="CC117" s="181"/>
      <c r="CD117" s="181"/>
      <c r="CE117" s="181"/>
      <c r="CF117" s="181"/>
      <c r="CG117" s="181"/>
      <c r="CH117" s="181"/>
      <c r="CI117" s="181"/>
      <c r="CJ117" s="181"/>
      <c r="CK117" s="181"/>
      <c r="CL117" s="181"/>
      <c r="CM117" s="181"/>
      <c r="CN117" s="181"/>
      <c r="CO117" s="181"/>
      <c r="CP117" s="181"/>
      <c r="CQ117" s="181"/>
      <c r="CR117" s="181"/>
      <c r="CS117" s="181"/>
      <c r="CT117" s="181"/>
      <c r="CU117" s="181"/>
      <c r="CV117" s="181"/>
    </row>
    <row r="118" spans="2:100" ht="18" hidden="1" customHeight="1" x14ac:dyDescent="0.35">
      <c r="B118" s="380" t="s">
        <v>74</v>
      </c>
      <c r="C118" s="381">
        <f>BI27</f>
        <v>-1.0022106720134616</v>
      </c>
      <c r="D118" s="382" t="e">
        <f>C118-$C$125*SQRT(BH60)</f>
        <v>#NUM!</v>
      </c>
      <c r="E118" s="383" t="e">
        <f>2*C118-D118</f>
        <v>#NUM!</v>
      </c>
      <c r="K118" s="178"/>
      <c r="L118" s="178"/>
      <c r="M118" s="178"/>
      <c r="N118" s="178"/>
      <c r="O118" s="178"/>
      <c r="P118" s="178"/>
      <c r="Q118" s="178"/>
      <c r="R118" s="178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</row>
    <row r="119" spans="2:100" ht="18" hidden="1" customHeight="1" x14ac:dyDescent="0.35">
      <c r="B119" s="380" t="s">
        <v>89</v>
      </c>
      <c r="C119" s="381">
        <f>BI28</f>
        <v>5.6743735214695334E-2</v>
      </c>
      <c r="D119" s="382" t="e">
        <f>C119-$C$125*SQRT(BI61)</f>
        <v>#NUM!</v>
      </c>
      <c r="E119" s="383" t="e">
        <f>2*C119-D119</f>
        <v>#NUM!</v>
      </c>
      <c r="K119" s="178"/>
      <c r="L119" s="178"/>
      <c r="M119" s="178"/>
      <c r="N119" s="178"/>
      <c r="O119" s="178"/>
      <c r="P119" s="178"/>
      <c r="Q119" s="178"/>
      <c r="R119" s="178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1"/>
    </row>
    <row r="120" spans="2:100" ht="18" hidden="1" customHeight="1" x14ac:dyDescent="0.35">
      <c r="B120" s="380" t="s">
        <v>105</v>
      </c>
      <c r="C120" s="381">
        <f>BI29</f>
        <v>-6.9398044752233545E-4</v>
      </c>
      <c r="D120" s="382" t="e">
        <f>C120-$C$125*SQRT(BJ62)</f>
        <v>#NUM!</v>
      </c>
      <c r="E120" s="383" t="e">
        <f>2*C120-D120</f>
        <v>#NUM!</v>
      </c>
      <c r="K120" s="178"/>
      <c r="L120" s="178"/>
      <c r="M120" s="178"/>
      <c r="N120" s="178"/>
      <c r="O120" s="178"/>
      <c r="P120" s="178"/>
      <c r="Q120" s="178"/>
      <c r="R120" s="178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81"/>
      <c r="CM120" s="181"/>
      <c r="CN120" s="181"/>
      <c r="CO120" s="181"/>
      <c r="CP120" s="181"/>
      <c r="CQ120" s="181"/>
      <c r="CR120" s="181"/>
      <c r="CS120" s="181"/>
      <c r="CT120" s="181"/>
      <c r="CU120" s="181"/>
      <c r="CV120" s="181"/>
    </row>
    <row r="121" spans="2:100" ht="18" hidden="1" customHeight="1" x14ac:dyDescent="0.35">
      <c r="B121" s="380" t="s">
        <v>108</v>
      </c>
      <c r="C121" s="381">
        <f>BI30</f>
        <v>3.1051132687309746E-6</v>
      </c>
      <c r="D121" s="382" t="e">
        <f>C121-$C$125*SQRT(BK63)</f>
        <v>#NUM!</v>
      </c>
      <c r="E121" s="383" t="e">
        <f>2*C121-D121</f>
        <v>#NUM!</v>
      </c>
      <c r="K121" s="178"/>
      <c r="L121" s="178"/>
      <c r="M121" s="178"/>
      <c r="N121" s="178"/>
      <c r="O121" s="178"/>
      <c r="P121" s="178"/>
      <c r="Q121" s="178"/>
      <c r="R121" s="178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181"/>
      <c r="CF121" s="181"/>
      <c r="CG121" s="181"/>
      <c r="CH121" s="181"/>
      <c r="CI121" s="181"/>
      <c r="CJ121" s="181"/>
      <c r="CK121" s="181"/>
      <c r="CL121" s="181"/>
      <c r="CM121" s="181"/>
      <c r="CN121" s="181"/>
      <c r="CO121" s="181"/>
      <c r="CP121" s="181"/>
      <c r="CQ121" s="181"/>
      <c r="CR121" s="181"/>
      <c r="CS121" s="181"/>
      <c r="CT121" s="181"/>
      <c r="CU121" s="181"/>
      <c r="CV121" s="181"/>
    </row>
    <row r="122" spans="2:100" ht="18" hidden="1" customHeight="1" x14ac:dyDescent="0.25">
      <c r="B122" s="380" t="s">
        <v>76</v>
      </c>
      <c r="C122" s="381" t="e">
        <f>BG47</f>
        <v>#DIV/0!</v>
      </c>
      <c r="D122" s="382" t="e">
        <f>C124*C122/CHIINV(0.024,C124)</f>
        <v>#DIV/0!</v>
      </c>
      <c r="E122" s="383" t="e">
        <f>C124*C122/CHIINV(0.975,C124)</f>
        <v>#DIV/0!</v>
      </c>
      <c r="K122" s="178"/>
      <c r="L122" s="178"/>
      <c r="M122" s="178"/>
      <c r="N122" s="178"/>
      <c r="O122" s="178"/>
      <c r="P122" s="178"/>
      <c r="Q122" s="178"/>
      <c r="R122" s="178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  <c r="CJ122" s="181"/>
      <c r="CK122" s="181"/>
      <c r="CL122" s="181"/>
      <c r="CM122" s="181"/>
      <c r="CN122" s="181"/>
      <c r="CO122" s="181"/>
      <c r="CP122" s="181"/>
      <c r="CQ122" s="181"/>
      <c r="CR122" s="181"/>
      <c r="CS122" s="181"/>
      <c r="CT122" s="181"/>
      <c r="CU122" s="181"/>
      <c r="CV122" s="181"/>
    </row>
    <row r="123" spans="2:100" ht="18" hidden="1" customHeight="1" x14ac:dyDescent="0.25">
      <c r="B123" s="384" t="s">
        <v>78</v>
      </c>
      <c r="C123" s="385" t="e">
        <f>C122^0.5</f>
        <v>#DIV/0!</v>
      </c>
      <c r="D123" s="386" t="e">
        <f>D122^0.5</f>
        <v>#DIV/0!</v>
      </c>
      <c r="E123" s="387" t="e">
        <f>E122^0.5</f>
        <v>#DIV/0!</v>
      </c>
      <c r="K123" s="178"/>
      <c r="L123" s="178"/>
      <c r="M123" s="178"/>
      <c r="N123" s="178"/>
      <c r="O123" s="178"/>
      <c r="P123" s="178"/>
      <c r="Q123" s="178"/>
      <c r="R123" s="178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1"/>
      <c r="CG123" s="181"/>
      <c r="CH123" s="181"/>
      <c r="CI123" s="181"/>
      <c r="CJ123" s="181"/>
      <c r="CK123" s="181"/>
      <c r="CL123" s="181"/>
      <c r="CM123" s="181"/>
      <c r="CN123" s="181"/>
      <c r="CO123" s="181"/>
      <c r="CP123" s="181"/>
      <c r="CQ123" s="181"/>
      <c r="CR123" s="181"/>
      <c r="CS123" s="181"/>
      <c r="CT123" s="181"/>
      <c r="CU123" s="181"/>
      <c r="CV123" s="181"/>
    </row>
    <row r="124" spans="2:100" ht="18" hidden="1" customHeight="1" x14ac:dyDescent="0.25">
      <c r="B124" s="388" t="s">
        <v>80</v>
      </c>
      <c r="C124" s="389">
        <f>n-5</f>
        <v>0</v>
      </c>
      <c r="K124" s="178"/>
      <c r="L124" s="178"/>
      <c r="M124" s="178"/>
      <c r="N124" s="178"/>
      <c r="O124" s="178"/>
      <c r="P124" s="178"/>
      <c r="Q124" s="178"/>
      <c r="R124" s="178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/>
      <c r="CJ124" s="181"/>
      <c r="CK124" s="181"/>
      <c r="CL124" s="181"/>
      <c r="CM124" s="181"/>
      <c r="CN124" s="181"/>
      <c r="CO124" s="181"/>
      <c r="CP124" s="181"/>
      <c r="CQ124" s="181"/>
      <c r="CR124" s="181"/>
      <c r="CS124" s="181"/>
      <c r="CT124" s="181"/>
      <c r="CU124" s="181"/>
      <c r="CV124" s="181"/>
    </row>
    <row r="125" spans="2:100" ht="18" hidden="1" customHeight="1" x14ac:dyDescent="0.25">
      <c r="B125" s="384" t="s">
        <v>82</v>
      </c>
      <c r="C125" s="387" t="e">
        <f>BG35</f>
        <v>#NUM!</v>
      </c>
      <c r="K125" s="178"/>
      <c r="L125" s="178"/>
      <c r="M125" s="178"/>
      <c r="N125" s="178"/>
      <c r="O125" s="178"/>
      <c r="P125" s="178"/>
      <c r="Q125" s="178"/>
      <c r="R125" s="178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</row>
    <row r="126" spans="2:100" ht="18" hidden="1" customHeight="1" x14ac:dyDescent="0.2">
      <c r="K126" s="178"/>
      <c r="L126" s="178"/>
      <c r="M126" s="178"/>
      <c r="N126" s="178"/>
      <c r="O126" s="178"/>
      <c r="P126" s="178"/>
      <c r="Q126" s="178"/>
      <c r="R126" s="178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</row>
    <row r="127" spans="2:100" ht="18" hidden="1" customHeight="1" x14ac:dyDescent="0.2">
      <c r="B127" s="176" t="s">
        <v>106</v>
      </c>
      <c r="K127" s="178"/>
      <c r="L127" s="178"/>
      <c r="M127" s="178"/>
      <c r="N127" s="178"/>
      <c r="O127" s="178"/>
      <c r="P127" s="178"/>
      <c r="Q127" s="178"/>
      <c r="R127" s="178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</row>
    <row r="128" spans="2:100" ht="18" hidden="1" customHeight="1" x14ac:dyDescent="0.2">
      <c r="B128" s="349" t="s">
        <v>109</v>
      </c>
      <c r="C128" s="351" t="e">
        <f>(C104/C122)</f>
        <v>#DIV/0!</v>
      </c>
      <c r="K128" s="178"/>
      <c r="L128" s="178"/>
      <c r="M128" s="178"/>
      <c r="N128" s="178"/>
      <c r="O128" s="178"/>
      <c r="P128" s="178"/>
      <c r="Q128" s="178"/>
      <c r="R128" s="178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</row>
    <row r="129" spans="2:100" ht="18" hidden="1" customHeight="1" x14ac:dyDescent="0.2">
      <c r="B129" s="349" t="s">
        <v>97</v>
      </c>
      <c r="C129" s="351" t="e">
        <f>BG50</f>
        <v>#NUM!</v>
      </c>
      <c r="D129" s="312" t="s">
        <v>98</v>
      </c>
      <c r="K129" s="178"/>
      <c r="L129" s="178"/>
      <c r="M129" s="178"/>
      <c r="N129" s="178"/>
      <c r="O129" s="178"/>
      <c r="P129" s="178"/>
      <c r="Q129" s="178"/>
      <c r="R129" s="178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1"/>
      <c r="CI129" s="181"/>
      <c r="CJ129" s="181"/>
      <c r="CK129" s="181"/>
      <c r="CL129" s="181"/>
      <c r="CM129" s="181"/>
      <c r="CN129" s="181"/>
      <c r="CO129" s="181"/>
      <c r="CP129" s="181"/>
      <c r="CQ129" s="181"/>
      <c r="CR129" s="181"/>
      <c r="CS129" s="181"/>
      <c r="CT129" s="181"/>
      <c r="CU129" s="181"/>
      <c r="CV129" s="181"/>
    </row>
    <row r="130" spans="2:100" ht="18" hidden="1" customHeight="1" x14ac:dyDescent="0.2">
      <c r="B130" s="371" t="e">
        <f>IF(C128&gt;C129,"The quartic model produces a significantly smaller overall uncertainty of fit.","The overall uncertainties of fit are not significantly different at the 5% level.")</f>
        <v>#DIV/0!</v>
      </c>
      <c r="K130" s="178"/>
      <c r="L130" s="178"/>
      <c r="M130" s="178"/>
      <c r="N130" s="178"/>
      <c r="O130" s="178"/>
      <c r="P130" s="178"/>
      <c r="Q130" s="178"/>
      <c r="R130" s="178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  <c r="CH130" s="181"/>
      <c r="CI130" s="181"/>
      <c r="CJ130" s="181"/>
      <c r="CK130" s="181"/>
      <c r="CL130" s="181"/>
      <c r="CM130" s="181"/>
      <c r="CN130" s="181"/>
      <c r="CO130" s="181"/>
      <c r="CP130" s="181"/>
      <c r="CQ130" s="181"/>
      <c r="CR130" s="181"/>
      <c r="CS130" s="181"/>
      <c r="CT130" s="181"/>
      <c r="CU130" s="181"/>
      <c r="CV130" s="181"/>
    </row>
    <row r="131" spans="2:100" ht="18" hidden="1" customHeight="1" x14ac:dyDescent="0.2">
      <c r="B131" s="371" t="e">
        <f>IF(C128&gt;C129,"The quartic model appears to be a better choice than cubic.","The cubic model appears to be a better choice than quartic.")</f>
        <v>#DIV/0!</v>
      </c>
      <c r="K131" s="178"/>
      <c r="L131" s="178"/>
      <c r="M131" s="178"/>
      <c r="N131" s="178"/>
      <c r="O131" s="178"/>
      <c r="P131" s="178"/>
      <c r="Q131" s="178"/>
      <c r="R131" s="178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/>
      <c r="CF131" s="181"/>
      <c r="CG131" s="181"/>
      <c r="CH131" s="181"/>
      <c r="CI131" s="181"/>
      <c r="CJ131" s="181"/>
      <c r="CK131" s="181"/>
      <c r="CL131" s="181"/>
      <c r="CM131" s="181"/>
      <c r="CN131" s="181"/>
      <c r="CO131" s="181"/>
      <c r="CP131" s="181"/>
      <c r="CQ131" s="181"/>
      <c r="CR131" s="181"/>
      <c r="CS131" s="181"/>
      <c r="CT131" s="181"/>
      <c r="CU131" s="181"/>
      <c r="CV131" s="181"/>
    </row>
    <row r="132" spans="2:100" ht="18" customHeight="1" x14ac:dyDescent="0.2">
      <c r="K132" s="178"/>
      <c r="L132" s="178"/>
      <c r="M132" s="178"/>
      <c r="N132" s="178"/>
      <c r="O132" s="178"/>
      <c r="P132" s="178"/>
      <c r="Q132" s="178"/>
      <c r="R132" s="178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1"/>
      <c r="CF132" s="181"/>
      <c r="CG132" s="181"/>
      <c r="CH132" s="181"/>
      <c r="CI132" s="181"/>
      <c r="CJ132" s="181"/>
      <c r="CK132" s="181"/>
      <c r="CL132" s="181"/>
      <c r="CM132" s="181"/>
      <c r="CN132" s="181"/>
      <c r="CO132" s="181"/>
      <c r="CP132" s="181"/>
      <c r="CQ132" s="181"/>
      <c r="CR132" s="181"/>
      <c r="CS132" s="181"/>
      <c r="CT132" s="181"/>
      <c r="CU132" s="181"/>
      <c r="CV132" s="181"/>
    </row>
    <row r="133" spans="2:100" ht="18" customHeight="1" thickBot="1" x14ac:dyDescent="0.25">
      <c r="K133" s="178"/>
      <c r="L133" s="178"/>
      <c r="M133" s="178"/>
      <c r="N133" s="178"/>
      <c r="O133" s="178"/>
      <c r="P133" s="178"/>
      <c r="Q133" s="178"/>
      <c r="R133" s="178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81"/>
      <c r="CU133" s="181"/>
      <c r="CV133" s="181"/>
    </row>
    <row r="134" spans="2:100" ht="18" customHeight="1" thickTop="1" thickBot="1" x14ac:dyDescent="0.3">
      <c r="B134" s="310" t="s">
        <v>26</v>
      </c>
      <c r="C134" s="177"/>
      <c r="D134" s="311" t="s">
        <v>27</v>
      </c>
      <c r="K134" s="178"/>
      <c r="L134" s="178"/>
      <c r="M134" s="178"/>
      <c r="N134" s="178"/>
      <c r="O134" s="178"/>
      <c r="P134" s="178"/>
      <c r="Q134" s="178"/>
      <c r="R134" s="178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1"/>
      <c r="CH134" s="181"/>
      <c r="CI134" s="181"/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</row>
    <row r="135" spans="2:100" ht="18" customHeight="1" thickTop="1" x14ac:dyDescent="0.2">
      <c r="K135" s="178"/>
      <c r="L135" s="178"/>
      <c r="M135" s="178"/>
      <c r="N135" s="178"/>
      <c r="O135" s="178"/>
      <c r="P135" s="178"/>
      <c r="Q135" s="178"/>
      <c r="R135" s="178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1"/>
      <c r="BS135" s="181"/>
      <c r="BT135" s="181"/>
      <c r="BU135" s="181"/>
      <c r="BV135" s="181"/>
      <c r="BW135" s="181"/>
      <c r="BX135" s="181"/>
      <c r="BY135" s="181"/>
      <c r="BZ135" s="181"/>
      <c r="CA135" s="181"/>
      <c r="CB135" s="181"/>
      <c r="CC135" s="181"/>
      <c r="CD135" s="181"/>
      <c r="CE135" s="181"/>
      <c r="CF135" s="181"/>
      <c r="CG135" s="181"/>
      <c r="CH135" s="181"/>
      <c r="CI135" s="181"/>
      <c r="CJ135" s="181"/>
      <c r="CK135" s="181"/>
      <c r="CL135" s="181"/>
      <c r="CM135" s="181"/>
      <c r="CN135" s="181"/>
      <c r="CO135" s="181"/>
      <c r="CP135" s="181"/>
      <c r="CQ135" s="181"/>
      <c r="CR135" s="181"/>
      <c r="CS135" s="181"/>
      <c r="CT135" s="181"/>
      <c r="CU135" s="181"/>
      <c r="CV135" s="181"/>
    </row>
    <row r="136" spans="2:100" ht="18" customHeight="1" x14ac:dyDescent="0.25">
      <c r="B136" s="312" t="s">
        <v>110</v>
      </c>
      <c r="K136" s="178"/>
      <c r="L136" s="178"/>
      <c r="M136" s="178"/>
      <c r="N136" s="178"/>
      <c r="O136" s="178"/>
      <c r="P136" s="178"/>
      <c r="Q136" s="178"/>
      <c r="R136" s="178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1"/>
      <c r="BF136" s="181"/>
      <c r="BG136" s="181"/>
      <c r="BH136" s="181"/>
      <c r="BI136" s="181"/>
      <c r="BJ136" s="181"/>
      <c r="BK136" s="181"/>
      <c r="BL136" s="181"/>
      <c r="BM136" s="181"/>
      <c r="BN136" s="181"/>
      <c r="BO136" s="181"/>
      <c r="BP136" s="181"/>
      <c r="BQ136" s="181"/>
      <c r="BR136" s="181"/>
      <c r="BS136" s="181"/>
      <c r="BT136" s="181"/>
      <c r="BU136" s="181"/>
      <c r="BV136" s="181"/>
      <c r="BW136" s="181"/>
      <c r="BX136" s="181"/>
      <c r="BY136" s="181"/>
      <c r="BZ136" s="181"/>
      <c r="CA136" s="181"/>
      <c r="CB136" s="181"/>
      <c r="CC136" s="181"/>
      <c r="CD136" s="181"/>
      <c r="CE136" s="181"/>
      <c r="CF136" s="181"/>
      <c r="CG136" s="181"/>
      <c r="CH136" s="181"/>
      <c r="CI136" s="181"/>
      <c r="CJ136" s="181"/>
      <c r="CK136" s="181"/>
      <c r="CL136" s="181"/>
      <c r="CM136" s="181"/>
      <c r="CN136" s="181"/>
      <c r="CO136" s="181"/>
      <c r="CP136" s="181"/>
      <c r="CQ136" s="181"/>
      <c r="CR136" s="181"/>
      <c r="CS136" s="181"/>
      <c r="CT136" s="181"/>
      <c r="CU136" s="181"/>
      <c r="CV136" s="181"/>
    </row>
    <row r="137" spans="2:100" ht="18" customHeight="1" x14ac:dyDescent="0.2">
      <c r="B137" s="312" t="s">
        <v>111</v>
      </c>
      <c r="K137" s="178"/>
      <c r="L137" s="178"/>
      <c r="M137" s="178"/>
      <c r="N137" s="178"/>
      <c r="O137" s="178"/>
      <c r="P137" s="178"/>
      <c r="Q137" s="178"/>
      <c r="R137" s="178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1"/>
      <c r="BT137" s="181"/>
      <c r="BU137" s="181"/>
      <c r="BV137" s="181"/>
      <c r="BW137" s="181"/>
      <c r="BX137" s="181"/>
      <c r="BY137" s="181"/>
      <c r="BZ137" s="181"/>
      <c r="CA137" s="181"/>
      <c r="CB137" s="181"/>
      <c r="CC137" s="181"/>
      <c r="CD137" s="181"/>
      <c r="CE137" s="181"/>
      <c r="CF137" s="181"/>
      <c r="CG137" s="181"/>
      <c r="CH137" s="181"/>
      <c r="CI137" s="181"/>
      <c r="CJ137" s="181"/>
      <c r="CK137" s="181"/>
      <c r="CL137" s="181"/>
      <c r="CM137" s="181"/>
      <c r="CN137" s="181"/>
      <c r="CO137" s="181"/>
      <c r="CP137" s="181"/>
      <c r="CQ137" s="181"/>
      <c r="CR137" s="181"/>
      <c r="CS137" s="181"/>
      <c r="CT137" s="181"/>
      <c r="CU137" s="181"/>
      <c r="CV137" s="181"/>
    </row>
    <row r="138" spans="2:100" ht="18" customHeight="1" x14ac:dyDescent="0.25">
      <c r="B138" s="312" t="s">
        <v>112</v>
      </c>
      <c r="K138" s="178"/>
      <c r="L138" s="178"/>
      <c r="M138" s="178"/>
      <c r="N138" s="178"/>
      <c r="O138" s="178"/>
      <c r="P138" s="178"/>
      <c r="Q138" s="178"/>
      <c r="R138" s="178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1"/>
      <c r="BT138" s="181"/>
      <c r="BU138" s="181"/>
      <c r="BV138" s="181"/>
      <c r="BW138" s="181"/>
      <c r="BX138" s="181"/>
      <c r="BY138" s="181"/>
      <c r="BZ138" s="181"/>
      <c r="CA138" s="181"/>
      <c r="CB138" s="181"/>
      <c r="CC138" s="181"/>
      <c r="CD138" s="181"/>
      <c r="CE138" s="181"/>
      <c r="CF138" s="181"/>
      <c r="CG138" s="181"/>
      <c r="CH138" s="181"/>
      <c r="CI138" s="181"/>
      <c r="CJ138" s="181"/>
      <c r="CK138" s="181"/>
      <c r="CL138" s="181"/>
      <c r="CM138" s="181"/>
      <c r="CN138" s="181"/>
      <c r="CO138" s="181"/>
      <c r="CP138" s="181"/>
      <c r="CQ138" s="181"/>
      <c r="CR138" s="181"/>
      <c r="CS138" s="181"/>
      <c r="CT138" s="181"/>
      <c r="CU138" s="181"/>
      <c r="CV138" s="181"/>
    </row>
    <row r="139" spans="2:100" ht="18" customHeight="1" x14ac:dyDescent="0.2">
      <c r="B139" s="390" t="s">
        <v>113</v>
      </c>
      <c r="C139" s="391"/>
      <c r="D139" s="391"/>
      <c r="E139" s="391"/>
      <c r="F139" s="391"/>
      <c r="G139" s="391"/>
      <c r="K139" s="178"/>
      <c r="L139" s="178"/>
      <c r="M139" s="178"/>
      <c r="N139" s="178"/>
      <c r="O139" s="178"/>
      <c r="P139" s="178"/>
      <c r="Q139" s="178"/>
      <c r="R139" s="178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1"/>
      <c r="BX139" s="181"/>
      <c r="BY139" s="181"/>
      <c r="BZ139" s="181"/>
      <c r="CA139" s="181"/>
      <c r="CB139" s="181"/>
      <c r="CC139" s="181"/>
      <c r="CD139" s="181"/>
      <c r="CE139" s="181"/>
      <c r="CF139" s="181"/>
      <c r="CG139" s="181"/>
      <c r="CH139" s="181"/>
      <c r="CI139" s="181"/>
      <c r="CJ139" s="181"/>
      <c r="CK139" s="181"/>
      <c r="CL139" s="181"/>
      <c r="CM139" s="181"/>
      <c r="CN139" s="181"/>
      <c r="CO139" s="181"/>
      <c r="CP139" s="181"/>
      <c r="CQ139" s="181"/>
      <c r="CR139" s="181"/>
      <c r="CS139" s="181"/>
      <c r="CT139" s="181"/>
      <c r="CU139" s="181"/>
      <c r="CV139" s="181"/>
    </row>
    <row r="140" spans="2:100" ht="18" customHeight="1" x14ac:dyDescent="0.2">
      <c r="B140" s="390" t="s">
        <v>114</v>
      </c>
      <c r="C140" s="391"/>
      <c r="D140" s="391"/>
      <c r="E140" s="391"/>
      <c r="F140" s="391"/>
      <c r="G140" s="391"/>
      <c r="K140" s="178"/>
      <c r="L140" s="178"/>
      <c r="M140" s="178"/>
      <c r="N140" s="178"/>
      <c r="O140" s="178"/>
      <c r="P140" s="178"/>
      <c r="Q140" s="178"/>
      <c r="R140" s="178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1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1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  <c r="CH140" s="181"/>
      <c r="CI140" s="181"/>
      <c r="CJ140" s="181"/>
      <c r="CK140" s="181"/>
      <c r="CL140" s="181"/>
      <c r="CM140" s="181"/>
      <c r="CN140" s="181"/>
      <c r="CO140" s="181"/>
      <c r="CP140" s="181"/>
      <c r="CQ140" s="181"/>
      <c r="CR140" s="181"/>
      <c r="CS140" s="181"/>
      <c r="CT140" s="181"/>
      <c r="CU140" s="181"/>
      <c r="CV140" s="181"/>
    </row>
    <row r="141" spans="2:100" ht="18" customHeight="1" x14ac:dyDescent="0.25">
      <c r="B141" s="392" t="s">
        <v>115</v>
      </c>
      <c r="K141" s="178"/>
      <c r="L141" s="178"/>
      <c r="M141" s="178"/>
      <c r="N141" s="178"/>
      <c r="O141" s="178"/>
      <c r="P141" s="178"/>
      <c r="Q141" s="178"/>
      <c r="R141" s="178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181"/>
      <c r="BY141" s="181"/>
      <c r="BZ141" s="181"/>
      <c r="CA141" s="181"/>
      <c r="CB141" s="181"/>
      <c r="CC141" s="181"/>
      <c r="CD141" s="181"/>
      <c r="CE141" s="181"/>
      <c r="CF141" s="181"/>
      <c r="CG141" s="181"/>
      <c r="CH141" s="181"/>
      <c r="CI141" s="181"/>
      <c r="CJ141" s="181"/>
      <c r="CK141" s="181"/>
      <c r="CL141" s="181"/>
      <c r="CM141" s="181"/>
      <c r="CN141" s="181"/>
      <c r="CO141" s="181"/>
      <c r="CP141" s="181"/>
      <c r="CQ141" s="181"/>
      <c r="CR141" s="181"/>
      <c r="CS141" s="181"/>
      <c r="CT141" s="181"/>
      <c r="CU141" s="181"/>
      <c r="CV141" s="181"/>
    </row>
    <row r="142" spans="2:100" ht="18" customHeight="1" x14ac:dyDescent="0.2">
      <c r="B142" s="312" t="s">
        <v>116</v>
      </c>
      <c r="K142" s="178"/>
      <c r="L142" s="178"/>
      <c r="M142" s="178"/>
      <c r="N142" s="178"/>
      <c r="O142" s="178"/>
      <c r="P142" s="178"/>
      <c r="Q142" s="178"/>
      <c r="R142" s="178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81"/>
      <c r="BU142" s="181"/>
      <c r="BV142" s="181"/>
      <c r="BW142" s="181"/>
      <c r="BX142" s="181"/>
      <c r="BY142" s="181"/>
      <c r="BZ142" s="181"/>
      <c r="CA142" s="181"/>
      <c r="CB142" s="181"/>
      <c r="CC142" s="181"/>
      <c r="CD142" s="181"/>
      <c r="CE142" s="181"/>
      <c r="CF142" s="181"/>
      <c r="CG142" s="181"/>
      <c r="CH142" s="181"/>
      <c r="CI142" s="181"/>
      <c r="CJ142" s="181"/>
      <c r="CK142" s="181"/>
      <c r="CL142" s="181"/>
      <c r="CM142" s="181"/>
      <c r="CN142" s="181"/>
      <c r="CO142" s="181"/>
      <c r="CP142" s="181"/>
      <c r="CQ142" s="181"/>
      <c r="CR142" s="181"/>
      <c r="CS142" s="181"/>
      <c r="CT142" s="181"/>
      <c r="CU142" s="181"/>
      <c r="CV142" s="181"/>
    </row>
    <row r="143" spans="2:100" ht="18" customHeight="1" x14ac:dyDescent="0.25">
      <c r="B143" s="312" t="s">
        <v>117</v>
      </c>
      <c r="K143" s="178"/>
      <c r="L143" s="178"/>
      <c r="M143" s="178"/>
      <c r="N143" s="178"/>
      <c r="O143" s="178"/>
      <c r="P143" s="178"/>
      <c r="Q143" s="178"/>
      <c r="R143" s="178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1"/>
      <c r="BS143" s="181"/>
      <c r="BT143" s="181"/>
      <c r="BU143" s="181"/>
      <c r="BV143" s="181"/>
      <c r="BW143" s="181"/>
      <c r="BX143" s="181"/>
      <c r="BY143" s="181"/>
      <c r="BZ143" s="181"/>
      <c r="CA143" s="181"/>
      <c r="CB143" s="181"/>
      <c r="CC143" s="181"/>
      <c r="CD143" s="181"/>
      <c r="CE143" s="181"/>
      <c r="CF143" s="181"/>
      <c r="CG143" s="181"/>
      <c r="CH143" s="181"/>
      <c r="CI143" s="181"/>
      <c r="CJ143" s="181"/>
      <c r="CK143" s="181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</row>
    <row r="144" spans="2:100" ht="18" customHeight="1" x14ac:dyDescent="0.25">
      <c r="B144" s="312" t="s">
        <v>118</v>
      </c>
      <c r="K144" s="178"/>
      <c r="L144" s="178"/>
      <c r="M144" s="178"/>
      <c r="N144" s="178"/>
      <c r="O144" s="178"/>
      <c r="P144" s="178"/>
      <c r="Q144" s="178"/>
      <c r="R144" s="178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81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</row>
    <row r="145" spans="2:100" ht="18" customHeight="1" x14ac:dyDescent="0.25">
      <c r="B145" s="312" t="s">
        <v>119</v>
      </c>
      <c r="K145" s="178"/>
      <c r="L145" s="178"/>
      <c r="M145" s="178"/>
      <c r="N145" s="178"/>
      <c r="O145" s="178"/>
      <c r="P145" s="178"/>
      <c r="Q145" s="178"/>
      <c r="R145" s="178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1"/>
      <c r="CH145" s="181"/>
      <c r="CI145" s="181"/>
      <c r="CJ145" s="181"/>
      <c r="CK145" s="181"/>
      <c r="CL145" s="181"/>
      <c r="CM145" s="181"/>
      <c r="CN145" s="181"/>
      <c r="CO145" s="181"/>
      <c r="CP145" s="181"/>
      <c r="CQ145" s="181"/>
      <c r="CR145" s="181"/>
      <c r="CS145" s="181"/>
      <c r="CT145" s="181"/>
      <c r="CU145" s="181"/>
      <c r="CV145" s="181"/>
    </row>
    <row r="146" spans="2:100" ht="18" customHeight="1" x14ac:dyDescent="0.2">
      <c r="B146" s="176" t="s">
        <v>120</v>
      </c>
      <c r="K146" s="178"/>
      <c r="L146" s="178"/>
      <c r="M146" s="178"/>
      <c r="N146" s="178"/>
      <c r="O146" s="178"/>
      <c r="P146" s="178"/>
      <c r="Q146" s="178"/>
      <c r="R146" s="178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  <c r="BZ146" s="181"/>
      <c r="CA146" s="181"/>
      <c r="CB146" s="181"/>
      <c r="CC146" s="181"/>
      <c r="CD146" s="181"/>
      <c r="CE146" s="181"/>
      <c r="CF146" s="181"/>
      <c r="CG146" s="181"/>
      <c r="CH146" s="181"/>
      <c r="CI146" s="181"/>
      <c r="CJ146" s="181"/>
      <c r="CK146" s="181"/>
      <c r="CL146" s="181"/>
      <c r="CM146" s="181"/>
      <c r="CN146" s="181"/>
      <c r="CO146" s="181"/>
      <c r="CP146" s="181"/>
      <c r="CQ146" s="181"/>
      <c r="CR146" s="181"/>
      <c r="CS146" s="181"/>
      <c r="CT146" s="181"/>
      <c r="CU146" s="181"/>
      <c r="CV146" s="181"/>
    </row>
    <row r="147" spans="2:100" ht="18" customHeight="1" x14ac:dyDescent="0.25">
      <c r="B147" s="312" t="s">
        <v>121</v>
      </c>
      <c r="K147" s="178"/>
      <c r="L147" s="178"/>
      <c r="M147" s="178"/>
      <c r="N147" s="178"/>
      <c r="O147" s="178"/>
      <c r="P147" s="178"/>
      <c r="Q147" s="178"/>
      <c r="R147" s="178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1"/>
      <c r="CH147" s="181"/>
      <c r="CI147" s="181"/>
      <c r="CJ147" s="181"/>
      <c r="CK147" s="181"/>
      <c r="CL147" s="181"/>
      <c r="CM147" s="181"/>
      <c r="CN147" s="181"/>
      <c r="CO147" s="181"/>
      <c r="CP147" s="181"/>
      <c r="CQ147" s="181"/>
      <c r="CR147" s="181"/>
      <c r="CS147" s="181"/>
      <c r="CT147" s="181"/>
      <c r="CU147" s="181"/>
      <c r="CV147" s="181"/>
    </row>
    <row r="148" spans="2:100" ht="18" customHeight="1" x14ac:dyDescent="0.2">
      <c r="B148" s="312" t="s">
        <v>122</v>
      </c>
      <c r="H148" s="391"/>
      <c r="I148" s="391"/>
      <c r="J148" s="391"/>
      <c r="K148" s="178"/>
      <c r="L148" s="178"/>
      <c r="M148" s="178"/>
      <c r="N148" s="178"/>
      <c r="O148" s="178"/>
      <c r="P148" s="178"/>
      <c r="Q148" s="178"/>
      <c r="R148" s="178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1"/>
      <c r="BF148" s="181"/>
      <c r="BG148" s="181"/>
      <c r="BH148" s="181"/>
      <c r="BI148" s="181"/>
      <c r="BJ148" s="181"/>
      <c r="BK148" s="181"/>
      <c r="BL148" s="181"/>
      <c r="BM148" s="181"/>
      <c r="BN148" s="181"/>
      <c r="BO148" s="181"/>
      <c r="BP148" s="181"/>
      <c r="BQ148" s="181"/>
      <c r="BR148" s="181"/>
      <c r="BS148" s="181"/>
      <c r="BT148" s="181"/>
      <c r="BU148" s="181"/>
      <c r="BV148" s="181"/>
      <c r="BW148" s="181"/>
      <c r="BX148" s="181"/>
      <c r="BY148" s="181"/>
      <c r="BZ148" s="181"/>
      <c r="CA148" s="181"/>
      <c r="CB148" s="181"/>
      <c r="CC148" s="181"/>
      <c r="CD148" s="181"/>
      <c r="CE148" s="181"/>
      <c r="CF148" s="181"/>
      <c r="CG148" s="181"/>
      <c r="CH148" s="181"/>
      <c r="CI148" s="181"/>
      <c r="CJ148" s="181"/>
      <c r="CK148" s="181"/>
      <c r="CL148" s="181"/>
      <c r="CM148" s="181"/>
      <c r="CN148" s="181"/>
      <c r="CO148" s="181"/>
      <c r="CP148" s="181"/>
      <c r="CQ148" s="181"/>
      <c r="CR148" s="181"/>
      <c r="CS148" s="181"/>
      <c r="CT148" s="181"/>
      <c r="CU148" s="181"/>
      <c r="CV148" s="181"/>
    </row>
    <row r="149" spans="2:100" ht="18" customHeight="1" x14ac:dyDescent="0.2">
      <c r="H149" s="391"/>
      <c r="I149" s="391"/>
      <c r="J149" s="391"/>
      <c r="K149" s="178"/>
      <c r="L149" s="178"/>
      <c r="M149" s="178"/>
      <c r="N149" s="178"/>
      <c r="O149" s="178"/>
      <c r="P149" s="178"/>
      <c r="Q149" s="178"/>
      <c r="R149" s="178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1"/>
      <c r="CH149" s="181"/>
      <c r="CI149" s="181"/>
      <c r="CJ149" s="181"/>
      <c r="CK149" s="181"/>
      <c r="CL149" s="181"/>
      <c r="CM149" s="181"/>
      <c r="CN149" s="181"/>
      <c r="CO149" s="181"/>
      <c r="CP149" s="181"/>
      <c r="CQ149" s="181"/>
      <c r="CR149" s="181"/>
      <c r="CS149" s="181"/>
      <c r="CT149" s="181"/>
      <c r="CU149" s="181"/>
      <c r="CV149" s="181"/>
    </row>
    <row r="150" spans="2:100" ht="18" customHeight="1" x14ac:dyDescent="0.2">
      <c r="B150" s="349" t="s">
        <v>123</v>
      </c>
      <c r="C150" s="393">
        <f>U53</f>
        <v>0.66673234832406225</v>
      </c>
      <c r="E150" s="349" t="s">
        <v>124</v>
      </c>
      <c r="F150" s="394">
        <f>FDIST(C150,df,df-1)</f>
        <v>0.64642048565264321</v>
      </c>
      <c r="K150" s="178"/>
      <c r="L150" s="178"/>
      <c r="M150" s="178"/>
      <c r="N150" s="178"/>
      <c r="O150" s="178"/>
      <c r="P150" s="178"/>
      <c r="Q150" s="178"/>
      <c r="R150" s="178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1"/>
      <c r="BX150" s="181"/>
      <c r="BY150" s="181"/>
      <c r="BZ150" s="181"/>
      <c r="CA150" s="181"/>
      <c r="CB150" s="181"/>
      <c r="CC150" s="181"/>
      <c r="CD150" s="181"/>
      <c r="CE150" s="181"/>
      <c r="CF150" s="181"/>
      <c r="CG150" s="181"/>
      <c r="CH150" s="181"/>
      <c r="CI150" s="181"/>
      <c r="CJ150" s="181"/>
      <c r="CK150" s="181"/>
      <c r="CL150" s="181"/>
      <c r="CM150" s="181"/>
      <c r="CN150" s="181"/>
      <c r="CO150" s="181"/>
      <c r="CP150" s="181"/>
      <c r="CQ150" s="181"/>
      <c r="CR150" s="181"/>
      <c r="CS150" s="181"/>
      <c r="CT150" s="181"/>
      <c r="CU150" s="181"/>
      <c r="CV150" s="181"/>
    </row>
    <row r="151" spans="2:100" ht="18" customHeight="1" x14ac:dyDescent="0.2">
      <c r="K151" s="178"/>
      <c r="L151" s="178"/>
      <c r="M151" s="178"/>
      <c r="N151" s="178"/>
      <c r="O151" s="178"/>
      <c r="P151" s="178"/>
      <c r="Q151" s="178"/>
      <c r="R151" s="178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  <c r="CH151" s="181"/>
      <c r="CI151" s="181"/>
      <c r="CJ151" s="181"/>
      <c r="CK151" s="181"/>
      <c r="CL151" s="181"/>
      <c r="CM151" s="181"/>
      <c r="CN151" s="181"/>
      <c r="CO151" s="181"/>
      <c r="CP151" s="181"/>
      <c r="CQ151" s="181"/>
      <c r="CR151" s="181"/>
      <c r="CS151" s="181"/>
      <c r="CT151" s="181"/>
      <c r="CU151" s="181"/>
      <c r="CV151" s="181"/>
    </row>
    <row r="152" spans="2:100" ht="18" customHeight="1" x14ac:dyDescent="0.2">
      <c r="B152" s="371" t="str">
        <f>IF(U53&gt;U50,"The quadratic model produces a significantly smaller overall uncertainty of fit.","The overall uncertainties of fit are not significantly different at the 5% level.")</f>
        <v>The overall uncertainties of fit are not significantly different at the 5% level.</v>
      </c>
      <c r="K152" s="178"/>
      <c r="L152" s="178"/>
      <c r="M152" s="178"/>
      <c r="N152" s="178"/>
      <c r="O152" s="178"/>
      <c r="P152" s="178"/>
      <c r="Q152" s="178"/>
      <c r="R152" s="178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  <c r="CH152" s="181"/>
      <c r="CI152" s="181"/>
      <c r="CJ152" s="181"/>
      <c r="CK152" s="181"/>
      <c r="CL152" s="181"/>
      <c r="CM152" s="181"/>
      <c r="CN152" s="181"/>
      <c r="CO152" s="181"/>
      <c r="CP152" s="181"/>
      <c r="CQ152" s="181"/>
      <c r="CR152" s="181"/>
      <c r="CS152" s="181"/>
      <c r="CT152" s="181"/>
      <c r="CU152" s="181"/>
      <c r="CV152" s="181"/>
    </row>
    <row r="153" spans="2:100" ht="18" customHeight="1" x14ac:dyDescent="0.2">
      <c r="B153" s="371" t="str">
        <f>IF(U53&gt;U50,"The quadratic model appears to be the better choice.","The linear model appears to be the better choice.")</f>
        <v>The linear model appears to be the better choice.</v>
      </c>
      <c r="K153" s="178"/>
      <c r="L153" s="178"/>
      <c r="M153" s="178"/>
      <c r="N153" s="178"/>
      <c r="O153" s="178"/>
      <c r="P153" s="178"/>
      <c r="Q153" s="178"/>
      <c r="R153" s="178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1"/>
      <c r="BF153" s="181"/>
      <c r="BG153" s="181"/>
      <c r="BH153" s="181"/>
      <c r="BI153" s="181"/>
      <c r="BJ153" s="181"/>
      <c r="BK153" s="181"/>
      <c r="BL153" s="181"/>
      <c r="BM153" s="181"/>
      <c r="BN153" s="181"/>
      <c r="BO153" s="181"/>
      <c r="BP153" s="181"/>
      <c r="BQ153" s="181"/>
      <c r="BR153" s="181"/>
      <c r="BS153" s="181"/>
      <c r="BT153" s="181"/>
      <c r="BU153" s="181"/>
      <c r="BV153" s="181"/>
      <c r="BW153" s="181"/>
      <c r="BX153" s="181"/>
      <c r="BY153" s="181"/>
      <c r="BZ153" s="181"/>
      <c r="CA153" s="181"/>
      <c r="CB153" s="181"/>
      <c r="CC153" s="181"/>
      <c r="CD153" s="181"/>
      <c r="CE153" s="181"/>
      <c r="CF153" s="181"/>
      <c r="CG153" s="181"/>
      <c r="CH153" s="181"/>
      <c r="CI153" s="181"/>
      <c r="CJ153" s="181"/>
      <c r="CK153" s="181"/>
      <c r="CL153" s="181"/>
      <c r="CM153" s="181"/>
      <c r="CN153" s="181"/>
      <c r="CO153" s="181"/>
      <c r="CP153" s="181"/>
      <c r="CQ153" s="181"/>
      <c r="CR153" s="181"/>
      <c r="CS153" s="181"/>
      <c r="CT153" s="181"/>
      <c r="CU153" s="181"/>
      <c r="CV153" s="181"/>
    </row>
    <row r="154" spans="2:100" ht="18" customHeight="1" x14ac:dyDescent="0.25">
      <c r="K154" s="178"/>
      <c r="L154" s="178"/>
      <c r="M154" s="178"/>
      <c r="N154" s="178"/>
      <c r="O154" s="178"/>
      <c r="P154" s="178"/>
      <c r="Q154" s="178"/>
      <c r="R154" s="178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90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  <c r="CH154" s="181"/>
      <c r="CI154" s="181"/>
      <c r="CJ154" s="181"/>
      <c r="CK154" s="181"/>
      <c r="CL154" s="181"/>
      <c r="CM154" s="181"/>
      <c r="CN154" s="181"/>
      <c r="CO154" s="181"/>
      <c r="CP154" s="181"/>
      <c r="CQ154" s="181"/>
      <c r="CR154" s="181"/>
      <c r="CS154" s="181"/>
      <c r="CT154" s="181"/>
      <c r="CU154" s="181"/>
      <c r="CV154" s="181"/>
    </row>
    <row r="155" spans="2:100" ht="18" customHeight="1" x14ac:dyDescent="0.25">
      <c r="B155" s="176" t="s">
        <v>99</v>
      </c>
      <c r="K155" s="178"/>
      <c r="L155" s="178"/>
      <c r="M155" s="178"/>
      <c r="N155" s="178"/>
      <c r="O155" s="178"/>
      <c r="P155" s="178"/>
      <c r="Q155" s="178"/>
      <c r="R155" s="178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90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1"/>
      <c r="BX155" s="181"/>
      <c r="BY155" s="181"/>
      <c r="BZ155" s="181"/>
      <c r="CA155" s="181"/>
      <c r="CB155" s="181"/>
      <c r="CC155" s="181"/>
      <c r="CD155" s="181"/>
      <c r="CE155" s="181"/>
      <c r="CF155" s="181"/>
      <c r="CG155" s="181"/>
      <c r="CH155" s="181"/>
      <c r="CI155" s="181"/>
      <c r="CJ155" s="181"/>
      <c r="CK155" s="181"/>
      <c r="CL155" s="181"/>
      <c r="CM155" s="181"/>
      <c r="CN155" s="181"/>
      <c r="CO155" s="181"/>
      <c r="CP155" s="181"/>
      <c r="CQ155" s="181"/>
      <c r="CR155" s="181"/>
      <c r="CS155" s="181"/>
      <c r="CT155" s="181"/>
      <c r="CU155" s="181"/>
      <c r="CV155" s="181"/>
    </row>
    <row r="156" spans="2:100" ht="18" customHeight="1" x14ac:dyDescent="0.25">
      <c r="B156" s="312" t="s">
        <v>125</v>
      </c>
      <c r="K156" s="178"/>
      <c r="L156" s="178"/>
      <c r="M156" s="178"/>
      <c r="N156" s="187"/>
      <c r="O156" s="187"/>
      <c r="P156" s="187"/>
      <c r="Q156" s="187"/>
      <c r="R156" s="187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</row>
    <row r="157" spans="2:100" ht="18" customHeight="1" x14ac:dyDescent="0.25">
      <c r="B157" s="312"/>
      <c r="K157" s="178"/>
      <c r="L157" s="178"/>
      <c r="M157" s="178"/>
      <c r="N157" s="178"/>
      <c r="O157" s="178"/>
      <c r="P157" s="178"/>
      <c r="Q157" s="178"/>
      <c r="R157" s="178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90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</row>
    <row r="164" spans="2:11" ht="18" customHeight="1" x14ac:dyDescent="0.2">
      <c r="B164" s="177"/>
      <c r="C164" s="177"/>
      <c r="D164" s="177"/>
      <c r="E164" s="177"/>
      <c r="F164" s="177"/>
      <c r="G164" s="177"/>
      <c r="H164" s="177"/>
      <c r="I164" s="177"/>
      <c r="J164" s="177"/>
    </row>
    <row r="165" spans="2:11" ht="18" customHeight="1" x14ac:dyDescent="0.2">
      <c r="B165" s="177"/>
      <c r="C165" s="177"/>
      <c r="D165" s="177"/>
      <c r="E165" s="177"/>
      <c r="F165" s="177"/>
      <c r="G165" s="177"/>
      <c r="H165" s="177"/>
      <c r="I165" s="177"/>
      <c r="J165" s="177"/>
    </row>
    <row r="166" spans="2:11" ht="18" customHeight="1" x14ac:dyDescent="0.2">
      <c r="B166" s="177"/>
      <c r="C166" s="177"/>
      <c r="D166" s="177"/>
      <c r="E166" s="177"/>
      <c r="F166" s="177"/>
      <c r="G166" s="177"/>
      <c r="H166" s="177"/>
      <c r="I166" s="177"/>
      <c r="J166" s="177"/>
    </row>
    <row r="168" spans="2:11" ht="18" customHeight="1" x14ac:dyDescent="0.2">
      <c r="K168" s="177"/>
    </row>
    <row r="169" spans="2:11" ht="18" customHeight="1" x14ac:dyDescent="0.2">
      <c r="K169" s="177"/>
    </row>
    <row r="170" spans="2:11" ht="18" customHeight="1" x14ac:dyDescent="0.2">
      <c r="K170" s="177"/>
    </row>
    <row r="171" spans="2:11" ht="18" customHeight="1" x14ac:dyDescent="0.2">
      <c r="K171" s="177"/>
    </row>
    <row r="172" spans="2:11" ht="18" customHeight="1" x14ac:dyDescent="0.2">
      <c r="K172" s="177"/>
    </row>
  </sheetData>
  <sheetProtection sheet="1" objects="1"/>
  <protectedRanges>
    <protectedRange sqref="C12:D61" name="Range1"/>
  </protectedRanges>
  <phoneticPr fontId="35" type="noConversion"/>
  <pageMargins left="1" right="1" top="0.5" bottom="0.5" header="0.2" footer="0.2"/>
  <pageSetup scale="67" orientation="portrait"/>
  <headerFooter alignWithMargins="0">
    <oddFooter>&amp;L&amp;F&amp;CPage &amp;P&amp;R&amp;D</oddFooter>
  </headerFooter>
  <rowBreaks count="4" manualBreakCount="4">
    <brk id="60" max="65535" man="1"/>
    <brk id="92" max="65535" man="1"/>
    <brk id="131" max="65535" man="1"/>
    <brk id="155" max="65535" man="1"/>
  </rowBreaks>
  <colBreaks count="3" manualBreakCount="3">
    <brk id="10" max="1048575" man="1"/>
    <brk id="18" max="1048575" man="1"/>
    <brk id="27" max="104857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172"/>
  <sheetViews>
    <sheetView showGridLines="0" zoomScale="80" workbookViewId="0">
      <selection activeCell="D22" sqref="D22"/>
    </sheetView>
  </sheetViews>
  <sheetFormatPr defaultColWidth="10.125" defaultRowHeight="18" customHeight="1" x14ac:dyDescent="0.2"/>
  <cols>
    <col min="1" max="1" width="4.375" style="176" customWidth="1"/>
    <col min="2" max="2" width="13.125" style="176" customWidth="1"/>
    <col min="3" max="3" width="14.625" style="176" customWidth="1"/>
    <col min="4" max="4" width="10.125" style="176"/>
    <col min="5" max="5" width="12" style="176" customWidth="1"/>
    <col min="6" max="6" width="10.125" style="176"/>
    <col min="7" max="7" width="12" style="176" customWidth="1"/>
    <col min="8" max="11" width="10.125" style="176"/>
    <col min="12" max="12" width="12.625" style="176" customWidth="1"/>
    <col min="13" max="14" width="12" style="176" customWidth="1"/>
    <col min="15" max="15" width="10.125" style="176"/>
    <col min="16" max="16" width="15.375" style="176" customWidth="1"/>
    <col min="17" max="18" width="10.125" style="176"/>
    <col min="19" max="23" width="10.125" style="177"/>
    <col min="24" max="24" width="12.5" style="177" customWidth="1"/>
    <col min="25" max="25" width="14.875" style="177" customWidth="1"/>
    <col min="26" max="27" width="10.125" style="177"/>
    <col min="28" max="28" width="14.625" style="177" customWidth="1"/>
    <col min="29" max="29" width="13.125" style="177" customWidth="1"/>
    <col min="30" max="31" width="14.875" style="177" customWidth="1"/>
    <col min="32" max="32" width="14.625" style="177" customWidth="1"/>
    <col min="33" max="33" width="14.375" style="177" customWidth="1"/>
    <col min="34" max="34" width="14.5" style="177" customWidth="1"/>
    <col min="35" max="35" width="14.625" style="177" customWidth="1"/>
    <col min="36" max="37" width="10.125" style="177"/>
    <col min="38" max="46" width="10.5" style="177" customWidth="1"/>
    <col min="47" max="47" width="15.125" style="177" customWidth="1"/>
    <col min="48" max="51" width="10.5" style="177" customWidth="1"/>
    <col min="52" max="52" width="15.375" style="177" customWidth="1"/>
    <col min="53" max="55" width="10.5" style="177" customWidth="1"/>
    <col min="56" max="56" width="13" style="177" customWidth="1"/>
    <col min="57" max="57" width="14.625" style="177" customWidth="1"/>
    <col min="58" max="58" width="15.375" style="177" customWidth="1"/>
    <col min="59" max="61" width="14.625" style="177" customWidth="1"/>
    <col min="62" max="64" width="18.875" style="177" customWidth="1"/>
    <col min="65" max="65" width="14.625" style="177" customWidth="1"/>
    <col min="66" max="66" width="18.875" style="177" customWidth="1"/>
    <col min="67" max="67" width="14.625" style="177" customWidth="1"/>
    <col min="68" max="68" width="11.5" style="177" customWidth="1"/>
    <col min="69" max="69" width="14.625" style="177" customWidth="1"/>
    <col min="70" max="70" width="15.375" style="177" customWidth="1"/>
    <col min="71" max="71" width="14.625" style="177" customWidth="1"/>
    <col min="72" max="72" width="15.375" style="177" customWidth="1"/>
    <col min="73" max="73" width="14.625" style="177" customWidth="1"/>
    <col min="74" max="79" width="10.125" style="177"/>
    <col min="80" max="81" width="10.5" style="177" customWidth="1"/>
    <col min="82" max="82" width="10.875" style="177" customWidth="1"/>
    <col min="83" max="83" width="10.125" style="177"/>
    <col min="84" max="84" width="10.875" style="177" customWidth="1"/>
    <col min="85" max="85" width="10.125" style="177"/>
    <col min="86" max="86" width="10.875" style="177" customWidth="1"/>
    <col min="87" max="87" width="10.125" style="177"/>
    <col min="88" max="88" width="10.875" style="177" customWidth="1"/>
    <col min="89" max="89" width="11.5" style="177" customWidth="1"/>
    <col min="90" max="16384" width="10.125" style="177"/>
  </cols>
  <sheetData>
    <row r="1" spans="1:101" ht="18" customHeight="1" x14ac:dyDescent="0.25">
      <c r="A1" s="175" t="s">
        <v>175</v>
      </c>
    </row>
    <row r="2" spans="1:101" ht="18" customHeight="1" thickBot="1" x14ac:dyDescent="0.25"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78"/>
      <c r="M2" s="178"/>
      <c r="N2" s="178"/>
      <c r="O2" s="178"/>
      <c r="P2" s="178"/>
      <c r="Q2" s="178"/>
      <c r="R2" s="178"/>
      <c r="S2" s="179"/>
      <c r="T2" s="179"/>
      <c r="U2" s="179"/>
      <c r="V2" s="179"/>
      <c r="W2" s="179"/>
      <c r="X2" s="179"/>
      <c r="Y2" s="179"/>
      <c r="Z2" s="179"/>
      <c r="AA2" s="179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2"/>
    </row>
    <row r="3" spans="1:101" s="176" customFormat="1" ht="18" customHeight="1" thickTop="1" thickBot="1" x14ac:dyDescent="0.3">
      <c r="B3" s="183" t="s">
        <v>22</v>
      </c>
      <c r="C3" s="184"/>
      <c r="D3" s="185" t="s">
        <v>23</v>
      </c>
      <c r="E3" s="185"/>
      <c r="F3" s="185"/>
      <c r="G3" s="177"/>
      <c r="H3" s="177"/>
      <c r="I3" s="177"/>
      <c r="J3" s="177"/>
      <c r="K3" s="186" t="s">
        <v>29</v>
      </c>
      <c r="L3" s="178"/>
      <c r="M3" s="178"/>
      <c r="N3" s="187"/>
      <c r="O3" s="187"/>
      <c r="P3" s="187"/>
      <c r="Q3" s="187"/>
      <c r="R3" s="187"/>
      <c r="S3" s="188" t="s">
        <v>30</v>
      </c>
      <c r="T3" s="179"/>
      <c r="U3" s="179"/>
      <c r="V3" s="179"/>
      <c r="W3" s="179"/>
      <c r="X3" s="179"/>
      <c r="Y3" s="179"/>
      <c r="Z3" s="179"/>
      <c r="AA3" s="179"/>
      <c r="AB3" s="189" t="s">
        <v>31</v>
      </c>
      <c r="AC3" s="180"/>
      <c r="AD3" s="180"/>
      <c r="AE3" s="180"/>
      <c r="AF3" s="180"/>
      <c r="AG3" s="180"/>
      <c r="AH3" s="180"/>
      <c r="AI3" s="189" t="s">
        <v>31</v>
      </c>
      <c r="AJ3" s="180"/>
      <c r="AK3" s="180"/>
      <c r="AL3" s="180"/>
      <c r="AM3" s="180"/>
      <c r="AN3" s="180"/>
      <c r="AO3" s="180"/>
      <c r="AP3" s="189" t="s">
        <v>31</v>
      </c>
      <c r="AQ3" s="180"/>
      <c r="AR3" s="180"/>
      <c r="AS3" s="180"/>
      <c r="AT3" s="180"/>
      <c r="AU3" s="180"/>
      <c r="AV3" s="180"/>
      <c r="AW3" s="189" t="s">
        <v>31</v>
      </c>
      <c r="AX3" s="180"/>
      <c r="AY3" s="180"/>
      <c r="AZ3" s="180"/>
      <c r="BA3" s="180"/>
      <c r="BB3" s="180"/>
      <c r="BC3" s="180"/>
      <c r="BD3" s="180"/>
      <c r="BE3" s="190" t="s">
        <v>32</v>
      </c>
      <c r="BF3" s="191"/>
      <c r="BG3" s="191"/>
      <c r="BH3" s="191"/>
      <c r="BI3" s="191"/>
      <c r="BJ3" s="191"/>
      <c r="BK3" s="191"/>
      <c r="BL3" s="190" t="s">
        <v>32</v>
      </c>
      <c r="BM3" s="191"/>
      <c r="BN3" s="191"/>
      <c r="BO3" s="191"/>
      <c r="BP3" s="191"/>
      <c r="BQ3" s="191"/>
      <c r="BR3" s="191"/>
      <c r="BS3" s="190" t="s">
        <v>32</v>
      </c>
      <c r="BT3" s="191"/>
      <c r="BU3" s="191"/>
      <c r="BV3" s="191"/>
      <c r="BW3" s="191"/>
      <c r="BX3" s="191"/>
      <c r="BY3" s="191"/>
      <c r="BZ3" s="190" t="s">
        <v>32</v>
      </c>
      <c r="CA3" s="191"/>
      <c r="CB3" s="191"/>
      <c r="CC3" s="191"/>
      <c r="CD3" s="191"/>
      <c r="CE3" s="191"/>
      <c r="CF3" s="191"/>
      <c r="CG3" s="190" t="s">
        <v>32</v>
      </c>
      <c r="CH3" s="191"/>
      <c r="CI3" s="191"/>
      <c r="CJ3" s="191"/>
      <c r="CK3" s="191"/>
      <c r="CL3" s="191"/>
      <c r="CM3" s="191"/>
      <c r="CN3" s="190" t="s">
        <v>32</v>
      </c>
      <c r="CO3" s="191"/>
      <c r="CP3" s="191"/>
      <c r="CQ3" s="191"/>
      <c r="CR3" s="191"/>
      <c r="CS3" s="191"/>
      <c r="CT3" s="191"/>
      <c r="CU3" s="191"/>
      <c r="CV3" s="191"/>
      <c r="CW3" s="192"/>
    </row>
    <row r="4" spans="1:101" s="176" customFormat="1" ht="18" customHeight="1" thickTop="1" x14ac:dyDescent="0.2">
      <c r="B4" s="184"/>
      <c r="C4" s="184"/>
      <c r="D4" s="184"/>
      <c r="E4" s="184"/>
      <c r="F4" s="184"/>
      <c r="K4" s="178"/>
      <c r="L4" s="178"/>
      <c r="M4" s="178"/>
      <c r="N4" s="178"/>
      <c r="O4" s="178"/>
      <c r="P4" s="178"/>
      <c r="Q4" s="178"/>
      <c r="R4" s="178"/>
      <c r="S4" s="193"/>
      <c r="T4" s="193"/>
      <c r="U4" s="193"/>
      <c r="V4" s="193"/>
      <c r="W4" s="193"/>
      <c r="X4" s="193"/>
      <c r="Y4" s="193"/>
      <c r="Z4" s="193"/>
      <c r="AA4" s="193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2"/>
    </row>
    <row r="5" spans="1:101" s="176" customFormat="1" ht="18" customHeight="1" x14ac:dyDescent="0.2">
      <c r="B5" s="195" t="s">
        <v>181</v>
      </c>
      <c r="C5" s="196"/>
      <c r="D5" s="196"/>
      <c r="E5" s="196"/>
      <c r="F5" s="196"/>
      <c r="K5" s="178"/>
      <c r="L5" s="178"/>
      <c r="M5" s="178"/>
      <c r="N5" s="178"/>
      <c r="O5" s="178"/>
      <c r="P5" s="178"/>
      <c r="Q5" s="178"/>
      <c r="R5" s="178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2"/>
    </row>
    <row r="6" spans="1:101" s="176" customFormat="1" ht="18" customHeight="1" x14ac:dyDescent="0.2">
      <c r="B6" s="176" t="s">
        <v>177</v>
      </c>
      <c r="C6" s="184"/>
      <c r="D6" s="184"/>
      <c r="E6" s="184"/>
      <c r="F6" s="184"/>
      <c r="K6" s="178"/>
      <c r="L6" s="178"/>
      <c r="M6" s="178"/>
      <c r="N6" s="178"/>
      <c r="O6" s="178"/>
      <c r="P6" s="178"/>
      <c r="Q6" s="178"/>
      <c r="R6" s="178"/>
      <c r="S6" s="193"/>
      <c r="T6" s="193"/>
      <c r="U6" s="193"/>
      <c r="V6" s="193"/>
      <c r="W6" s="193"/>
      <c r="X6" s="193"/>
      <c r="Y6" s="193"/>
      <c r="Z6" s="193"/>
      <c r="AA6" s="193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2"/>
    </row>
    <row r="7" spans="1:101" s="176" customFormat="1" ht="18" customHeight="1" x14ac:dyDescent="0.2">
      <c r="B7" s="176" t="s">
        <v>182</v>
      </c>
      <c r="C7" s="184"/>
      <c r="D7" s="184"/>
      <c r="E7" s="184"/>
      <c r="F7" s="184"/>
      <c r="K7" s="178"/>
      <c r="L7" s="178"/>
      <c r="M7" s="178"/>
      <c r="N7" s="178"/>
      <c r="O7" s="178"/>
      <c r="P7" s="178"/>
      <c r="Q7" s="178"/>
      <c r="R7" s="178"/>
      <c r="S7" s="193"/>
      <c r="T7" s="193"/>
      <c r="U7" s="193"/>
      <c r="V7" s="193"/>
      <c r="W7" s="193"/>
      <c r="X7" s="193"/>
      <c r="Y7" s="193"/>
      <c r="Z7" s="193"/>
      <c r="AA7" s="193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2"/>
    </row>
    <row r="8" spans="1:101" s="176" customFormat="1" ht="18" customHeight="1" x14ac:dyDescent="0.2">
      <c r="B8" s="176" t="s">
        <v>179</v>
      </c>
      <c r="C8" s="184"/>
      <c r="D8" s="184"/>
      <c r="E8" s="184"/>
      <c r="F8" s="184"/>
      <c r="K8" s="178"/>
      <c r="L8" s="178"/>
      <c r="M8" s="178"/>
      <c r="N8" s="178"/>
      <c r="O8" s="178"/>
      <c r="P8" s="178"/>
      <c r="Q8" s="178"/>
      <c r="R8" s="178"/>
      <c r="S8" s="193"/>
      <c r="T8" s="193"/>
      <c r="U8" s="193"/>
      <c r="V8" s="193"/>
      <c r="W8" s="193"/>
      <c r="X8" s="193"/>
      <c r="Y8" s="193"/>
      <c r="Z8" s="193"/>
      <c r="AA8" s="193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2"/>
    </row>
    <row r="9" spans="1:101" ht="18" customHeight="1" x14ac:dyDescent="0.2">
      <c r="B9" s="176" t="s">
        <v>180</v>
      </c>
      <c r="C9" s="184"/>
      <c r="D9" s="184"/>
      <c r="E9" s="184"/>
      <c r="F9" s="184"/>
      <c r="K9" s="187"/>
      <c r="L9" s="187"/>
      <c r="M9" s="187"/>
      <c r="N9" s="187"/>
      <c r="O9" s="187"/>
      <c r="P9" s="187"/>
      <c r="Q9" s="187"/>
      <c r="R9" s="187"/>
      <c r="S9" s="179"/>
      <c r="T9" s="179"/>
      <c r="U9" s="179"/>
      <c r="V9" s="179"/>
      <c r="W9" s="179"/>
      <c r="X9" s="179"/>
      <c r="Y9" s="179"/>
      <c r="Z9" s="179"/>
      <c r="AA9" s="179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2"/>
    </row>
    <row r="10" spans="1:101" ht="18" customHeight="1" thickBot="1" x14ac:dyDescent="0.25">
      <c r="K10" s="187"/>
      <c r="L10" s="187"/>
      <c r="M10" s="187"/>
      <c r="N10" s="187"/>
      <c r="O10" s="187"/>
      <c r="P10" s="187"/>
      <c r="Q10" s="187"/>
      <c r="R10" s="187"/>
      <c r="S10" s="179"/>
      <c r="T10" s="179"/>
      <c r="U10" s="179"/>
      <c r="V10" s="179"/>
      <c r="W10" s="179"/>
      <c r="X10" s="179"/>
      <c r="Y10" s="179"/>
      <c r="Z10" s="179"/>
      <c r="AA10" s="179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2"/>
    </row>
    <row r="11" spans="1:101" ht="18" customHeight="1" thickTop="1" thickBot="1" x14ac:dyDescent="0.4">
      <c r="B11" s="197" t="s">
        <v>33</v>
      </c>
      <c r="C11" s="198" t="s">
        <v>34</v>
      </c>
      <c r="D11" s="198" t="s">
        <v>35</v>
      </c>
      <c r="F11" s="199" t="s">
        <v>36</v>
      </c>
      <c r="G11" s="177"/>
      <c r="H11" s="177"/>
      <c r="I11" s="177"/>
      <c r="J11" s="177"/>
      <c r="K11" s="178" t="s">
        <v>37</v>
      </c>
      <c r="L11" s="200"/>
      <c r="M11" s="200"/>
      <c r="N11" s="187"/>
      <c r="O11" s="187"/>
      <c r="P11" s="187"/>
      <c r="Q11" s="187"/>
      <c r="R11" s="187"/>
      <c r="S11" s="201" t="s">
        <v>38</v>
      </c>
      <c r="T11" s="193"/>
      <c r="U11" s="193" t="s">
        <v>37</v>
      </c>
      <c r="V11" s="202"/>
      <c r="W11" s="202"/>
      <c r="X11" s="179"/>
      <c r="Y11" s="179"/>
      <c r="Z11" s="179"/>
      <c r="AA11" s="179"/>
      <c r="AB11" s="203" t="s">
        <v>39</v>
      </c>
      <c r="AC11" s="180"/>
      <c r="AD11" s="194" t="s">
        <v>37</v>
      </c>
      <c r="AE11" s="204"/>
      <c r="AF11" s="204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205" t="s">
        <v>40</v>
      </c>
      <c r="BF11" s="181"/>
      <c r="BG11" s="191" t="s">
        <v>37</v>
      </c>
      <c r="BH11" s="206"/>
      <c r="BI11" s="206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2"/>
    </row>
    <row r="12" spans="1:101" ht="18" customHeight="1" thickTop="1" x14ac:dyDescent="0.2">
      <c r="B12" s="207">
        <v>1</v>
      </c>
      <c r="C12" s="208">
        <v>16000</v>
      </c>
      <c r="D12" s="209">
        <v>16023.021428571428</v>
      </c>
      <c r="E12" s="210"/>
      <c r="F12" s="177"/>
      <c r="G12" s="177"/>
      <c r="H12" s="177"/>
      <c r="I12" s="177"/>
      <c r="J12" s="177"/>
      <c r="K12" s="211">
        <f>n_new</f>
        <v>5</v>
      </c>
      <c r="L12" s="212">
        <f>K13</f>
        <v>46000</v>
      </c>
      <c r="M12" s="200"/>
      <c r="N12" s="187"/>
      <c r="O12" s="187"/>
      <c r="P12" s="187"/>
      <c r="Q12" s="187"/>
      <c r="R12" s="187"/>
      <c r="S12" s="213">
        <f>C12^2</f>
        <v>256000000</v>
      </c>
      <c r="T12" s="202"/>
      <c r="U12" s="214">
        <f>n_new</f>
        <v>5</v>
      </c>
      <c r="V12" s="215">
        <f>L12</f>
        <v>46000</v>
      </c>
      <c r="W12" s="216">
        <f>U14</f>
        <v>516000000</v>
      </c>
      <c r="X12" s="179"/>
      <c r="Y12" s="179"/>
      <c r="Z12" s="179"/>
      <c r="AA12" s="179"/>
      <c r="AB12" s="217">
        <f>C12^3</f>
        <v>4096000000000</v>
      </c>
      <c r="AC12" s="180"/>
      <c r="AD12" s="218">
        <f t="shared" ref="AD12:AF14" si="0">U12</f>
        <v>5</v>
      </c>
      <c r="AE12" s="219">
        <f t="shared" si="0"/>
        <v>46000</v>
      </c>
      <c r="AF12" s="219">
        <f t="shared" si="0"/>
        <v>516000000</v>
      </c>
      <c r="AG12" s="220">
        <f>AD15</f>
        <v>6616000000000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221">
        <f>C12^4</f>
        <v>6.5536E+16</v>
      </c>
      <c r="BF12" s="181"/>
      <c r="BG12" s="222">
        <f t="shared" ref="BG12:BJ15" si="1">AD12</f>
        <v>5</v>
      </c>
      <c r="BH12" s="223">
        <f t="shared" si="1"/>
        <v>46000</v>
      </c>
      <c r="BI12" s="223">
        <f t="shared" si="1"/>
        <v>516000000</v>
      </c>
      <c r="BJ12" s="223">
        <f t="shared" si="1"/>
        <v>6616000000000</v>
      </c>
      <c r="BK12" s="224">
        <f>BH15</f>
        <v>9.192E+16</v>
      </c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2"/>
    </row>
    <row r="13" spans="1:101" ht="18" customHeight="1" x14ac:dyDescent="0.3">
      <c r="B13" s="225">
        <v>2</v>
      </c>
      <c r="C13" s="226">
        <v>12000</v>
      </c>
      <c r="D13" s="227">
        <v>12049.85367647059</v>
      </c>
      <c r="E13" s="210"/>
      <c r="F13" s="228" t="s">
        <v>41</v>
      </c>
      <c r="G13" s="229"/>
      <c r="H13" s="230"/>
      <c r="I13" s="177"/>
      <c r="J13" s="177"/>
      <c r="K13" s="231">
        <f>SUM(X_new)</f>
        <v>46000</v>
      </c>
      <c r="L13" s="232">
        <f>SUMPRODUCT(X_new,X_new)</f>
        <v>516000000</v>
      </c>
      <c r="M13" s="200"/>
      <c r="N13" s="187"/>
      <c r="O13" s="187"/>
      <c r="P13" s="187"/>
      <c r="Q13" s="187"/>
      <c r="R13" s="187"/>
      <c r="S13" s="233">
        <f>C13^2</f>
        <v>144000000</v>
      </c>
      <c r="T13" s="234"/>
      <c r="U13" s="235">
        <f>K13</f>
        <v>46000</v>
      </c>
      <c r="V13" s="236">
        <f>L13</f>
        <v>516000000</v>
      </c>
      <c r="W13" s="237">
        <f>V14</f>
        <v>6616000000000</v>
      </c>
      <c r="X13" s="179"/>
      <c r="Y13" s="179"/>
      <c r="Z13" s="179"/>
      <c r="AA13" s="179"/>
      <c r="AB13" s="238">
        <f>C13^3</f>
        <v>1728000000000</v>
      </c>
      <c r="AC13" s="180"/>
      <c r="AD13" s="239">
        <f t="shared" si="0"/>
        <v>46000</v>
      </c>
      <c r="AE13" s="240">
        <f t="shared" si="0"/>
        <v>516000000</v>
      </c>
      <c r="AF13" s="240">
        <f t="shared" si="0"/>
        <v>6616000000000</v>
      </c>
      <c r="AG13" s="241">
        <f>AE15</f>
        <v>9.192E+16</v>
      </c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242">
        <f>C13^4</f>
        <v>2.0736E+16</v>
      </c>
      <c r="BF13" s="181"/>
      <c r="BG13" s="243">
        <f t="shared" si="1"/>
        <v>46000</v>
      </c>
      <c r="BH13" s="244">
        <f t="shared" si="1"/>
        <v>516000000</v>
      </c>
      <c r="BI13" s="244">
        <f t="shared" si="1"/>
        <v>6616000000000</v>
      </c>
      <c r="BJ13" s="244">
        <f t="shared" si="1"/>
        <v>9.192E+16</v>
      </c>
      <c r="BK13" s="245">
        <f>BI15</f>
        <v>1.338976E+21</v>
      </c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2"/>
    </row>
    <row r="14" spans="1:101" ht="18" customHeight="1" thickBot="1" x14ac:dyDescent="0.25">
      <c r="B14" s="225">
        <v>3</v>
      </c>
      <c r="C14" s="226">
        <v>8000</v>
      </c>
      <c r="D14" s="227">
        <v>8052.8167968750076</v>
      </c>
      <c r="E14" s="210"/>
      <c r="F14" s="177"/>
      <c r="G14" s="177"/>
      <c r="H14" s="177"/>
      <c r="I14" s="177"/>
      <c r="J14" s="177"/>
      <c r="K14" s="200"/>
      <c r="L14" s="200"/>
      <c r="M14" s="200"/>
      <c r="N14" s="187"/>
      <c r="O14" s="187"/>
      <c r="P14" s="187"/>
      <c r="Q14" s="187"/>
      <c r="R14" s="187"/>
      <c r="S14" s="233">
        <f>C14^2</f>
        <v>64000000</v>
      </c>
      <c r="T14" s="202"/>
      <c r="U14" s="246">
        <f>SUM(S12:S61)</f>
        <v>516000000</v>
      </c>
      <c r="V14" s="247">
        <f>SUMPRODUCT(X_new,S12:S61)</f>
        <v>6616000000000</v>
      </c>
      <c r="W14" s="248">
        <f>SUMPRODUCT(S12:S61,S12:S61)</f>
        <v>9.192E+16</v>
      </c>
      <c r="X14" s="179"/>
      <c r="Y14" s="179"/>
      <c r="Z14" s="179"/>
      <c r="AA14" s="179"/>
      <c r="AB14" s="238">
        <f>C14^3</f>
        <v>512000000000</v>
      </c>
      <c r="AC14" s="180"/>
      <c r="AD14" s="239">
        <f t="shared" si="0"/>
        <v>516000000</v>
      </c>
      <c r="AE14" s="240">
        <f t="shared" si="0"/>
        <v>6616000000000</v>
      </c>
      <c r="AF14" s="240">
        <f t="shared" si="0"/>
        <v>9.192E+16</v>
      </c>
      <c r="AG14" s="241">
        <f>AF15</f>
        <v>1.338976E+21</v>
      </c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242">
        <f>C14^4</f>
        <v>4096000000000000</v>
      </c>
      <c r="BF14" s="181"/>
      <c r="BG14" s="243">
        <f t="shared" si="1"/>
        <v>516000000</v>
      </c>
      <c r="BH14" s="244">
        <f t="shared" si="1"/>
        <v>6616000000000</v>
      </c>
      <c r="BI14" s="244">
        <f t="shared" si="1"/>
        <v>9.192E+16</v>
      </c>
      <c r="BJ14" s="244">
        <f t="shared" si="1"/>
        <v>1.338976E+21</v>
      </c>
      <c r="BK14" s="245">
        <f>BJ15</f>
        <v>2.0076095999999998E+25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2"/>
    </row>
    <row r="15" spans="1:101" ht="18" customHeight="1" thickTop="1" thickBot="1" x14ac:dyDescent="0.35">
      <c r="B15" s="225">
        <f>IF(C15="","",+B14+1)</f>
        <v>4</v>
      </c>
      <c r="C15" s="226">
        <v>6000</v>
      </c>
      <c r="D15" s="227">
        <v>6021.3230452674898</v>
      </c>
      <c r="E15" s="210"/>
      <c r="F15" s="249" t="s">
        <v>42</v>
      </c>
      <c r="G15" s="250"/>
      <c r="H15" s="251"/>
      <c r="I15" s="177"/>
      <c r="J15" s="177"/>
      <c r="K15" s="252" t="s">
        <v>43</v>
      </c>
      <c r="L15" s="200"/>
      <c r="M15" s="200"/>
      <c r="N15" s="187"/>
      <c r="O15" s="187"/>
      <c r="P15" s="187"/>
      <c r="Q15" s="187"/>
      <c r="R15" s="187"/>
      <c r="S15" s="253">
        <f t="shared" ref="S15:S61" si="2">IF(C15="","",+C15^2)</f>
        <v>36000000</v>
      </c>
      <c r="T15" s="234"/>
      <c r="U15" s="202"/>
      <c r="V15" s="202"/>
      <c r="W15" s="202"/>
      <c r="X15" s="179"/>
      <c r="Y15" s="179"/>
      <c r="Z15" s="179"/>
      <c r="AA15" s="179"/>
      <c r="AB15" s="254">
        <f t="shared" ref="AB15:AB61" si="3">IF(C15="","",+C15^3)</f>
        <v>216000000000</v>
      </c>
      <c r="AC15" s="180"/>
      <c r="AD15" s="255">
        <f>SUM(xcubed_new)</f>
        <v>6616000000000</v>
      </c>
      <c r="AE15" s="256">
        <f>SUMPRODUCT(X_new,xcubed_new)</f>
        <v>9.192E+16</v>
      </c>
      <c r="AF15" s="256">
        <f>SUMPRODUCT(xsquared_new,xcubed_new)</f>
        <v>1.338976E+21</v>
      </c>
      <c r="AG15" s="257">
        <f>SUMPRODUCT(xcubed_new,xcubed_new)</f>
        <v>2.0076095999999998E+25</v>
      </c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258">
        <f t="shared" ref="BE15:BE61" si="4">IF(C15="","",C15^4)</f>
        <v>1296000000000000</v>
      </c>
      <c r="BF15" s="181"/>
      <c r="BG15" s="243">
        <f t="shared" si="1"/>
        <v>6616000000000</v>
      </c>
      <c r="BH15" s="244">
        <f t="shared" si="1"/>
        <v>9.192E+16</v>
      </c>
      <c r="BI15" s="244">
        <f t="shared" si="1"/>
        <v>1.338976E+21</v>
      </c>
      <c r="BJ15" s="244">
        <f t="shared" si="1"/>
        <v>2.0076095999999998E+25</v>
      </c>
      <c r="BK15" s="245">
        <f>BJ16</f>
        <v>3.0666073600000005E+29</v>
      </c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2"/>
    </row>
    <row r="16" spans="1:101" ht="18" customHeight="1" thickTop="1" x14ac:dyDescent="0.2">
      <c r="B16" s="225">
        <f t="shared" ref="B16:B61" si="5">IF(C16="","",+B15+1)</f>
        <v>5</v>
      </c>
      <c r="C16" s="226">
        <v>4000</v>
      </c>
      <c r="D16" s="227">
        <v>4024.5459090909085</v>
      </c>
      <c r="E16" s="210"/>
      <c r="F16" s="177"/>
      <c r="G16" s="177"/>
      <c r="H16" s="177"/>
      <c r="I16" s="177"/>
      <c r="J16" s="177"/>
      <c r="K16" s="259">
        <f>MDETERM(K12:L13)</f>
        <v>464000000.00000024</v>
      </c>
      <c r="L16" s="200"/>
      <c r="M16" s="200"/>
      <c r="N16" s="187"/>
      <c r="O16" s="187"/>
      <c r="P16" s="187"/>
      <c r="Q16" s="187"/>
      <c r="R16" s="187"/>
      <c r="S16" s="233">
        <f t="shared" si="2"/>
        <v>16000000</v>
      </c>
      <c r="T16" s="202"/>
      <c r="U16" s="193" t="s">
        <v>43</v>
      </c>
      <c r="V16" s="202"/>
      <c r="W16" s="202"/>
      <c r="X16" s="179"/>
      <c r="Y16" s="179"/>
      <c r="Z16" s="179"/>
      <c r="AA16" s="179"/>
      <c r="AB16" s="238">
        <f t="shared" si="3"/>
        <v>64000000000</v>
      </c>
      <c r="AC16" s="180"/>
      <c r="AD16" s="194" t="s">
        <v>43</v>
      </c>
      <c r="AE16" s="204"/>
      <c r="AF16" s="204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242">
        <f t="shared" si="4"/>
        <v>256000000000000</v>
      </c>
      <c r="BF16" s="181"/>
      <c r="BG16" s="260">
        <f>SUM(BE12:BE61)</f>
        <v>9.192E+16</v>
      </c>
      <c r="BH16" s="261">
        <f>SUMPRODUCT(X_new,BE12:BE61)</f>
        <v>1.338976E+21</v>
      </c>
      <c r="BI16" s="261">
        <f>SUMPRODUCT(xsquared_new,BE12:BE61)</f>
        <v>2.0076095999999998E+25</v>
      </c>
      <c r="BJ16" s="261">
        <f>SUMPRODUCT(xcubed_new,BE12:BE61)</f>
        <v>3.0666073600000005E+29</v>
      </c>
      <c r="BK16" s="262">
        <f>SUMPRODUCT(BE12:BE61,BE12:BE61)</f>
        <v>4.7434713600000003E+33</v>
      </c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2"/>
    </row>
    <row r="17" spans="2:101" ht="18" customHeight="1" x14ac:dyDescent="0.2">
      <c r="B17" s="225" t="str">
        <f t="shared" si="5"/>
        <v/>
      </c>
      <c r="C17" s="226"/>
      <c r="D17" s="263"/>
      <c r="E17" s="210"/>
      <c r="F17" s="177" t="s">
        <v>44</v>
      </c>
      <c r="G17" s="177"/>
      <c r="H17" s="177"/>
      <c r="I17" s="177"/>
      <c r="J17" s="177"/>
      <c r="K17" s="200"/>
      <c r="L17" s="200"/>
      <c r="M17" s="200"/>
      <c r="N17" s="187"/>
      <c r="O17" s="187"/>
      <c r="P17" s="187"/>
      <c r="Q17" s="187"/>
      <c r="R17" s="187"/>
      <c r="S17" s="233" t="str">
        <f t="shared" si="2"/>
        <v/>
      </c>
      <c r="T17" s="202"/>
      <c r="U17" s="264">
        <f>MDETERM(U12:W14)</f>
        <v>4.8025599999999188E+23</v>
      </c>
      <c r="V17" s="202"/>
      <c r="W17" s="202"/>
      <c r="X17" s="179"/>
      <c r="Y17" s="179"/>
      <c r="Z17" s="179"/>
      <c r="AA17" s="179"/>
      <c r="AB17" s="238" t="str">
        <f t="shared" si="3"/>
        <v/>
      </c>
      <c r="AC17" s="180"/>
      <c r="AD17" s="265">
        <f>MDETERM(AD12:AG15)</f>
        <v>5.0205818880005768E+45</v>
      </c>
      <c r="AE17" s="204"/>
      <c r="AF17" s="204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242" t="str">
        <f t="shared" si="4"/>
        <v/>
      </c>
      <c r="BF17" s="181">
        <v>1</v>
      </c>
      <c r="BG17" s="191">
        <v>2</v>
      </c>
      <c r="BH17" s="191">
        <v>3</v>
      </c>
      <c r="BI17" s="191">
        <v>4</v>
      </c>
      <c r="BJ17" s="191">
        <v>5</v>
      </c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2"/>
    </row>
    <row r="18" spans="2:101" ht="18" customHeight="1" x14ac:dyDescent="0.2">
      <c r="B18" s="225" t="str">
        <f t="shared" si="5"/>
        <v/>
      </c>
      <c r="C18" s="266"/>
      <c r="D18" s="267"/>
      <c r="E18" s="210"/>
      <c r="F18" s="177"/>
      <c r="G18" s="177"/>
      <c r="H18" s="177"/>
      <c r="I18" s="177"/>
      <c r="J18" s="177"/>
      <c r="K18" s="178" t="s">
        <v>45</v>
      </c>
      <c r="L18" s="200"/>
      <c r="M18" s="200"/>
      <c r="N18" s="187"/>
      <c r="O18" s="187"/>
      <c r="P18" s="187"/>
      <c r="Q18" s="187"/>
      <c r="R18" s="187"/>
      <c r="S18" s="233" t="str">
        <f t="shared" si="2"/>
        <v/>
      </c>
      <c r="T18" s="202"/>
      <c r="U18" s="202"/>
      <c r="V18" s="202"/>
      <c r="W18" s="202"/>
      <c r="X18" s="179"/>
      <c r="Y18" s="179"/>
      <c r="Z18" s="179"/>
      <c r="AA18" s="179"/>
      <c r="AB18" s="238" t="str">
        <f t="shared" si="3"/>
        <v/>
      </c>
      <c r="AC18" s="180"/>
      <c r="AD18" s="204"/>
      <c r="AE18" s="180"/>
      <c r="AF18" s="204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242" t="str">
        <f t="shared" si="4"/>
        <v/>
      </c>
      <c r="BF18" s="181">
        <v>2</v>
      </c>
      <c r="BG18" s="191" t="s">
        <v>45</v>
      </c>
      <c r="BH18" s="206"/>
      <c r="BI18" s="206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2"/>
    </row>
    <row r="19" spans="2:101" ht="18" customHeight="1" x14ac:dyDescent="0.2">
      <c r="B19" s="225" t="str">
        <f t="shared" si="5"/>
        <v/>
      </c>
      <c r="C19" s="266"/>
      <c r="D19" s="267"/>
      <c r="E19" s="210"/>
      <c r="F19" s="177"/>
      <c r="G19" s="177"/>
      <c r="H19" s="177"/>
      <c r="I19" s="177"/>
      <c r="J19" s="177"/>
      <c r="K19" s="211">
        <f>L13/K16</f>
        <v>1.1120689655172409</v>
      </c>
      <c r="L19" s="212">
        <f>K20</f>
        <v>-9.9137931034482714E-5</v>
      </c>
      <c r="M19" s="200"/>
      <c r="N19" s="187"/>
      <c r="O19" s="187"/>
      <c r="P19" s="187"/>
      <c r="Q19" s="187"/>
      <c r="R19" s="187"/>
      <c r="S19" s="233" t="str">
        <f t="shared" si="2"/>
        <v/>
      </c>
      <c r="T19" s="202"/>
      <c r="U19" s="193" t="s">
        <v>45</v>
      </c>
      <c r="V19" s="202"/>
      <c r="W19" s="202"/>
      <c r="X19" s="179"/>
      <c r="Y19" s="179"/>
      <c r="Z19" s="179"/>
      <c r="AA19" s="179"/>
      <c r="AB19" s="238" t="str">
        <f t="shared" si="3"/>
        <v/>
      </c>
      <c r="AC19" s="180"/>
      <c r="AD19" s="194" t="s">
        <v>45</v>
      </c>
      <c r="AE19" s="204"/>
      <c r="AF19" s="204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242" t="str">
        <f t="shared" si="4"/>
        <v/>
      </c>
      <c r="BF19" s="181">
        <v>3</v>
      </c>
      <c r="BG19" s="268">
        <f t="shared" ref="BG19:BK23" si="6">INDEX(MINVERSE($BG$12:$BK$16),$BF17,BF$17)</f>
        <v>1139.7200003128753</v>
      </c>
      <c r="BH19" s="223">
        <f t="shared" si="6"/>
        <v>-0.59647500016571697</v>
      </c>
      <c r="BI19" s="223">
        <f t="shared" si="6"/>
        <v>1.0657500002991731E-4</v>
      </c>
      <c r="BJ19" s="223">
        <f t="shared" si="6"/>
        <v>-7.776562502201108E-9</v>
      </c>
      <c r="BK19" s="224">
        <f t="shared" si="6"/>
        <v>1.9796875005639507E-13</v>
      </c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2"/>
    </row>
    <row r="20" spans="2:101" ht="18" customHeight="1" x14ac:dyDescent="0.2">
      <c r="B20" s="225" t="str">
        <f t="shared" si="5"/>
        <v/>
      </c>
      <c r="C20" s="266"/>
      <c r="D20" s="267"/>
      <c r="E20" s="210"/>
      <c r="F20" s="177"/>
      <c r="G20" s="177"/>
      <c r="H20" s="177"/>
      <c r="I20" s="177"/>
      <c r="J20" s="177"/>
      <c r="K20" s="231">
        <f>-L12/K16</f>
        <v>-9.9137931034482714E-5</v>
      </c>
      <c r="L20" s="232">
        <f>K12/K16</f>
        <v>1.0775862068965511E-8</v>
      </c>
      <c r="M20" s="200"/>
      <c r="N20" s="187"/>
      <c r="O20" s="187"/>
      <c r="P20" s="187"/>
      <c r="Q20" s="187"/>
      <c r="R20" s="187"/>
      <c r="S20" s="233" t="str">
        <f t="shared" si="2"/>
        <v/>
      </c>
      <c r="T20" s="202"/>
      <c r="U20" s="214">
        <f>(W14*V13-V14*W13)/U17</f>
        <v>7.6194029850747595</v>
      </c>
      <c r="V20" s="215">
        <f>U21</f>
        <v>-1.6958955223880883E-3</v>
      </c>
      <c r="W20" s="216">
        <f>U22</f>
        <v>7.9291044776120744E-8</v>
      </c>
      <c r="X20" s="179"/>
      <c r="Y20" s="179"/>
      <c r="Z20" s="179"/>
      <c r="AA20" s="179"/>
      <c r="AB20" s="238" t="str">
        <f t="shared" si="3"/>
        <v/>
      </c>
      <c r="AC20" s="180"/>
      <c r="AD20" s="269">
        <f>INDEX(MINVERSE($AD$12:$AG$15),1,1)</f>
        <v>53.434210526308156</v>
      </c>
      <c r="AE20" s="219">
        <f>INDEX(MINVERSE($AD$12:$AG$15),1,2)</f>
        <v>-1.9299342105260478E-2</v>
      </c>
      <c r="AF20" s="219">
        <f>INDEX(MINVERSE($AD$12:$AG$15),1,3)</f>
        <v>2.0534539473681546E-6</v>
      </c>
      <c r="AG20" s="220">
        <f>INDEX(MINVERSE($AD$12:$AG$15),1,4)</f>
        <v>-6.620065789472884E-11</v>
      </c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242" t="str">
        <f t="shared" si="4"/>
        <v/>
      </c>
      <c r="BF20" s="181">
        <v>4</v>
      </c>
      <c r="BG20" s="243">
        <f t="shared" si="6"/>
        <v>-0.59647500016542376</v>
      </c>
      <c r="BH20" s="244">
        <f t="shared" si="6"/>
        <v>3.1383680564317241E-4</v>
      </c>
      <c r="BI20" s="244">
        <f t="shared" si="6"/>
        <v>-5.6313368071373809E-8</v>
      </c>
      <c r="BJ20" s="244">
        <f t="shared" si="6"/>
        <v>4.122178820608252E-12</v>
      </c>
      <c r="BK20" s="245">
        <f t="shared" si="6"/>
        <v>-1.0518663197426179E-16</v>
      </c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2"/>
    </row>
    <row r="21" spans="2:101" ht="18" customHeight="1" x14ac:dyDescent="0.2">
      <c r="B21" s="225" t="str">
        <f t="shared" si="5"/>
        <v/>
      </c>
      <c r="C21" s="266"/>
      <c r="D21" s="267"/>
      <c r="E21" s="210"/>
      <c r="F21" s="177"/>
      <c r="G21" s="177"/>
      <c r="H21" s="177"/>
      <c r="I21" s="177"/>
      <c r="J21" s="177"/>
      <c r="K21" s="200"/>
      <c r="L21" s="200"/>
      <c r="M21" s="200"/>
      <c r="N21" s="187"/>
      <c r="O21" s="187"/>
      <c r="P21" s="187"/>
      <c r="Q21" s="187"/>
      <c r="R21" s="187"/>
      <c r="S21" s="233" t="str">
        <f t="shared" si="2"/>
        <v/>
      </c>
      <c r="T21" s="202"/>
      <c r="U21" s="235">
        <f>(V14*W12-V12*W14)/U17</f>
        <v>-1.6958955223880883E-3</v>
      </c>
      <c r="V21" s="236">
        <f>(U12*W14-U14*W12)/U17</f>
        <v>4.0258528784648869E-7</v>
      </c>
      <c r="W21" s="237">
        <f>V22</f>
        <v>-1.9456289978678367E-11</v>
      </c>
      <c r="X21" s="179"/>
      <c r="Y21" s="179"/>
      <c r="Z21" s="179"/>
      <c r="AA21" s="179"/>
      <c r="AB21" s="238" t="str">
        <f t="shared" si="3"/>
        <v/>
      </c>
      <c r="AC21" s="180"/>
      <c r="AD21" s="239">
        <f>INDEX(MINVERSE($AD$12:$AG$15),2,1)</f>
        <v>-1.9299342105260332E-2</v>
      </c>
      <c r="AE21" s="240">
        <f>INDEX(MINVERSE($AD$12:$AG$15),2,2)</f>
        <v>7.1663664369246799E-6</v>
      </c>
      <c r="AF21" s="240">
        <f>INDEX(MINVERSE($AD$12:$AG$15),2,3)</f>
        <v>-7.7798989661644561E-10</v>
      </c>
      <c r="AG21" s="241">
        <f>INDEX(MINVERSE($AD$12:$AG$15),2,4)</f>
        <v>2.5436312134500041E-14</v>
      </c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242" t="str">
        <f t="shared" si="4"/>
        <v/>
      </c>
      <c r="BF21" s="181">
        <v>5</v>
      </c>
      <c r="BG21" s="243">
        <f t="shared" si="6"/>
        <v>1.0657500002981669E-4</v>
      </c>
      <c r="BH21" s="244">
        <f t="shared" si="6"/>
        <v>-5.6313368071348041E-8</v>
      </c>
      <c r="BI21" s="244">
        <f t="shared" si="6"/>
        <v>1.0143012155628953E-11</v>
      </c>
      <c r="BJ21" s="244">
        <f t="shared" si="6"/>
        <v>-7.4473741340421684E-16</v>
      </c>
      <c r="BK21" s="245">
        <f t="shared" si="6"/>
        <v>1.9048394102596686E-20</v>
      </c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2"/>
    </row>
    <row r="22" spans="2:101" ht="18" customHeight="1" x14ac:dyDescent="0.2">
      <c r="B22" s="225" t="str">
        <f t="shared" si="5"/>
        <v/>
      </c>
      <c r="C22" s="266"/>
      <c r="D22" s="267"/>
      <c r="E22" s="210"/>
      <c r="F22" s="177"/>
      <c r="G22" s="177"/>
      <c r="H22" s="177"/>
      <c r="I22" s="177"/>
      <c r="J22" s="177"/>
      <c r="K22" s="270" t="s">
        <v>46</v>
      </c>
      <c r="L22" s="200"/>
      <c r="M22" s="200"/>
      <c r="N22" s="187"/>
      <c r="O22" s="187"/>
      <c r="P22" s="187"/>
      <c r="Q22" s="187"/>
      <c r="R22" s="187"/>
      <c r="S22" s="233" t="str">
        <f t="shared" si="2"/>
        <v/>
      </c>
      <c r="T22" s="202"/>
      <c r="U22" s="246">
        <f>(V12*W13-V13*W12)/U17</f>
        <v>7.9291044776120744E-8</v>
      </c>
      <c r="V22" s="247">
        <f>(U13*W12-U12*W13)/U17</f>
        <v>-1.9456289978678367E-11</v>
      </c>
      <c r="W22" s="248">
        <f>(U12*V13-U13*V12)/U17</f>
        <v>9.6615138592752163E-16</v>
      </c>
      <c r="X22" s="179"/>
      <c r="Y22" s="179"/>
      <c r="Z22" s="179"/>
      <c r="AA22" s="179"/>
      <c r="AB22" s="238" t="str">
        <f t="shared" si="3"/>
        <v/>
      </c>
      <c r="AC22" s="180"/>
      <c r="AD22" s="239">
        <f>INDEX(MINVERSE($AD$12:$AG$15),3,1)</f>
        <v>2.0534539473681195E-6</v>
      </c>
      <c r="AE22" s="240">
        <f>INDEX(MINVERSE($AD$12:$AG$15),3,2)</f>
        <v>-7.7798989661643899E-10</v>
      </c>
      <c r="AF22" s="240">
        <f>INDEX(MINVERSE($AD$12:$AG$15),3,3)</f>
        <v>8.6032953477433544E-14</v>
      </c>
      <c r="AG22" s="241">
        <f>INDEX(MINVERSE($AD$12:$AG$15),3,4)</f>
        <v>-2.8525904605260141E-18</v>
      </c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242" t="str">
        <f t="shared" si="4"/>
        <v/>
      </c>
      <c r="BF22" s="181"/>
      <c r="BG22" s="243">
        <f t="shared" si="6"/>
        <v>-7.7765625021907534E-9</v>
      </c>
      <c r="BH22" s="244">
        <f t="shared" si="6"/>
        <v>4.1221788206047866E-12</v>
      </c>
      <c r="BI22" s="244">
        <f t="shared" si="6"/>
        <v>-7.4473741340393315E-16</v>
      </c>
      <c r="BJ22" s="244">
        <f t="shared" si="6"/>
        <v>5.4823133695968518E-20</v>
      </c>
      <c r="BK22" s="245">
        <f t="shared" si="6"/>
        <v>-1.4051649309504434E-24</v>
      </c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2"/>
    </row>
    <row r="23" spans="2:101" ht="18" customHeight="1" x14ac:dyDescent="0.2">
      <c r="B23" s="225" t="str">
        <f t="shared" si="5"/>
        <v/>
      </c>
      <c r="C23" s="266"/>
      <c r="D23" s="267"/>
      <c r="E23" s="210"/>
      <c r="F23" s="177"/>
      <c r="G23" s="177"/>
      <c r="H23" s="177"/>
      <c r="I23" s="177"/>
      <c r="J23" s="177"/>
      <c r="K23" s="271">
        <f>SUM(Y_new)</f>
        <v>46171.560856275421</v>
      </c>
      <c r="L23" s="200"/>
      <c r="M23" s="200"/>
      <c r="N23" s="187"/>
      <c r="O23" s="187"/>
      <c r="P23" s="187"/>
      <c r="Q23" s="187"/>
      <c r="R23" s="187"/>
      <c r="S23" s="233" t="str">
        <f t="shared" si="2"/>
        <v/>
      </c>
      <c r="T23" s="202"/>
      <c r="U23" s="202"/>
      <c r="V23" s="202"/>
      <c r="W23" s="202"/>
      <c r="X23" s="179"/>
      <c r="Y23" s="179"/>
      <c r="Z23" s="179"/>
      <c r="AA23" s="179"/>
      <c r="AB23" s="238" t="str">
        <f t="shared" si="3"/>
        <v/>
      </c>
      <c r="AC23" s="180"/>
      <c r="AD23" s="255">
        <f>INDEX(MINVERSE($AD$12:$AG$15),4,1)</f>
        <v>-6.6200657894727147E-11</v>
      </c>
      <c r="AE23" s="256">
        <f>INDEX(MINVERSE($AD$12:$AG$15),4,2)</f>
        <v>2.543631213449965E-14</v>
      </c>
      <c r="AF23" s="256">
        <f>INDEX(MINVERSE($AD$12:$AG$15),4,3)</f>
        <v>-2.8525904605259956E-18</v>
      </c>
      <c r="AG23" s="257">
        <f>INDEX(MINVERSE($AD$12:$AG$15),4,4)</f>
        <v>9.5657437865487517E-23</v>
      </c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242" t="str">
        <f t="shared" si="4"/>
        <v/>
      </c>
      <c r="BF23" s="181"/>
      <c r="BG23" s="260">
        <f t="shared" si="6"/>
        <v>1.9796875005606754E-13</v>
      </c>
      <c r="BH23" s="261">
        <f t="shared" si="6"/>
        <v>-1.0518663197414094E-16</v>
      </c>
      <c r="BI23" s="261">
        <f t="shared" si="6"/>
        <v>1.9048394102583653E-20</v>
      </c>
      <c r="BJ23" s="261">
        <f t="shared" si="6"/>
        <v>-1.4051649309500191E-24</v>
      </c>
      <c r="BK23" s="262">
        <f t="shared" si="6"/>
        <v>3.6078559037884152E-29</v>
      </c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2"/>
    </row>
    <row r="24" spans="2:101" ht="18" customHeight="1" x14ac:dyDescent="0.2">
      <c r="B24" s="225" t="str">
        <f t="shared" si="5"/>
        <v/>
      </c>
      <c r="C24" s="266"/>
      <c r="D24" s="267"/>
      <c r="E24" s="210"/>
      <c r="F24" s="177"/>
      <c r="G24" s="177"/>
      <c r="H24" s="177"/>
      <c r="I24" s="177"/>
      <c r="J24" s="177"/>
      <c r="K24" s="272">
        <f>SUMPRODUCT(X_new,Y_new)</f>
        <v>517615243.25775862</v>
      </c>
      <c r="L24" s="200"/>
      <c r="M24" s="200"/>
      <c r="N24" s="187"/>
      <c r="O24" s="187"/>
      <c r="P24" s="187"/>
      <c r="Q24" s="187"/>
      <c r="R24" s="187"/>
      <c r="S24" s="233" t="str">
        <f t="shared" si="2"/>
        <v/>
      </c>
      <c r="T24" s="202"/>
      <c r="U24" s="193" t="s">
        <v>46</v>
      </c>
      <c r="V24" s="202"/>
      <c r="W24" s="202"/>
      <c r="X24" s="179"/>
      <c r="Y24" s="179"/>
      <c r="Z24" s="179"/>
      <c r="AA24" s="179"/>
      <c r="AB24" s="238" t="str">
        <f t="shared" si="3"/>
        <v/>
      </c>
      <c r="AC24" s="180"/>
      <c r="AD24" s="194" t="s">
        <v>46</v>
      </c>
      <c r="AE24" s="204"/>
      <c r="AF24" s="204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242" t="str">
        <f t="shared" si="4"/>
        <v/>
      </c>
      <c r="BF24" s="181"/>
      <c r="BG24" s="206"/>
      <c r="BH24" s="206"/>
      <c r="BI24" s="206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2"/>
    </row>
    <row r="25" spans="2:101" ht="18" customHeight="1" x14ac:dyDescent="0.2">
      <c r="B25" s="225" t="str">
        <f t="shared" si="5"/>
        <v/>
      </c>
      <c r="C25" s="266"/>
      <c r="D25" s="267"/>
      <c r="E25" s="210"/>
      <c r="F25" s="177"/>
      <c r="G25" s="177"/>
      <c r="H25" s="177"/>
      <c r="I25" s="177"/>
      <c r="J25" s="177"/>
      <c r="K25" s="200"/>
      <c r="L25" s="200"/>
      <c r="M25" s="200"/>
      <c r="N25" s="187"/>
      <c r="O25" s="187"/>
      <c r="P25" s="187"/>
      <c r="Q25" s="187"/>
      <c r="R25" s="187"/>
      <c r="S25" s="233" t="str">
        <f t="shared" si="2"/>
        <v/>
      </c>
      <c r="T25" s="202"/>
      <c r="U25" s="213">
        <f>K23</f>
        <v>46171.560856275421</v>
      </c>
      <c r="V25" s="202"/>
      <c r="W25" s="202"/>
      <c r="X25" s="179"/>
      <c r="Y25" s="179"/>
      <c r="Z25" s="179"/>
      <c r="AA25" s="179"/>
      <c r="AB25" s="238" t="str">
        <f t="shared" si="3"/>
        <v/>
      </c>
      <c r="AC25" s="180"/>
      <c r="AD25" s="217">
        <f>U25</f>
        <v>46171.560856275421</v>
      </c>
      <c r="AE25" s="204"/>
      <c r="AF25" s="204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242" t="str">
        <f t="shared" si="4"/>
        <v/>
      </c>
      <c r="BF25" s="181"/>
      <c r="BG25" s="191" t="s">
        <v>46</v>
      </c>
      <c r="BH25" s="206"/>
      <c r="BI25" s="191" t="s">
        <v>47</v>
      </c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2"/>
    </row>
    <row r="26" spans="2:101" ht="18" customHeight="1" x14ac:dyDescent="0.2">
      <c r="B26" s="225" t="str">
        <f t="shared" si="5"/>
        <v/>
      </c>
      <c r="C26" s="266"/>
      <c r="D26" s="267"/>
      <c r="E26" s="210"/>
      <c r="F26" s="177"/>
      <c r="G26" s="177"/>
      <c r="H26" s="177"/>
      <c r="I26" s="177"/>
      <c r="J26" s="177"/>
      <c r="K26" s="178" t="s">
        <v>47</v>
      </c>
      <c r="L26" s="200"/>
      <c r="M26" s="178" t="s">
        <v>48</v>
      </c>
      <c r="N26" s="187"/>
      <c r="O26" s="187"/>
      <c r="P26" s="187"/>
      <c r="Q26" s="187"/>
      <c r="R26" s="187"/>
      <c r="S26" s="233" t="str">
        <f t="shared" si="2"/>
        <v/>
      </c>
      <c r="T26" s="202"/>
      <c r="U26" s="233">
        <f>K24</f>
        <v>517615243.25775862</v>
      </c>
      <c r="V26" s="202"/>
      <c r="W26" s="202"/>
      <c r="X26" s="179"/>
      <c r="Y26" s="179"/>
      <c r="Z26" s="179"/>
      <c r="AA26" s="179"/>
      <c r="AB26" s="238" t="str">
        <f t="shared" si="3"/>
        <v/>
      </c>
      <c r="AC26" s="180"/>
      <c r="AD26" s="238">
        <f>U26</f>
        <v>517615243.25775862</v>
      </c>
      <c r="AE26" s="204"/>
      <c r="AF26" s="204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242" t="str">
        <f t="shared" si="4"/>
        <v/>
      </c>
      <c r="BF26" s="181"/>
      <c r="BG26" s="221">
        <f>AD25</f>
        <v>46171.560856275421</v>
      </c>
      <c r="BH26" s="206"/>
      <c r="BI26" s="221">
        <f>SUMPRODUCT($BG$26:$BG$30,BG19:BG23)</f>
        <v>513.78144523501396</v>
      </c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2"/>
    </row>
    <row r="27" spans="2:101" ht="18" customHeight="1" x14ac:dyDescent="0.3">
      <c r="B27" s="225" t="str">
        <f t="shared" si="5"/>
        <v/>
      </c>
      <c r="C27" s="266"/>
      <c r="D27" s="267"/>
      <c r="E27" s="210"/>
      <c r="F27" s="177"/>
      <c r="G27" s="177"/>
      <c r="H27" s="177"/>
      <c r="I27" s="177"/>
      <c r="J27" s="177"/>
      <c r="K27" s="271">
        <f>SUMPRODUCT(K19:K20,$K$23:$K$24)</f>
        <v>30.655629269873316</v>
      </c>
      <c r="L27" s="273"/>
      <c r="M27" s="274">
        <f>K27</f>
        <v>30.655629269873316</v>
      </c>
      <c r="N27" s="275">
        <f>K28</f>
        <v>1.0003974502157824</v>
      </c>
      <c r="O27" s="187"/>
      <c r="P27" s="187"/>
      <c r="Q27" s="187"/>
      <c r="R27" s="187"/>
      <c r="S27" s="233" t="str">
        <f t="shared" si="2"/>
        <v/>
      </c>
      <c r="T27" s="202"/>
      <c r="U27" s="276">
        <f>SUMPRODUCT(Y_new,S12:S61)</f>
        <v>6633613054301.1348</v>
      </c>
      <c r="V27" s="202"/>
      <c r="W27" s="202"/>
      <c r="X27" s="179"/>
      <c r="Y27" s="179"/>
      <c r="Z27" s="179"/>
      <c r="AA27" s="179"/>
      <c r="AB27" s="238" t="str">
        <f t="shared" si="3"/>
        <v/>
      </c>
      <c r="AC27" s="180"/>
      <c r="AD27" s="238">
        <f>U27</f>
        <v>6633613054301.1348</v>
      </c>
      <c r="AE27" s="204"/>
      <c r="AF27" s="204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242" t="str">
        <f t="shared" si="4"/>
        <v/>
      </c>
      <c r="BF27" s="181"/>
      <c r="BG27" s="242">
        <f>AD26</f>
        <v>517615243.25775862</v>
      </c>
      <c r="BH27" s="206"/>
      <c r="BI27" s="242">
        <f>SUMPRODUCT($BG$26:$BG$30,BH19:BH23)</f>
        <v>0.73251786144101061</v>
      </c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2"/>
    </row>
    <row r="28" spans="2:101" ht="18" customHeight="1" x14ac:dyDescent="0.2">
      <c r="B28" s="225" t="str">
        <f t="shared" si="5"/>
        <v/>
      </c>
      <c r="C28" s="266"/>
      <c r="D28" s="267"/>
      <c r="E28" s="210"/>
      <c r="F28" s="177"/>
      <c r="G28" s="177"/>
      <c r="H28" s="177"/>
      <c r="I28" s="177"/>
      <c r="J28" s="177"/>
      <c r="K28" s="272">
        <f>SUMPRODUCT(L19:L20,$K$23:$K$24)</f>
        <v>1.0003974502157824</v>
      </c>
      <c r="L28" s="200"/>
      <c r="M28" s="200"/>
      <c r="N28" s="187"/>
      <c r="O28" s="187"/>
      <c r="P28" s="187"/>
      <c r="Q28" s="187"/>
      <c r="R28" s="187"/>
      <c r="S28" s="233" t="str">
        <f t="shared" si="2"/>
        <v/>
      </c>
      <c r="T28" s="202"/>
      <c r="U28" s="202"/>
      <c r="V28" s="202"/>
      <c r="W28" s="202"/>
      <c r="X28" s="179"/>
      <c r="Y28" s="179"/>
      <c r="Z28" s="179"/>
      <c r="AA28" s="179"/>
      <c r="AB28" s="238" t="str">
        <f t="shared" si="3"/>
        <v/>
      </c>
      <c r="AC28" s="180"/>
      <c r="AD28" s="277">
        <f>SUMPRODUCT(Y_new,xcubed_new)</f>
        <v>9.2133661840329344E+16</v>
      </c>
      <c r="AE28" s="204"/>
      <c r="AF28" s="204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242" t="str">
        <f t="shared" si="4"/>
        <v/>
      </c>
      <c r="BF28" s="181"/>
      <c r="BG28" s="242">
        <f>AD27</f>
        <v>6633613054301.1348</v>
      </c>
      <c r="BH28" s="206"/>
      <c r="BI28" s="242">
        <f>SUMPRODUCT($BG$26:$BG$30,BI19:BI23)</f>
        <v>4.9250314358317837E-5</v>
      </c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2"/>
    </row>
    <row r="29" spans="2:101" ht="18" customHeight="1" x14ac:dyDescent="0.2">
      <c r="B29" s="225" t="str">
        <f t="shared" si="5"/>
        <v/>
      </c>
      <c r="C29" s="266"/>
      <c r="D29" s="267"/>
      <c r="E29" s="210"/>
      <c r="F29" s="177"/>
      <c r="G29" s="177"/>
      <c r="H29" s="177"/>
      <c r="I29" s="177"/>
      <c r="J29" s="177"/>
      <c r="K29" s="200"/>
      <c r="L29" s="200"/>
      <c r="M29" s="200"/>
      <c r="N29" s="187"/>
      <c r="O29" s="187"/>
      <c r="P29" s="187"/>
      <c r="Q29" s="187"/>
      <c r="R29" s="187"/>
      <c r="S29" s="233" t="str">
        <f t="shared" si="2"/>
        <v/>
      </c>
      <c r="T29" s="202"/>
      <c r="U29" s="193" t="s">
        <v>47</v>
      </c>
      <c r="V29" s="202"/>
      <c r="W29" s="193" t="s">
        <v>48</v>
      </c>
      <c r="X29" s="179"/>
      <c r="Y29" s="179"/>
      <c r="Z29" s="179"/>
      <c r="AA29" s="179"/>
      <c r="AB29" s="238" t="str">
        <f t="shared" si="3"/>
        <v/>
      </c>
      <c r="AC29" s="180"/>
      <c r="AD29" s="194" t="s">
        <v>47</v>
      </c>
      <c r="AE29" s="204"/>
      <c r="AF29" s="204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242" t="str">
        <f t="shared" si="4"/>
        <v/>
      </c>
      <c r="BF29" s="181"/>
      <c r="BG29" s="242">
        <f>AD28</f>
        <v>9.2133661840329344E+16</v>
      </c>
      <c r="BH29" s="206"/>
      <c r="BI29" s="242">
        <f>SUMPRODUCT($BG$26:$BG$30,BJ19:BJ23)</f>
        <v>-3.601297919814464E-9</v>
      </c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2"/>
    </row>
    <row r="30" spans="2:101" ht="18" customHeight="1" x14ac:dyDescent="0.3">
      <c r="B30" s="225" t="str">
        <f t="shared" si="5"/>
        <v/>
      </c>
      <c r="C30" s="266"/>
      <c r="D30" s="267"/>
      <c r="E30" s="210"/>
      <c r="F30" s="177"/>
      <c r="G30" s="177"/>
      <c r="H30" s="177"/>
      <c r="I30" s="177"/>
      <c r="J30" s="177"/>
      <c r="K30" s="270" t="s">
        <v>49</v>
      </c>
      <c r="L30" s="200"/>
      <c r="M30" s="200"/>
      <c r="N30" s="187"/>
      <c r="O30" s="187"/>
      <c r="P30" s="187"/>
      <c r="Q30" s="187"/>
      <c r="R30" s="187"/>
      <c r="S30" s="233" t="str">
        <f t="shared" si="2"/>
        <v/>
      </c>
      <c r="T30" s="202"/>
      <c r="U30" s="213">
        <f>SUMPRODUCT($U$25:$U$27,U20:U22)</f>
        <v>-35.535030737752095</v>
      </c>
      <c r="V30" s="234"/>
      <c r="W30" s="278">
        <f>U30</f>
        <v>-35.535030737752095</v>
      </c>
      <c r="X30" s="279">
        <f>U31</f>
        <v>1.0166391919992179</v>
      </c>
      <c r="Y30" s="280">
        <f>U32</f>
        <v>-8.0652484883442926E-7</v>
      </c>
      <c r="Z30" s="179"/>
      <c r="AA30" s="179"/>
      <c r="AB30" s="238" t="str">
        <f t="shared" si="3"/>
        <v/>
      </c>
      <c r="AC30" s="180"/>
      <c r="AD30" s="217">
        <f>SUMPRODUCT($AD$25:$AD$28,AD20:AD23)</f>
        <v>17.128180672414601</v>
      </c>
      <c r="AE30" s="281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242" t="str">
        <f t="shared" si="4"/>
        <v/>
      </c>
      <c r="BF30" s="181"/>
      <c r="BG30" s="282">
        <f>SUMPRODUCT(Y_new,BE12:BE61)</f>
        <v>1.3417687541975454E+21</v>
      </c>
      <c r="BH30" s="206"/>
      <c r="BI30" s="282">
        <f>SUMPRODUCT($BG$26:$BG$30,BK19:BK23)</f>
        <v>9.0511932441711484E-14</v>
      </c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2"/>
    </row>
    <row r="31" spans="2:101" ht="18" customHeight="1" x14ac:dyDescent="0.2">
      <c r="B31" s="225" t="str">
        <f t="shared" si="5"/>
        <v/>
      </c>
      <c r="C31" s="266"/>
      <c r="D31" s="267"/>
      <c r="E31" s="210"/>
      <c r="F31" s="177"/>
      <c r="G31" s="177"/>
      <c r="H31" s="177"/>
      <c r="I31" s="177"/>
      <c r="J31" s="177"/>
      <c r="K31" s="259">
        <f>SUMPRODUCT(Y_new,Y_new)</f>
        <v>519237348.678693</v>
      </c>
      <c r="L31" s="200"/>
      <c r="M31" s="200"/>
      <c r="N31" s="187"/>
      <c r="O31" s="187"/>
      <c r="P31" s="187"/>
      <c r="Q31" s="187"/>
      <c r="R31" s="187"/>
      <c r="S31" s="233" t="str">
        <f t="shared" si="2"/>
        <v/>
      </c>
      <c r="T31" s="202"/>
      <c r="U31" s="233">
        <f>SUMPRODUCT($U$25:$U$27,V20:V22)</f>
        <v>1.0166391919992179</v>
      </c>
      <c r="V31" s="202"/>
      <c r="W31" s="202"/>
      <c r="X31" s="179"/>
      <c r="Y31" s="179"/>
      <c r="Z31" s="179"/>
      <c r="AA31" s="179"/>
      <c r="AB31" s="238" t="str">
        <f t="shared" si="3"/>
        <v/>
      </c>
      <c r="AC31" s="180"/>
      <c r="AD31" s="238">
        <f>SUMPRODUCT($AD$25:$AD$28,AE20:AE23)</f>
        <v>0.99640437974903762</v>
      </c>
      <c r="AE31" s="283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242" t="str">
        <f t="shared" si="4"/>
        <v/>
      </c>
      <c r="BF31" s="181"/>
      <c r="BG31" s="284"/>
      <c r="BH31" s="284"/>
      <c r="BI31" s="206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2"/>
    </row>
    <row r="32" spans="2:101" ht="18" customHeight="1" x14ac:dyDescent="0.2">
      <c r="B32" s="225" t="str">
        <f t="shared" si="5"/>
        <v/>
      </c>
      <c r="C32" s="266"/>
      <c r="D32" s="267"/>
      <c r="E32" s="210"/>
      <c r="F32" s="177"/>
      <c r="G32" s="177"/>
      <c r="H32" s="177"/>
      <c r="I32" s="177"/>
      <c r="J32" s="177"/>
      <c r="K32" s="200"/>
      <c r="L32" s="200"/>
      <c r="M32" s="200"/>
      <c r="N32" s="187"/>
      <c r="O32" s="187"/>
      <c r="P32" s="187"/>
      <c r="Q32" s="187"/>
      <c r="R32" s="187"/>
      <c r="S32" s="233" t="str">
        <f t="shared" si="2"/>
        <v/>
      </c>
      <c r="T32" s="202"/>
      <c r="U32" s="276">
        <f>SUMPRODUCT($U$25:$U$27,W20:W22)</f>
        <v>-8.0652484883442926E-7</v>
      </c>
      <c r="V32" s="202"/>
      <c r="W32" s="202"/>
      <c r="X32" s="179"/>
      <c r="Y32" s="179"/>
      <c r="Z32" s="179"/>
      <c r="AA32" s="179"/>
      <c r="AB32" s="238" t="str">
        <f t="shared" si="3"/>
        <v/>
      </c>
      <c r="AC32" s="180"/>
      <c r="AD32" s="238">
        <f>SUMPRODUCT($AD$25:$AD$28,AF20:AF23)</f>
        <v>1.4627362017183287E-6</v>
      </c>
      <c r="AE32" s="283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242" t="str">
        <f t="shared" si="4"/>
        <v/>
      </c>
      <c r="BF32" s="181"/>
      <c r="BG32" s="284"/>
      <c r="BH32" s="284"/>
      <c r="BI32" s="206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2"/>
    </row>
    <row r="33" spans="2:101" ht="18" customHeight="1" x14ac:dyDescent="0.2">
      <c r="B33" s="225" t="str">
        <f t="shared" si="5"/>
        <v/>
      </c>
      <c r="C33" s="266"/>
      <c r="D33" s="267"/>
      <c r="E33" s="210"/>
      <c r="F33" s="177"/>
      <c r="G33" s="177"/>
      <c r="H33" s="177"/>
      <c r="I33" s="177"/>
      <c r="J33" s="177"/>
      <c r="K33" s="178" t="s">
        <v>50</v>
      </c>
      <c r="L33" s="200"/>
      <c r="M33" s="200"/>
      <c r="N33" s="187"/>
      <c r="O33" s="187"/>
      <c r="P33" s="187"/>
      <c r="Q33" s="187"/>
      <c r="R33" s="187"/>
      <c r="S33" s="233" t="str">
        <f t="shared" si="2"/>
        <v/>
      </c>
      <c r="T33" s="202"/>
      <c r="U33" s="202"/>
      <c r="V33" s="202"/>
      <c r="W33" s="202"/>
      <c r="X33" s="179"/>
      <c r="Y33" s="179"/>
      <c r="Z33" s="179"/>
      <c r="AA33" s="179"/>
      <c r="AB33" s="238" t="str">
        <f t="shared" si="3"/>
        <v/>
      </c>
      <c r="AC33" s="180"/>
      <c r="AD33" s="277">
        <f>SUMPRODUCT($AD$25:$AD$28,AG20:AG23)</f>
        <v>-7.6096341537141882E-11</v>
      </c>
      <c r="AE33" s="283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242" t="str">
        <f t="shared" si="4"/>
        <v/>
      </c>
      <c r="BF33" s="181"/>
      <c r="BG33" s="284"/>
      <c r="BH33" s="284"/>
      <c r="BI33" s="206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2"/>
    </row>
    <row r="34" spans="2:101" ht="18" customHeight="1" x14ac:dyDescent="0.2">
      <c r="B34" s="225" t="str">
        <f t="shared" si="5"/>
        <v/>
      </c>
      <c r="C34" s="266"/>
      <c r="D34" s="267"/>
      <c r="E34" s="210"/>
      <c r="F34" s="177"/>
      <c r="G34" s="177"/>
      <c r="H34" s="177"/>
      <c r="I34" s="177"/>
      <c r="J34" s="177"/>
      <c r="K34" s="285">
        <f>n_new-2</f>
        <v>3</v>
      </c>
      <c r="L34" s="200"/>
      <c r="M34" s="200"/>
      <c r="N34" s="187"/>
      <c r="O34" s="187"/>
      <c r="P34" s="187"/>
      <c r="Q34" s="187"/>
      <c r="R34" s="187"/>
      <c r="S34" s="233" t="str">
        <f t="shared" si="2"/>
        <v/>
      </c>
      <c r="T34" s="202"/>
      <c r="U34" s="193" t="s">
        <v>51</v>
      </c>
      <c r="V34" s="202"/>
      <c r="W34" s="202"/>
      <c r="X34" s="179"/>
      <c r="Y34" s="179"/>
      <c r="Z34" s="179"/>
      <c r="AA34" s="179"/>
      <c r="AB34" s="238" t="str">
        <f t="shared" si="3"/>
        <v/>
      </c>
      <c r="AC34" s="180"/>
      <c r="AD34" s="194" t="s">
        <v>51</v>
      </c>
      <c r="AE34" s="283"/>
      <c r="AF34" s="204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242" t="str">
        <f t="shared" si="4"/>
        <v/>
      </c>
      <c r="BF34" s="181"/>
      <c r="BG34" s="191" t="s">
        <v>51</v>
      </c>
      <c r="BH34" s="284"/>
      <c r="BI34" s="206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2"/>
    </row>
    <row r="35" spans="2:101" ht="18" customHeight="1" x14ac:dyDescent="0.2">
      <c r="B35" s="225" t="str">
        <f t="shared" si="5"/>
        <v/>
      </c>
      <c r="C35" s="266"/>
      <c r="D35" s="267"/>
      <c r="E35" s="210"/>
      <c r="F35" s="177"/>
      <c r="G35" s="177"/>
      <c r="H35" s="177"/>
      <c r="I35" s="177"/>
      <c r="J35" s="177"/>
      <c r="K35" s="200"/>
      <c r="L35" s="200"/>
      <c r="M35" s="200"/>
      <c r="N35" s="187"/>
      <c r="O35" s="187"/>
      <c r="P35" s="187"/>
      <c r="Q35" s="187"/>
      <c r="R35" s="187"/>
      <c r="S35" s="233" t="str">
        <f t="shared" si="2"/>
        <v/>
      </c>
      <c r="T35" s="202"/>
      <c r="U35" s="286">
        <f>TINV(0.05,df_new-1)</f>
        <v>4.3026527297494637</v>
      </c>
      <c r="V35" s="202"/>
      <c r="W35" s="202"/>
      <c r="X35" s="179"/>
      <c r="Y35" s="179"/>
      <c r="Z35" s="179"/>
      <c r="AA35" s="179"/>
      <c r="AB35" s="238" t="str">
        <f t="shared" si="3"/>
        <v/>
      </c>
      <c r="AC35" s="180"/>
      <c r="AD35" s="287">
        <f>TINV(0.05,df_new-2)</f>
        <v>12.706204736174707</v>
      </c>
      <c r="AE35" s="283"/>
      <c r="AF35" s="204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242" t="str">
        <f t="shared" si="4"/>
        <v/>
      </c>
      <c r="BF35" s="181"/>
      <c r="BG35" s="288" t="e">
        <f>TINV(0.05,df_new-3)</f>
        <v>#NUM!</v>
      </c>
      <c r="BH35" s="284"/>
      <c r="BI35" s="206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2"/>
    </row>
    <row r="36" spans="2:101" ht="18" customHeight="1" x14ac:dyDescent="0.2">
      <c r="B36" s="225" t="str">
        <f t="shared" si="5"/>
        <v/>
      </c>
      <c r="C36" s="266"/>
      <c r="D36" s="267"/>
      <c r="E36" s="210"/>
      <c r="F36" s="177"/>
      <c r="G36" s="177"/>
      <c r="H36" s="177"/>
      <c r="I36" s="177"/>
      <c r="J36" s="177"/>
      <c r="K36" s="178" t="s">
        <v>51</v>
      </c>
      <c r="L36" s="200"/>
      <c r="M36" s="200"/>
      <c r="N36" s="187"/>
      <c r="O36" s="187"/>
      <c r="P36" s="187"/>
      <c r="Q36" s="187"/>
      <c r="R36" s="187"/>
      <c r="S36" s="233" t="str">
        <f t="shared" si="2"/>
        <v/>
      </c>
      <c r="T36" s="202"/>
      <c r="U36" s="202"/>
      <c r="V36" s="202"/>
      <c r="W36" s="202"/>
      <c r="X36" s="179"/>
      <c r="Y36" s="179"/>
      <c r="Z36" s="179"/>
      <c r="AA36" s="179"/>
      <c r="AB36" s="238" t="str">
        <f t="shared" si="3"/>
        <v/>
      </c>
      <c r="AC36" s="180"/>
      <c r="AD36" s="204"/>
      <c r="AE36" s="283"/>
      <c r="AF36" s="289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242" t="str">
        <f t="shared" si="4"/>
        <v/>
      </c>
      <c r="BF36" s="181"/>
      <c r="BG36" s="206"/>
      <c r="BH36" s="284"/>
      <c r="BI36" s="290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2"/>
    </row>
    <row r="37" spans="2:101" ht="18" customHeight="1" x14ac:dyDescent="0.2">
      <c r="B37" s="225" t="str">
        <f t="shared" si="5"/>
        <v/>
      </c>
      <c r="C37" s="266"/>
      <c r="D37" s="267"/>
      <c r="E37" s="210"/>
      <c r="F37" s="177"/>
      <c r="G37" s="177"/>
      <c r="H37" s="177"/>
      <c r="I37" s="177"/>
      <c r="J37" s="177"/>
      <c r="K37" s="259">
        <f>TINV(0.05,df_new)</f>
        <v>3.1824463052837091</v>
      </c>
      <c r="L37" s="200"/>
      <c r="M37" s="200"/>
      <c r="N37" s="187"/>
      <c r="O37" s="187"/>
      <c r="P37" s="187"/>
      <c r="Q37" s="187"/>
      <c r="R37" s="187"/>
      <c r="S37" s="233" t="str">
        <f t="shared" si="2"/>
        <v/>
      </c>
      <c r="T37" s="202"/>
      <c r="U37" s="193" t="s">
        <v>52</v>
      </c>
      <c r="V37" s="202"/>
      <c r="W37" s="202"/>
      <c r="X37" s="179"/>
      <c r="Y37" s="179"/>
      <c r="Z37" s="179"/>
      <c r="AA37" s="179"/>
      <c r="AB37" s="238" t="str">
        <f t="shared" si="3"/>
        <v/>
      </c>
      <c r="AC37" s="180"/>
      <c r="AD37" s="194" t="s">
        <v>52</v>
      </c>
      <c r="AE37" s="283"/>
      <c r="AF37" s="204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242" t="str">
        <f t="shared" si="4"/>
        <v/>
      </c>
      <c r="BF37" s="181"/>
      <c r="BG37" s="191" t="s">
        <v>52</v>
      </c>
      <c r="BH37" s="284"/>
      <c r="BI37" s="206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2"/>
    </row>
    <row r="38" spans="2:101" ht="18" customHeight="1" x14ac:dyDescent="0.2">
      <c r="B38" s="225" t="str">
        <f t="shared" si="5"/>
        <v/>
      </c>
      <c r="C38" s="266"/>
      <c r="D38" s="267"/>
      <c r="E38" s="210"/>
      <c r="F38" s="177"/>
      <c r="G38" s="177"/>
      <c r="H38" s="177"/>
      <c r="I38" s="177"/>
      <c r="J38" s="177"/>
      <c r="K38" s="200"/>
      <c r="L38" s="200"/>
      <c r="M38" s="200"/>
      <c r="N38" s="187"/>
      <c r="O38" s="187"/>
      <c r="P38" s="187"/>
      <c r="Q38" s="187"/>
      <c r="R38" s="187"/>
      <c r="S38" s="233" t="str">
        <f t="shared" si="2"/>
        <v/>
      </c>
      <c r="T38" s="202"/>
      <c r="U38" s="264">
        <f>SUMPRODUCT(U25:U27,U30:U32)</f>
        <v>519237061.0719623</v>
      </c>
      <c r="V38" s="202"/>
      <c r="W38" s="202"/>
      <c r="X38" s="179"/>
      <c r="Y38" s="179"/>
      <c r="Z38" s="179"/>
      <c r="AA38" s="179"/>
      <c r="AB38" s="238" t="str">
        <f t="shared" si="3"/>
        <v/>
      </c>
      <c r="AC38" s="180"/>
      <c r="AD38" s="265">
        <f>SUMPRODUCT(AD25:AD28,AD30:AD33)</f>
        <v>519237121.60741615</v>
      </c>
      <c r="AE38" s="204"/>
      <c r="AF38" s="204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242" t="str">
        <f t="shared" si="4"/>
        <v/>
      </c>
      <c r="BF38" s="181"/>
      <c r="BG38" s="291">
        <f>SUMPRODUCT(BG26:BG30,BI26:BI30)</f>
        <v>519237348.66356754</v>
      </c>
      <c r="BH38" s="206"/>
      <c r="BI38" s="206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2"/>
    </row>
    <row r="39" spans="2:101" ht="18" customHeight="1" x14ac:dyDescent="0.2">
      <c r="B39" s="225" t="str">
        <f t="shared" si="5"/>
        <v/>
      </c>
      <c r="C39" s="266"/>
      <c r="D39" s="267"/>
      <c r="E39" s="210"/>
      <c r="F39" s="177"/>
      <c r="G39" s="177"/>
      <c r="H39" s="177"/>
      <c r="I39" s="177"/>
      <c r="J39" s="177"/>
      <c r="K39" s="270" t="s">
        <v>52</v>
      </c>
      <c r="L39" s="200"/>
      <c r="M39" s="200"/>
      <c r="N39" s="187"/>
      <c r="O39" s="187"/>
      <c r="P39" s="187"/>
      <c r="Q39" s="187"/>
      <c r="R39" s="187"/>
      <c r="S39" s="233" t="str">
        <f t="shared" si="2"/>
        <v/>
      </c>
      <c r="T39" s="202"/>
      <c r="U39" s="202"/>
      <c r="V39" s="202"/>
      <c r="W39" s="202"/>
      <c r="X39" s="179"/>
      <c r="Y39" s="179"/>
      <c r="Z39" s="179"/>
      <c r="AA39" s="179"/>
      <c r="AB39" s="238" t="str">
        <f t="shared" si="3"/>
        <v/>
      </c>
      <c r="AC39" s="180"/>
      <c r="AD39" s="204"/>
      <c r="AE39" s="204"/>
      <c r="AF39" s="289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242" t="str">
        <f t="shared" si="4"/>
        <v/>
      </c>
      <c r="BF39" s="181"/>
      <c r="BG39" s="206"/>
      <c r="BH39" s="206"/>
      <c r="BI39" s="290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2"/>
    </row>
    <row r="40" spans="2:101" ht="18" customHeight="1" x14ac:dyDescent="0.2">
      <c r="B40" s="225" t="str">
        <f t="shared" si="5"/>
        <v/>
      </c>
      <c r="C40" s="266"/>
      <c r="D40" s="267"/>
      <c r="E40" s="210"/>
      <c r="F40" s="177"/>
      <c r="G40" s="177"/>
      <c r="H40" s="177"/>
      <c r="I40" s="177"/>
      <c r="J40" s="177"/>
      <c r="K40" s="259">
        <f>SUMPRODUCT(K27:K28,K23:K24)</f>
        <v>519236387.80030507</v>
      </c>
      <c r="L40" s="200"/>
      <c r="M40" s="200"/>
      <c r="N40" s="187"/>
      <c r="O40" s="187"/>
      <c r="P40" s="187"/>
      <c r="Q40" s="187"/>
      <c r="R40" s="187"/>
      <c r="S40" s="233" t="str">
        <f t="shared" si="2"/>
        <v/>
      </c>
      <c r="T40" s="202"/>
      <c r="U40" s="193" t="s">
        <v>53</v>
      </c>
      <c r="V40" s="202"/>
      <c r="W40" s="202"/>
      <c r="X40" s="179"/>
      <c r="Y40" s="179"/>
      <c r="Z40" s="179"/>
      <c r="AA40" s="179"/>
      <c r="AB40" s="238" t="str">
        <f t="shared" si="3"/>
        <v/>
      </c>
      <c r="AC40" s="180"/>
      <c r="AD40" s="194" t="s">
        <v>53</v>
      </c>
      <c r="AE40" s="204"/>
      <c r="AF40" s="204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242" t="str">
        <f t="shared" si="4"/>
        <v/>
      </c>
      <c r="BF40" s="181"/>
      <c r="BG40" s="191" t="s">
        <v>53</v>
      </c>
      <c r="BH40" s="206"/>
      <c r="BI40" s="206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2"/>
    </row>
    <row r="41" spans="2:101" ht="18" customHeight="1" x14ac:dyDescent="0.2">
      <c r="B41" s="225" t="str">
        <f t="shared" si="5"/>
        <v/>
      </c>
      <c r="C41" s="266"/>
      <c r="D41" s="267"/>
      <c r="E41" s="210"/>
      <c r="F41" s="177"/>
      <c r="G41" s="177"/>
      <c r="H41" s="177"/>
      <c r="I41" s="177"/>
      <c r="J41" s="177"/>
      <c r="K41" s="200"/>
      <c r="L41" s="200"/>
      <c r="M41" s="200"/>
      <c r="N41" s="187"/>
      <c r="O41" s="187"/>
      <c r="P41" s="187"/>
      <c r="Q41" s="187"/>
      <c r="R41" s="187"/>
      <c r="S41" s="233" t="str">
        <f t="shared" si="2"/>
        <v/>
      </c>
      <c r="T41" s="202"/>
      <c r="U41" s="264">
        <f>U38-SUM(Y_new)^2/n_new</f>
        <v>92874454.691013396</v>
      </c>
      <c r="V41" s="202"/>
      <c r="W41" s="202"/>
      <c r="X41" s="179"/>
      <c r="Y41" s="179"/>
      <c r="Z41" s="179"/>
      <c r="AA41" s="179"/>
      <c r="AB41" s="238" t="str">
        <f t="shared" si="3"/>
        <v/>
      </c>
      <c r="AC41" s="180"/>
      <c r="AD41" s="265">
        <f>AD38-SUM(Y_new)^2/n_new</f>
        <v>92874515.226467252</v>
      </c>
      <c r="AE41" s="204"/>
      <c r="AF41" s="204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242" t="str">
        <f t="shared" si="4"/>
        <v/>
      </c>
      <c r="BF41" s="181"/>
      <c r="BG41" s="291">
        <f>BG38-SUM(Y_new)^2/n_new</f>
        <v>92874742.282618642</v>
      </c>
      <c r="BH41" s="206"/>
      <c r="BI41" s="206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2"/>
    </row>
    <row r="42" spans="2:101" ht="18" customHeight="1" x14ac:dyDescent="0.2">
      <c r="B42" s="225" t="str">
        <f t="shared" si="5"/>
        <v/>
      </c>
      <c r="C42" s="266"/>
      <c r="D42" s="267"/>
      <c r="E42" s="210"/>
      <c r="F42" s="177"/>
      <c r="G42" s="177"/>
      <c r="H42" s="177"/>
      <c r="I42" s="177"/>
      <c r="J42" s="177"/>
      <c r="K42" s="270" t="s">
        <v>53</v>
      </c>
      <c r="L42" s="200"/>
      <c r="M42" s="200"/>
      <c r="N42" s="187"/>
      <c r="O42" s="187"/>
      <c r="P42" s="187"/>
      <c r="Q42" s="187"/>
      <c r="R42" s="187"/>
      <c r="S42" s="233" t="str">
        <f t="shared" si="2"/>
        <v/>
      </c>
      <c r="T42" s="202"/>
      <c r="U42" s="202"/>
      <c r="V42" s="202"/>
      <c r="W42" s="202"/>
      <c r="X42" s="179"/>
      <c r="Y42" s="179"/>
      <c r="Z42" s="179"/>
      <c r="AA42" s="179"/>
      <c r="AB42" s="238" t="str">
        <f t="shared" si="3"/>
        <v/>
      </c>
      <c r="AC42" s="180"/>
      <c r="AD42" s="204"/>
      <c r="AE42" s="204"/>
      <c r="AF42" s="194" t="s">
        <v>48</v>
      </c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242" t="str">
        <f t="shared" si="4"/>
        <v/>
      </c>
      <c r="BF42" s="181"/>
      <c r="BG42" s="206"/>
      <c r="BH42" s="206"/>
      <c r="BI42" s="191" t="s">
        <v>48</v>
      </c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2"/>
    </row>
    <row r="43" spans="2:101" ht="18" customHeight="1" x14ac:dyDescent="0.2">
      <c r="B43" s="225" t="str">
        <f t="shared" si="5"/>
        <v/>
      </c>
      <c r="C43" s="266"/>
      <c r="D43" s="267"/>
      <c r="E43" s="210"/>
      <c r="F43" s="177"/>
      <c r="G43" s="177"/>
      <c r="H43" s="177"/>
      <c r="I43" s="177"/>
      <c r="J43" s="177"/>
      <c r="K43" s="259">
        <f>K40-SUM(Y_new)^2/n_new</f>
        <v>92873781.419356167</v>
      </c>
      <c r="L43" s="200"/>
      <c r="M43" s="200"/>
      <c r="N43" s="187"/>
      <c r="O43" s="187"/>
      <c r="P43" s="187"/>
      <c r="Q43" s="187"/>
      <c r="R43" s="187"/>
      <c r="S43" s="233" t="str">
        <f t="shared" si="2"/>
        <v/>
      </c>
      <c r="T43" s="202"/>
      <c r="U43" s="193" t="s">
        <v>54</v>
      </c>
      <c r="V43" s="202"/>
      <c r="W43" s="202"/>
      <c r="X43" s="179"/>
      <c r="Y43" s="179"/>
      <c r="Z43" s="179"/>
      <c r="AA43" s="179"/>
      <c r="AB43" s="238" t="str">
        <f t="shared" si="3"/>
        <v/>
      </c>
      <c r="AC43" s="180"/>
      <c r="AD43" s="194" t="s">
        <v>54</v>
      </c>
      <c r="AE43" s="204"/>
      <c r="AF43" s="292">
        <f>AD30</f>
        <v>17.128180672414601</v>
      </c>
      <c r="AG43" s="293">
        <f>AD31</f>
        <v>0.99640437974903762</v>
      </c>
      <c r="AH43" s="293">
        <f>AD32</f>
        <v>1.4627362017183287E-6</v>
      </c>
      <c r="AI43" s="294">
        <f>AD33</f>
        <v>-7.6096341537141882E-11</v>
      </c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242" t="str">
        <f t="shared" si="4"/>
        <v/>
      </c>
      <c r="BF43" s="181"/>
      <c r="BG43" s="191" t="s">
        <v>54</v>
      </c>
      <c r="BH43" s="206"/>
      <c r="BI43" s="295">
        <f>BI26</f>
        <v>513.78144523501396</v>
      </c>
      <c r="BJ43" s="296">
        <f>BI27</f>
        <v>0.73251786144101061</v>
      </c>
      <c r="BK43" s="296">
        <f>BI28</f>
        <v>4.9250314358317837E-5</v>
      </c>
      <c r="BL43" s="296">
        <f>BI29</f>
        <v>-3.601297919814464E-9</v>
      </c>
      <c r="BM43" s="297">
        <f>BI30</f>
        <v>9.0511932441711484E-14</v>
      </c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2"/>
    </row>
    <row r="44" spans="2:101" ht="18" customHeight="1" x14ac:dyDescent="0.2">
      <c r="B44" s="225" t="str">
        <f t="shared" si="5"/>
        <v/>
      </c>
      <c r="C44" s="266"/>
      <c r="D44" s="267"/>
      <c r="E44" s="210"/>
      <c r="F44" s="177"/>
      <c r="G44" s="177"/>
      <c r="H44" s="177"/>
      <c r="I44" s="177"/>
      <c r="J44" s="177"/>
      <c r="K44" s="200"/>
      <c r="L44" s="200"/>
      <c r="M44" s="200"/>
      <c r="N44" s="187"/>
      <c r="O44" s="187"/>
      <c r="P44" s="187"/>
      <c r="Q44" s="187"/>
      <c r="R44" s="187"/>
      <c r="S44" s="233" t="str">
        <f t="shared" si="2"/>
        <v/>
      </c>
      <c r="T44" s="202"/>
      <c r="U44" s="264">
        <f>K31-U38</f>
        <v>287.60673069953918</v>
      </c>
      <c r="V44" s="202"/>
      <c r="W44" s="202"/>
      <c r="X44" s="179"/>
      <c r="Y44" s="179"/>
      <c r="Z44" s="179"/>
      <c r="AA44" s="179"/>
      <c r="AB44" s="238" t="str">
        <f t="shared" si="3"/>
        <v/>
      </c>
      <c r="AC44" s="180"/>
      <c r="AD44" s="265">
        <f>K31-AD38</f>
        <v>227.07127684354782</v>
      </c>
      <c r="AE44" s="204"/>
      <c r="AF44" s="204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242" t="str">
        <f t="shared" si="4"/>
        <v/>
      </c>
      <c r="BF44" s="181"/>
      <c r="BG44" s="291">
        <f>K31-BG38</f>
        <v>1.5125453472137451E-2</v>
      </c>
      <c r="BH44" s="206"/>
      <c r="BI44" s="206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2"/>
    </row>
    <row r="45" spans="2:101" ht="18" customHeight="1" x14ac:dyDescent="0.2">
      <c r="B45" s="225" t="str">
        <f t="shared" si="5"/>
        <v/>
      </c>
      <c r="C45" s="266"/>
      <c r="D45" s="267"/>
      <c r="E45" s="210"/>
      <c r="F45" s="177"/>
      <c r="G45" s="177"/>
      <c r="H45" s="177"/>
      <c r="I45" s="177"/>
      <c r="J45" s="177"/>
      <c r="K45" s="178" t="s">
        <v>54</v>
      </c>
      <c r="L45" s="200"/>
      <c r="M45" s="200"/>
      <c r="N45" s="187"/>
      <c r="O45" s="187"/>
      <c r="P45" s="187"/>
      <c r="Q45" s="187"/>
      <c r="R45" s="187"/>
      <c r="S45" s="233" t="str">
        <f t="shared" si="2"/>
        <v/>
      </c>
      <c r="T45" s="202"/>
      <c r="U45" s="202"/>
      <c r="V45" s="202"/>
      <c r="W45" s="202"/>
      <c r="X45" s="179"/>
      <c r="Y45" s="179"/>
      <c r="Z45" s="179"/>
      <c r="AA45" s="179"/>
      <c r="AB45" s="238" t="str">
        <f t="shared" si="3"/>
        <v/>
      </c>
      <c r="AC45" s="180"/>
      <c r="AD45" s="204"/>
      <c r="AE45" s="204"/>
      <c r="AF45" s="204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242" t="str">
        <f t="shared" si="4"/>
        <v/>
      </c>
      <c r="BF45" s="181"/>
      <c r="BG45" s="206"/>
      <c r="BH45" s="206"/>
      <c r="BI45" s="206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2"/>
    </row>
    <row r="46" spans="2:101" ht="18" customHeight="1" x14ac:dyDescent="0.2">
      <c r="B46" s="225" t="str">
        <f t="shared" si="5"/>
        <v/>
      </c>
      <c r="C46" s="266"/>
      <c r="D46" s="267"/>
      <c r="E46" s="210"/>
      <c r="F46" s="177"/>
      <c r="G46" s="177"/>
      <c r="H46" s="177"/>
      <c r="I46" s="177"/>
      <c r="J46" s="177"/>
      <c r="K46" s="259">
        <f>K31-K40</f>
        <v>960.87838792800903</v>
      </c>
      <c r="L46" s="200"/>
      <c r="M46" s="200"/>
      <c r="N46" s="187"/>
      <c r="O46" s="187"/>
      <c r="P46" s="187"/>
      <c r="Q46" s="187"/>
      <c r="R46" s="187"/>
      <c r="S46" s="233" t="str">
        <f t="shared" si="2"/>
        <v/>
      </c>
      <c r="T46" s="202"/>
      <c r="U46" s="201" t="s">
        <v>55</v>
      </c>
      <c r="V46" s="179"/>
      <c r="W46" s="179"/>
      <c r="X46" s="179"/>
      <c r="Y46" s="179"/>
      <c r="Z46" s="179"/>
      <c r="AA46" s="179"/>
      <c r="AB46" s="238" t="str">
        <f t="shared" si="3"/>
        <v/>
      </c>
      <c r="AC46" s="180"/>
      <c r="AD46" s="203" t="s">
        <v>55</v>
      </c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242" t="str">
        <f t="shared" si="4"/>
        <v/>
      </c>
      <c r="BF46" s="181"/>
      <c r="BG46" s="205" t="s">
        <v>55</v>
      </c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2"/>
    </row>
    <row r="47" spans="2:101" ht="18" customHeight="1" x14ac:dyDescent="0.2">
      <c r="B47" s="225" t="str">
        <f t="shared" si="5"/>
        <v/>
      </c>
      <c r="C47" s="266"/>
      <c r="D47" s="267"/>
      <c r="E47" s="210"/>
      <c r="F47" s="177"/>
      <c r="G47" s="177"/>
      <c r="H47" s="177"/>
      <c r="I47" s="177"/>
      <c r="J47" s="177"/>
      <c r="K47" s="200"/>
      <c r="L47" s="200"/>
      <c r="M47" s="200"/>
      <c r="N47" s="187"/>
      <c r="O47" s="187"/>
      <c r="P47" s="187"/>
      <c r="Q47" s="187"/>
      <c r="R47" s="187"/>
      <c r="S47" s="233" t="str">
        <f t="shared" si="2"/>
        <v/>
      </c>
      <c r="T47" s="202"/>
      <c r="U47" s="264">
        <f>U44/(df_new-1)</f>
        <v>143.80336534976959</v>
      </c>
      <c r="V47" s="179"/>
      <c r="W47" s="179"/>
      <c r="X47" s="179"/>
      <c r="Y47" s="179"/>
      <c r="Z47" s="179"/>
      <c r="AA47" s="179"/>
      <c r="AB47" s="238" t="str">
        <f t="shared" si="3"/>
        <v/>
      </c>
      <c r="AC47" s="180"/>
      <c r="AD47" s="265">
        <f>AD44/(df_new-2)</f>
        <v>227.07127684354782</v>
      </c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242" t="str">
        <f t="shared" si="4"/>
        <v/>
      </c>
      <c r="BF47" s="181"/>
      <c r="BG47" s="291" t="e">
        <f>BG44/(df_new-3)</f>
        <v>#DIV/0!</v>
      </c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2"/>
    </row>
    <row r="48" spans="2:101" ht="18" customHeight="1" x14ac:dyDescent="0.2">
      <c r="B48" s="225" t="str">
        <f t="shared" si="5"/>
        <v/>
      </c>
      <c r="C48" s="266"/>
      <c r="D48" s="267"/>
      <c r="E48" s="210"/>
      <c r="F48" s="177"/>
      <c r="G48" s="177"/>
      <c r="H48" s="177"/>
      <c r="I48" s="177"/>
      <c r="J48" s="177"/>
      <c r="K48" s="298" t="s">
        <v>55</v>
      </c>
      <c r="L48" s="200"/>
      <c r="M48" s="200"/>
      <c r="N48" s="187"/>
      <c r="O48" s="187"/>
      <c r="P48" s="187"/>
      <c r="Q48" s="187"/>
      <c r="R48" s="187"/>
      <c r="S48" s="233" t="str">
        <f t="shared" si="2"/>
        <v/>
      </c>
      <c r="T48" s="202"/>
      <c r="U48" s="179"/>
      <c r="V48" s="179"/>
      <c r="W48" s="179"/>
      <c r="X48" s="179"/>
      <c r="Y48" s="179"/>
      <c r="Z48" s="179"/>
      <c r="AA48" s="179"/>
      <c r="AB48" s="238" t="str">
        <f t="shared" si="3"/>
        <v/>
      </c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242" t="str">
        <f t="shared" si="4"/>
        <v/>
      </c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2"/>
    </row>
    <row r="49" spans="2:101" ht="18" customHeight="1" x14ac:dyDescent="0.2">
      <c r="B49" s="225" t="str">
        <f t="shared" si="5"/>
        <v/>
      </c>
      <c r="C49" s="266"/>
      <c r="D49" s="267"/>
      <c r="E49" s="210"/>
      <c r="F49" s="177"/>
      <c r="G49" s="177"/>
      <c r="H49" s="177"/>
      <c r="I49" s="177"/>
      <c r="J49" s="177"/>
      <c r="K49" s="259">
        <f>K46/df_new</f>
        <v>320.29279597600299</v>
      </c>
      <c r="L49" s="200"/>
      <c r="M49" s="200"/>
      <c r="N49" s="187"/>
      <c r="O49" s="187"/>
      <c r="P49" s="187"/>
      <c r="Q49" s="187"/>
      <c r="R49" s="187"/>
      <c r="S49" s="233" t="str">
        <f t="shared" si="2"/>
        <v/>
      </c>
      <c r="T49" s="202"/>
      <c r="U49" s="299" t="s">
        <v>56</v>
      </c>
      <c r="V49" s="202"/>
      <c r="W49" s="202"/>
      <c r="X49" s="179"/>
      <c r="Y49" s="179"/>
      <c r="Z49" s="179"/>
      <c r="AA49" s="179"/>
      <c r="AB49" s="238" t="str">
        <f t="shared" si="3"/>
        <v/>
      </c>
      <c r="AC49" s="180"/>
      <c r="AD49" s="300" t="s">
        <v>56</v>
      </c>
      <c r="AE49" s="204"/>
      <c r="AF49" s="204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242" t="str">
        <f t="shared" si="4"/>
        <v/>
      </c>
      <c r="BF49" s="181"/>
      <c r="BG49" s="301" t="s">
        <v>56</v>
      </c>
      <c r="BH49" s="206"/>
      <c r="BI49" s="206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2"/>
    </row>
    <row r="50" spans="2:101" ht="18" customHeight="1" x14ac:dyDescent="0.2">
      <c r="B50" s="225" t="str">
        <f t="shared" si="5"/>
        <v/>
      </c>
      <c r="C50" s="266"/>
      <c r="D50" s="267"/>
      <c r="E50" s="210"/>
      <c r="F50" s="177"/>
      <c r="G50" s="177"/>
      <c r="H50" s="177"/>
      <c r="I50" s="177"/>
      <c r="J50" s="177"/>
      <c r="K50" s="200"/>
      <c r="L50" s="200"/>
      <c r="M50" s="200"/>
      <c r="N50" s="187"/>
      <c r="O50" s="187"/>
      <c r="P50" s="187"/>
      <c r="Q50" s="187"/>
      <c r="R50" s="187"/>
      <c r="S50" s="233" t="str">
        <f t="shared" si="2"/>
        <v/>
      </c>
      <c r="T50" s="202"/>
      <c r="U50" s="264">
        <f>FINV(0.05,df_new,df_new-1)</f>
        <v>19.164292127511288</v>
      </c>
      <c r="V50" s="202"/>
      <c r="W50" s="202"/>
      <c r="X50" s="179"/>
      <c r="Y50" s="179"/>
      <c r="Z50" s="179"/>
      <c r="AA50" s="179"/>
      <c r="AB50" s="238" t="str">
        <f t="shared" si="3"/>
        <v/>
      </c>
      <c r="AC50" s="180"/>
      <c r="AD50" s="265">
        <f>FINV(0.05,df_new-1,df_new-2)</f>
        <v>199.49999999999994</v>
      </c>
      <c r="AE50" s="204"/>
      <c r="AF50" s="204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242" t="str">
        <f t="shared" si="4"/>
        <v/>
      </c>
      <c r="BF50" s="181"/>
      <c r="BG50" s="291" t="e">
        <f>FINV(0.05,df_new-2,df_new-3)</f>
        <v>#NUM!</v>
      </c>
      <c r="BH50" s="206"/>
      <c r="BI50" s="206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2"/>
    </row>
    <row r="51" spans="2:101" ht="18" customHeight="1" x14ac:dyDescent="0.2">
      <c r="B51" s="225" t="str">
        <f t="shared" si="5"/>
        <v/>
      </c>
      <c r="C51" s="266"/>
      <c r="D51" s="267"/>
      <c r="E51" s="210"/>
      <c r="F51" s="177"/>
      <c r="G51" s="177"/>
      <c r="H51" s="177"/>
      <c r="I51" s="177"/>
      <c r="J51" s="177"/>
      <c r="K51" s="178" t="s">
        <v>57</v>
      </c>
      <c r="L51" s="200"/>
      <c r="M51" s="200"/>
      <c r="N51" s="187"/>
      <c r="O51" s="187"/>
      <c r="P51" s="187"/>
      <c r="Q51" s="187"/>
      <c r="R51" s="187"/>
      <c r="S51" s="233" t="str">
        <f t="shared" si="2"/>
        <v/>
      </c>
      <c r="T51" s="202"/>
      <c r="U51" s="202"/>
      <c r="V51" s="202"/>
      <c r="W51" s="202"/>
      <c r="X51" s="179"/>
      <c r="Y51" s="179"/>
      <c r="Z51" s="179"/>
      <c r="AA51" s="179"/>
      <c r="AB51" s="238" t="str">
        <f t="shared" si="3"/>
        <v/>
      </c>
      <c r="AC51" s="180"/>
      <c r="AD51" s="204"/>
      <c r="AE51" s="204"/>
      <c r="AF51" s="204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242" t="str">
        <f t="shared" si="4"/>
        <v/>
      </c>
      <c r="BF51" s="181"/>
      <c r="BG51" s="206"/>
      <c r="BH51" s="206"/>
      <c r="BI51" s="206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2"/>
    </row>
    <row r="52" spans="2:101" ht="18" customHeight="1" x14ac:dyDescent="0.2">
      <c r="B52" s="225" t="str">
        <f t="shared" si="5"/>
        <v/>
      </c>
      <c r="C52" s="302"/>
      <c r="D52" s="303"/>
      <c r="F52" s="177"/>
      <c r="G52" s="177"/>
      <c r="H52" s="177"/>
      <c r="I52" s="177"/>
      <c r="J52" s="177"/>
      <c r="K52" s="211">
        <f>$K$49*K19</f>
        <v>356.18767828365833</v>
      </c>
      <c r="L52" s="212">
        <f>$K$49*L19</f>
        <v>-3.1753165118310625E-2</v>
      </c>
      <c r="M52" s="200"/>
      <c r="N52" s="187"/>
      <c r="O52" s="187"/>
      <c r="P52" s="187"/>
      <c r="Q52" s="187"/>
      <c r="R52" s="187"/>
      <c r="S52" s="233" t="str">
        <f t="shared" si="2"/>
        <v/>
      </c>
      <c r="T52" s="202"/>
      <c r="U52" s="193" t="s">
        <v>58</v>
      </c>
      <c r="V52" s="202"/>
      <c r="W52" s="202"/>
      <c r="X52" s="179"/>
      <c r="Y52" s="179"/>
      <c r="Z52" s="179"/>
      <c r="AA52" s="179"/>
      <c r="AB52" s="238" t="str">
        <f t="shared" si="3"/>
        <v/>
      </c>
      <c r="AC52" s="180"/>
      <c r="AD52" s="194" t="s">
        <v>58</v>
      </c>
      <c r="AE52" s="204"/>
      <c r="AF52" s="204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242" t="str">
        <f t="shared" si="4"/>
        <v/>
      </c>
      <c r="BF52" s="181"/>
      <c r="BG52" s="191" t="s">
        <v>58</v>
      </c>
      <c r="BH52" s="206"/>
      <c r="BI52" s="206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2"/>
    </row>
    <row r="53" spans="2:101" ht="18" customHeight="1" x14ac:dyDescent="0.2">
      <c r="B53" s="225" t="str">
        <f t="shared" si="5"/>
        <v/>
      </c>
      <c r="C53" s="302"/>
      <c r="D53" s="303"/>
      <c r="F53" s="177"/>
      <c r="G53" s="177"/>
      <c r="H53" s="177"/>
      <c r="I53" s="177"/>
      <c r="J53" s="177"/>
      <c r="K53" s="231">
        <f>$K$49*K20</f>
        <v>-3.1753165118310625E-2</v>
      </c>
      <c r="L53" s="232">
        <f>$K$49*L20</f>
        <v>3.45143099112072E-6</v>
      </c>
      <c r="M53" s="200"/>
      <c r="N53" s="200"/>
      <c r="O53" s="187"/>
      <c r="P53" s="187"/>
      <c r="Q53" s="187"/>
      <c r="R53" s="187"/>
      <c r="S53" s="233" t="str">
        <f t="shared" si="2"/>
        <v/>
      </c>
      <c r="T53" s="202"/>
      <c r="U53" s="264">
        <f>K49/U47</f>
        <v>2.2272969425782367</v>
      </c>
      <c r="V53" s="202"/>
      <c r="W53" s="202"/>
      <c r="X53" s="179"/>
      <c r="Y53" s="179"/>
      <c r="Z53" s="179"/>
      <c r="AA53" s="179"/>
      <c r="AB53" s="238" t="str">
        <f t="shared" si="3"/>
        <v/>
      </c>
      <c r="AC53" s="180"/>
      <c r="AD53" s="265">
        <f>U47/AD47</f>
        <v>0.63329614977613458</v>
      </c>
      <c r="AE53" s="204"/>
      <c r="AF53" s="204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242" t="str">
        <f t="shared" si="4"/>
        <v/>
      </c>
      <c r="BF53" s="181"/>
      <c r="BG53" s="291" t="e">
        <f>AD47/BG47</f>
        <v>#DIV/0!</v>
      </c>
      <c r="BH53" s="206"/>
      <c r="BI53" s="206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2"/>
    </row>
    <row r="54" spans="2:101" ht="18" customHeight="1" x14ac:dyDescent="0.2">
      <c r="B54" s="225" t="str">
        <f t="shared" si="5"/>
        <v/>
      </c>
      <c r="C54" s="302"/>
      <c r="D54" s="303"/>
      <c r="F54" s="177"/>
      <c r="G54" s="177"/>
      <c r="H54" s="177"/>
      <c r="I54" s="177"/>
      <c r="J54" s="177"/>
      <c r="K54" s="200"/>
      <c r="L54" s="200"/>
      <c r="M54" s="200"/>
      <c r="N54" s="187"/>
      <c r="O54" s="187"/>
      <c r="P54" s="187"/>
      <c r="Q54" s="187"/>
      <c r="R54" s="187"/>
      <c r="S54" s="233" t="str">
        <f t="shared" si="2"/>
        <v/>
      </c>
      <c r="T54" s="202"/>
      <c r="U54" s="202"/>
      <c r="V54" s="202"/>
      <c r="W54" s="202"/>
      <c r="X54" s="179"/>
      <c r="Y54" s="179"/>
      <c r="Z54" s="179"/>
      <c r="AA54" s="179"/>
      <c r="AB54" s="238" t="str">
        <f t="shared" si="3"/>
        <v/>
      </c>
      <c r="AC54" s="180"/>
      <c r="AD54" s="204"/>
      <c r="AE54" s="204"/>
      <c r="AF54" s="204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242" t="str">
        <f t="shared" si="4"/>
        <v/>
      </c>
      <c r="BF54" s="181"/>
      <c r="BG54" s="206"/>
      <c r="BH54" s="206"/>
      <c r="BI54" s="206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2"/>
    </row>
    <row r="55" spans="2:101" ht="18" customHeight="1" x14ac:dyDescent="0.3">
      <c r="B55" s="225" t="str">
        <f t="shared" si="5"/>
        <v/>
      </c>
      <c r="C55" s="302"/>
      <c r="D55" s="303"/>
      <c r="F55" s="177"/>
      <c r="G55" s="177"/>
      <c r="H55" s="177"/>
      <c r="I55" s="177"/>
      <c r="J55" s="177"/>
      <c r="K55" s="298" t="s">
        <v>59</v>
      </c>
      <c r="L55" s="273"/>
      <c r="M55" s="200"/>
      <c r="N55" s="187"/>
      <c r="O55" s="187"/>
      <c r="P55" s="187"/>
      <c r="Q55" s="187"/>
      <c r="R55" s="187"/>
      <c r="S55" s="233" t="str">
        <f t="shared" si="2"/>
        <v/>
      </c>
      <c r="T55" s="202"/>
      <c r="U55" s="299" t="s">
        <v>60</v>
      </c>
      <c r="V55" s="202"/>
      <c r="W55" s="202"/>
      <c r="X55" s="179"/>
      <c r="Y55" s="179"/>
      <c r="Z55" s="179"/>
      <c r="AA55" s="179"/>
      <c r="AB55" s="238" t="str">
        <f t="shared" si="3"/>
        <v/>
      </c>
      <c r="AC55" s="180"/>
      <c r="AD55" s="300" t="s">
        <v>60</v>
      </c>
      <c r="AE55" s="204"/>
      <c r="AF55" s="204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242" t="str">
        <f t="shared" si="4"/>
        <v/>
      </c>
      <c r="BF55" s="181"/>
      <c r="BG55" s="301" t="s">
        <v>60</v>
      </c>
      <c r="BH55" s="206"/>
      <c r="BI55" s="206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2"/>
    </row>
    <row r="56" spans="2:101" ht="18" customHeight="1" x14ac:dyDescent="0.2">
      <c r="B56" s="225" t="str">
        <f t="shared" si="5"/>
        <v/>
      </c>
      <c r="C56" s="302"/>
      <c r="D56" s="303"/>
      <c r="F56" s="177"/>
      <c r="G56" s="177"/>
      <c r="H56" s="177"/>
      <c r="I56" s="177"/>
      <c r="J56" s="177"/>
      <c r="K56" s="285">
        <f>COUNT(X_new)</f>
        <v>5</v>
      </c>
      <c r="L56" s="200"/>
      <c r="M56" s="200"/>
      <c r="N56" s="187"/>
      <c r="O56" s="187"/>
      <c r="P56" s="187"/>
      <c r="Q56" s="187"/>
      <c r="R56" s="187"/>
      <c r="S56" s="233" t="str">
        <f t="shared" si="2"/>
        <v/>
      </c>
      <c r="T56" s="202"/>
      <c r="U56" s="304" t="str">
        <f>IF(U53&gt;U50,"Q","L")</f>
        <v>L</v>
      </c>
      <c r="V56" s="202"/>
      <c r="W56" s="202"/>
      <c r="X56" s="202"/>
      <c r="Y56" s="179"/>
      <c r="Z56" s="179"/>
      <c r="AA56" s="179"/>
      <c r="AB56" s="238" t="str">
        <f t="shared" si="3"/>
        <v/>
      </c>
      <c r="AC56" s="180"/>
      <c r="AD56" s="305" t="str">
        <f>IF(AD53&gt;AD50,"Cubic","Quadratic")</f>
        <v>Quadratic</v>
      </c>
      <c r="AE56" s="204"/>
      <c r="AF56" s="204"/>
      <c r="AG56" s="204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242" t="str">
        <f t="shared" si="4"/>
        <v/>
      </c>
      <c r="BF56" s="181"/>
      <c r="BG56" s="306" t="e">
        <f>IF(BG53&gt;BG50,"Quartic","Cubic")</f>
        <v>#DIV/0!</v>
      </c>
      <c r="BH56" s="206"/>
      <c r="BI56" s="206"/>
      <c r="BJ56" s="206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2"/>
    </row>
    <row r="57" spans="2:101" ht="18" customHeight="1" x14ac:dyDescent="0.2">
      <c r="B57" s="225" t="str">
        <f t="shared" si="5"/>
        <v/>
      </c>
      <c r="C57" s="302"/>
      <c r="D57" s="303"/>
      <c r="F57" s="177"/>
      <c r="G57" s="177"/>
      <c r="H57" s="177"/>
      <c r="I57" s="177"/>
      <c r="J57" s="177"/>
      <c r="K57" s="200"/>
      <c r="L57" s="200"/>
      <c r="M57" s="200"/>
      <c r="N57" s="187"/>
      <c r="O57" s="187"/>
      <c r="P57" s="187"/>
      <c r="Q57" s="187"/>
      <c r="R57" s="187"/>
      <c r="S57" s="233" t="str">
        <f t="shared" si="2"/>
        <v/>
      </c>
      <c r="T57" s="202"/>
      <c r="U57" s="202"/>
      <c r="V57" s="202"/>
      <c r="W57" s="202"/>
      <c r="X57" s="179"/>
      <c r="Y57" s="202"/>
      <c r="Z57" s="179"/>
      <c r="AA57" s="179"/>
      <c r="AB57" s="238" t="str">
        <f t="shared" si="3"/>
        <v/>
      </c>
      <c r="AC57" s="180"/>
      <c r="AD57" s="204"/>
      <c r="AE57" s="204"/>
      <c r="AF57" s="204"/>
      <c r="AG57" s="180"/>
      <c r="AH57" s="204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242" t="str">
        <f t="shared" si="4"/>
        <v/>
      </c>
      <c r="BF57" s="181"/>
      <c r="BG57" s="206"/>
      <c r="BH57" s="206"/>
      <c r="BI57" s="206"/>
      <c r="BJ57" s="181"/>
      <c r="BK57" s="206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2"/>
    </row>
    <row r="58" spans="2:101" ht="18" customHeight="1" x14ac:dyDescent="0.2">
      <c r="B58" s="225" t="str">
        <f t="shared" si="5"/>
        <v/>
      </c>
      <c r="C58" s="302"/>
      <c r="D58" s="303"/>
      <c r="F58" s="177"/>
      <c r="G58" s="177"/>
      <c r="H58" s="177"/>
      <c r="I58" s="177"/>
      <c r="J58" s="177"/>
      <c r="K58" s="200"/>
      <c r="L58" s="200"/>
      <c r="M58" s="200"/>
      <c r="N58" s="187"/>
      <c r="O58" s="187"/>
      <c r="P58" s="187"/>
      <c r="Q58" s="187"/>
      <c r="R58" s="187"/>
      <c r="S58" s="233" t="str">
        <f t="shared" si="2"/>
        <v/>
      </c>
      <c r="T58" s="202"/>
      <c r="U58" s="193" t="s">
        <v>57</v>
      </c>
      <c r="V58" s="202"/>
      <c r="W58" s="202"/>
      <c r="X58" s="179"/>
      <c r="Y58" s="179"/>
      <c r="Z58" s="179"/>
      <c r="AA58" s="179"/>
      <c r="AB58" s="238" t="str">
        <f t="shared" si="3"/>
        <v/>
      </c>
      <c r="AC58" s="180"/>
      <c r="AD58" s="194" t="s">
        <v>57</v>
      </c>
      <c r="AE58" s="204"/>
      <c r="AF58" s="204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242" t="str">
        <f t="shared" si="4"/>
        <v/>
      </c>
      <c r="BF58" s="181"/>
      <c r="BG58" s="191" t="s">
        <v>57</v>
      </c>
      <c r="BH58" s="206"/>
      <c r="BI58" s="206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2"/>
    </row>
    <row r="59" spans="2:101" ht="18" customHeight="1" x14ac:dyDescent="0.2">
      <c r="B59" s="225" t="str">
        <f t="shared" si="5"/>
        <v/>
      </c>
      <c r="C59" s="302"/>
      <c r="D59" s="303"/>
      <c r="F59" s="177"/>
      <c r="G59" s="177"/>
      <c r="H59" s="177"/>
      <c r="I59" s="177"/>
      <c r="J59" s="177"/>
      <c r="K59" s="200"/>
      <c r="L59" s="200"/>
      <c r="M59" s="200"/>
      <c r="N59" s="187"/>
      <c r="O59" s="187"/>
      <c r="P59" s="187"/>
      <c r="Q59" s="187"/>
      <c r="R59" s="187"/>
      <c r="S59" s="233" t="str">
        <f t="shared" si="2"/>
        <v/>
      </c>
      <c r="T59" s="202"/>
      <c r="U59" s="214">
        <f t="shared" ref="U59:W61" si="7">$U$47*U20</f>
        <v>1095.6957912098308</v>
      </c>
      <c r="V59" s="215">
        <f t="shared" si="7"/>
        <v>-0.24387548340101262</v>
      </c>
      <c r="W59" s="216">
        <f t="shared" si="7"/>
        <v>1.1402319080905431E-5</v>
      </c>
      <c r="X59" s="179"/>
      <c r="Y59" s="179"/>
      <c r="Z59" s="179"/>
      <c r="AA59" s="179"/>
      <c r="AB59" s="238" t="str">
        <f t="shared" si="3"/>
        <v/>
      </c>
      <c r="AC59" s="180"/>
      <c r="AD59" s="218">
        <f t="shared" ref="AD59:AG62" si="8">$U$47*AD20</f>
        <v>7684.0192984911955</v>
      </c>
      <c r="AE59" s="219">
        <f t="shared" si="8"/>
        <v>-2.775310343772964</v>
      </c>
      <c r="AF59" s="219">
        <f t="shared" si="8"/>
        <v>2.9529358822230926E-4</v>
      </c>
      <c r="AG59" s="220">
        <f t="shared" si="8"/>
        <v>-9.5198773936307995E-9</v>
      </c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242" t="str">
        <f t="shared" si="4"/>
        <v/>
      </c>
      <c r="BF59" s="181"/>
      <c r="BG59" s="222" t="e">
        <f t="shared" ref="BG59:BK63" si="9">$BG$47*BG19</f>
        <v>#DIV/0!</v>
      </c>
      <c r="BH59" s="223" t="e">
        <f t="shared" si="9"/>
        <v>#DIV/0!</v>
      </c>
      <c r="BI59" s="223" t="e">
        <f t="shared" si="9"/>
        <v>#DIV/0!</v>
      </c>
      <c r="BJ59" s="223" t="e">
        <f t="shared" si="9"/>
        <v>#DIV/0!</v>
      </c>
      <c r="BK59" s="224" t="e">
        <f t="shared" si="9"/>
        <v>#DIV/0!</v>
      </c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2"/>
    </row>
    <row r="60" spans="2:101" ht="18" customHeight="1" x14ac:dyDescent="0.2">
      <c r="B60" s="225" t="str">
        <f t="shared" si="5"/>
        <v/>
      </c>
      <c r="C60" s="302"/>
      <c r="D60" s="303"/>
      <c r="F60" s="177"/>
      <c r="G60" s="177"/>
      <c r="H60" s="177"/>
      <c r="I60" s="177"/>
      <c r="J60" s="177"/>
      <c r="K60" s="187"/>
      <c r="L60" s="187"/>
      <c r="M60" s="187"/>
      <c r="N60" s="187"/>
      <c r="O60" s="187"/>
      <c r="P60" s="187"/>
      <c r="Q60" s="187"/>
      <c r="R60" s="187"/>
      <c r="S60" s="233" t="str">
        <f t="shared" si="2"/>
        <v/>
      </c>
      <c r="T60" s="202"/>
      <c r="U60" s="235">
        <f t="shared" si="7"/>
        <v>-0.24387548340101262</v>
      </c>
      <c r="V60" s="236">
        <f t="shared" si="7"/>
        <v>5.789311923263077E-5</v>
      </c>
      <c r="W60" s="237">
        <f t="shared" si="7"/>
        <v>-2.7978799761549458E-9</v>
      </c>
      <c r="X60" s="179"/>
      <c r="Y60" s="179"/>
      <c r="Z60" s="179"/>
      <c r="AA60" s="179"/>
      <c r="AB60" s="238" t="str">
        <f t="shared" si="3"/>
        <v/>
      </c>
      <c r="AC60" s="180"/>
      <c r="AD60" s="239">
        <f t="shared" si="8"/>
        <v>-2.7753103437729432</v>
      </c>
      <c r="AE60" s="240">
        <f t="shared" si="8"/>
        <v>1.0305476109594063E-3</v>
      </c>
      <c r="AF60" s="240">
        <f t="shared" si="8"/>
        <v>-1.118775653415642E-7</v>
      </c>
      <c r="AG60" s="241">
        <f t="shared" si="8"/>
        <v>3.6578272870282874E-12</v>
      </c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242" t="str">
        <f t="shared" si="4"/>
        <v/>
      </c>
      <c r="BF60" s="181"/>
      <c r="BG60" s="243" t="e">
        <f t="shared" si="9"/>
        <v>#DIV/0!</v>
      </c>
      <c r="BH60" s="244" t="e">
        <f t="shared" si="9"/>
        <v>#DIV/0!</v>
      </c>
      <c r="BI60" s="244" t="e">
        <f t="shared" si="9"/>
        <v>#DIV/0!</v>
      </c>
      <c r="BJ60" s="244" t="e">
        <f t="shared" si="9"/>
        <v>#DIV/0!</v>
      </c>
      <c r="BK60" s="245" t="e">
        <f t="shared" si="9"/>
        <v>#DIV/0!</v>
      </c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2"/>
    </row>
    <row r="61" spans="2:101" ht="18" customHeight="1" thickBot="1" x14ac:dyDescent="0.25">
      <c r="B61" s="307" t="str">
        <f t="shared" si="5"/>
        <v/>
      </c>
      <c r="C61" s="308"/>
      <c r="D61" s="309"/>
      <c r="F61" s="177"/>
      <c r="G61" s="177"/>
      <c r="H61" s="177"/>
      <c r="I61" s="177"/>
      <c r="J61" s="177"/>
      <c r="K61" s="187"/>
      <c r="L61" s="187"/>
      <c r="M61" s="187"/>
      <c r="N61" s="187"/>
      <c r="O61" s="187"/>
      <c r="P61" s="187"/>
      <c r="Q61" s="187"/>
      <c r="R61" s="187"/>
      <c r="S61" s="276" t="str">
        <f t="shared" si="2"/>
        <v/>
      </c>
      <c r="T61" s="202"/>
      <c r="U61" s="246">
        <f t="shared" si="7"/>
        <v>1.1402319080905431E-5</v>
      </c>
      <c r="V61" s="247">
        <f t="shared" si="7"/>
        <v>-2.7978799761549458E-9</v>
      </c>
      <c r="W61" s="248">
        <f t="shared" si="7"/>
        <v>1.3893582073372163E-13</v>
      </c>
      <c r="X61" s="179"/>
      <c r="Y61" s="179"/>
      <c r="Z61" s="179"/>
      <c r="AA61" s="179"/>
      <c r="AB61" s="277" t="str">
        <f t="shared" si="3"/>
        <v/>
      </c>
      <c r="AC61" s="180"/>
      <c r="AD61" s="239">
        <f t="shared" si="8"/>
        <v>2.9529358822230422E-4</v>
      </c>
      <c r="AE61" s="240">
        <f t="shared" si="8"/>
        <v>-1.1187756534156324E-7</v>
      </c>
      <c r="AF61" s="240">
        <f t="shared" si="8"/>
        <v>1.2371828241035106E-11</v>
      </c>
      <c r="AG61" s="241">
        <f t="shared" si="8"/>
        <v>-4.102121081882899E-16</v>
      </c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282" t="str">
        <f t="shared" si="4"/>
        <v/>
      </c>
      <c r="BF61" s="181"/>
      <c r="BG61" s="243" t="e">
        <f t="shared" si="9"/>
        <v>#DIV/0!</v>
      </c>
      <c r="BH61" s="244" t="e">
        <f t="shared" si="9"/>
        <v>#DIV/0!</v>
      </c>
      <c r="BI61" s="244" t="e">
        <f t="shared" si="9"/>
        <v>#DIV/0!</v>
      </c>
      <c r="BJ61" s="244" t="e">
        <f t="shared" si="9"/>
        <v>#DIV/0!</v>
      </c>
      <c r="BK61" s="245" t="e">
        <f t="shared" si="9"/>
        <v>#DIV/0!</v>
      </c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2"/>
    </row>
    <row r="62" spans="2:101" ht="18" customHeight="1" thickTop="1" thickBot="1" x14ac:dyDescent="0.25">
      <c r="K62" s="178"/>
      <c r="L62" s="178"/>
      <c r="M62" s="178"/>
      <c r="N62" s="178"/>
      <c r="O62" s="178"/>
      <c r="P62" s="178"/>
      <c r="Q62" s="178"/>
      <c r="R62" s="178"/>
      <c r="S62" s="179"/>
      <c r="T62" s="179"/>
      <c r="U62" s="179"/>
      <c r="V62" s="179"/>
      <c r="W62" s="179"/>
      <c r="X62" s="179"/>
      <c r="Y62" s="179"/>
      <c r="Z62" s="179"/>
      <c r="AA62" s="179"/>
      <c r="AB62" s="180"/>
      <c r="AC62" s="180"/>
      <c r="AD62" s="255">
        <f t="shared" si="8"/>
        <v>-9.5198773936305563E-9</v>
      </c>
      <c r="AE62" s="256">
        <f t="shared" si="8"/>
        <v>3.6578272870282308E-12</v>
      </c>
      <c r="AF62" s="256">
        <f t="shared" si="8"/>
        <v>-4.1021210818828723E-16</v>
      </c>
      <c r="AG62" s="257">
        <f t="shared" si="8"/>
        <v>1.3755861485793587E-20</v>
      </c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1"/>
      <c r="BF62" s="181"/>
      <c r="BG62" s="243" t="e">
        <f t="shared" si="9"/>
        <v>#DIV/0!</v>
      </c>
      <c r="BH62" s="244" t="e">
        <f t="shared" si="9"/>
        <v>#DIV/0!</v>
      </c>
      <c r="BI62" s="244" t="e">
        <f t="shared" si="9"/>
        <v>#DIV/0!</v>
      </c>
      <c r="BJ62" s="244" t="e">
        <f t="shared" si="9"/>
        <v>#DIV/0!</v>
      </c>
      <c r="BK62" s="245" t="e">
        <f t="shared" si="9"/>
        <v>#DIV/0!</v>
      </c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2"/>
    </row>
    <row r="63" spans="2:101" ht="18" customHeight="1" thickTop="1" thickBot="1" x14ac:dyDescent="0.3">
      <c r="B63" s="310" t="s">
        <v>24</v>
      </c>
      <c r="C63" s="177"/>
      <c r="D63" s="311" t="s">
        <v>25</v>
      </c>
      <c r="E63" s="177"/>
      <c r="F63" s="177"/>
      <c r="G63" s="177"/>
      <c r="H63" s="177"/>
      <c r="I63" s="177"/>
      <c r="J63" s="177"/>
      <c r="K63" s="178"/>
      <c r="L63" s="178"/>
      <c r="M63" s="178"/>
      <c r="N63" s="178"/>
      <c r="O63" s="178"/>
      <c r="P63" s="178"/>
      <c r="Q63" s="178"/>
      <c r="R63" s="178"/>
      <c r="S63" s="179"/>
      <c r="T63" s="179"/>
      <c r="U63" s="179"/>
      <c r="V63" s="179"/>
      <c r="W63" s="179"/>
      <c r="X63" s="179"/>
      <c r="Y63" s="179"/>
      <c r="Z63" s="179"/>
      <c r="AA63" s="179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1"/>
      <c r="BF63" s="181"/>
      <c r="BG63" s="260" t="e">
        <f t="shared" si="9"/>
        <v>#DIV/0!</v>
      </c>
      <c r="BH63" s="261" t="e">
        <f t="shared" si="9"/>
        <v>#DIV/0!</v>
      </c>
      <c r="BI63" s="261" t="e">
        <f t="shared" si="9"/>
        <v>#DIV/0!</v>
      </c>
      <c r="BJ63" s="261" t="e">
        <f t="shared" si="9"/>
        <v>#DIV/0!</v>
      </c>
      <c r="BK63" s="262" t="e">
        <f t="shared" si="9"/>
        <v>#DIV/0!</v>
      </c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2"/>
    </row>
    <row r="64" spans="2:101" ht="18" customHeight="1" thickTop="1" x14ac:dyDescent="0.2">
      <c r="B64" s="177"/>
      <c r="C64" s="177"/>
      <c r="D64" s="177"/>
      <c r="E64" s="177"/>
      <c r="F64" s="177"/>
      <c r="G64" s="177"/>
      <c r="H64" s="177"/>
      <c r="I64" s="177"/>
      <c r="J64" s="177"/>
      <c r="K64" s="178"/>
      <c r="L64" s="178"/>
      <c r="M64" s="178"/>
      <c r="N64" s="178"/>
      <c r="O64" s="178"/>
      <c r="P64" s="178"/>
      <c r="Q64" s="178"/>
      <c r="R64" s="178"/>
      <c r="S64" s="179"/>
      <c r="T64" s="179"/>
      <c r="U64" s="179"/>
      <c r="V64" s="179"/>
      <c r="W64" s="179"/>
      <c r="X64" s="179"/>
      <c r="Y64" s="179"/>
      <c r="Z64" s="179"/>
      <c r="AA64" s="179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2"/>
    </row>
    <row r="65" spans="2:100" ht="18" customHeight="1" x14ac:dyDescent="0.35">
      <c r="B65" s="312" t="s">
        <v>61</v>
      </c>
      <c r="C65" s="177"/>
      <c r="D65" s="177"/>
      <c r="E65" s="177"/>
      <c r="F65" s="177"/>
      <c r="G65" s="177"/>
      <c r="H65" s="177"/>
      <c r="I65" s="177"/>
      <c r="J65" s="177"/>
      <c r="K65" s="178"/>
      <c r="L65" s="178"/>
      <c r="M65" s="178"/>
      <c r="N65" s="178"/>
      <c r="O65" s="178"/>
      <c r="P65" s="178"/>
      <c r="Q65" s="178"/>
      <c r="R65" s="178"/>
      <c r="S65" s="179"/>
      <c r="T65" s="179"/>
      <c r="U65" s="179"/>
      <c r="V65" s="179"/>
      <c r="W65" s="179"/>
      <c r="X65" s="179"/>
      <c r="Y65" s="179"/>
      <c r="Z65" s="179"/>
      <c r="AA65" s="179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</row>
    <row r="66" spans="2:100" ht="18" customHeight="1" x14ac:dyDescent="0.2">
      <c r="B66" s="312" t="s">
        <v>62</v>
      </c>
      <c r="C66" s="177"/>
      <c r="D66" s="177"/>
      <c r="E66" s="177"/>
      <c r="F66" s="177"/>
      <c r="G66" s="177"/>
      <c r="H66" s="177"/>
      <c r="I66" s="177"/>
      <c r="J66" s="177"/>
      <c r="K66" s="178"/>
      <c r="L66" s="178"/>
      <c r="M66" s="178"/>
      <c r="N66" s="178"/>
      <c r="O66" s="178"/>
      <c r="P66" s="178"/>
      <c r="Q66" s="178"/>
      <c r="R66" s="178"/>
      <c r="S66" s="179"/>
      <c r="T66" s="179"/>
      <c r="U66" s="179"/>
      <c r="V66" s="179"/>
      <c r="W66" s="179"/>
      <c r="X66" s="179"/>
      <c r="Y66" s="179"/>
      <c r="Z66" s="179"/>
      <c r="AA66" s="179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</row>
    <row r="67" spans="2:100" ht="18" customHeight="1" x14ac:dyDescent="0.25">
      <c r="B67" s="312" t="s">
        <v>63</v>
      </c>
      <c r="C67" s="177"/>
      <c r="D67" s="177"/>
      <c r="E67" s="177"/>
      <c r="F67" s="177"/>
      <c r="G67" s="177"/>
      <c r="H67" s="177"/>
      <c r="I67" s="177"/>
      <c r="J67" s="177"/>
      <c r="K67" s="178"/>
      <c r="L67" s="178"/>
      <c r="M67" s="178"/>
      <c r="N67" s="178"/>
      <c r="O67" s="178"/>
      <c r="P67" s="178"/>
      <c r="Q67" s="178"/>
      <c r="R67" s="178"/>
      <c r="S67" s="179"/>
      <c r="T67" s="179"/>
      <c r="U67" s="179"/>
      <c r="V67" s="179"/>
      <c r="W67" s="179"/>
      <c r="X67" s="179"/>
      <c r="Y67" s="179"/>
      <c r="Z67" s="179"/>
      <c r="AA67" s="179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</row>
    <row r="68" spans="2:100" ht="18" customHeight="1" x14ac:dyDescent="0.2">
      <c r="B68" s="312"/>
      <c r="C68" s="177"/>
      <c r="D68" s="177"/>
      <c r="E68" s="177"/>
      <c r="F68" s="177"/>
      <c r="G68" s="176" t="s">
        <v>64</v>
      </c>
      <c r="H68" s="177"/>
      <c r="I68" s="177"/>
      <c r="J68" s="177"/>
      <c r="K68" s="178"/>
      <c r="L68" s="178"/>
      <c r="M68" s="178"/>
      <c r="N68" s="178"/>
      <c r="O68" s="178"/>
      <c r="P68" s="178"/>
      <c r="Q68" s="178"/>
      <c r="R68" s="178"/>
      <c r="S68" s="179"/>
      <c r="T68" s="179"/>
      <c r="U68" s="179"/>
      <c r="V68" s="179"/>
      <c r="W68" s="179"/>
      <c r="X68" s="179"/>
      <c r="Y68" s="179"/>
      <c r="Z68" s="179"/>
      <c r="AA68" s="179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</row>
    <row r="69" spans="2:100" ht="18" customHeight="1" x14ac:dyDescent="0.2">
      <c r="B69" s="313" t="s">
        <v>65</v>
      </c>
      <c r="C69" s="314"/>
      <c r="D69" s="315" t="s">
        <v>66</v>
      </c>
      <c r="E69" s="316"/>
      <c r="G69" s="176" t="s">
        <v>67</v>
      </c>
      <c r="K69" s="178"/>
      <c r="L69" s="178"/>
      <c r="M69" s="178"/>
      <c r="N69" s="178"/>
      <c r="O69" s="178"/>
      <c r="P69" s="178"/>
      <c r="Q69" s="178"/>
      <c r="R69" s="178"/>
      <c r="S69" s="179"/>
      <c r="T69" s="179"/>
      <c r="U69" s="179"/>
      <c r="V69" s="179"/>
      <c r="W69" s="179"/>
      <c r="X69" s="179"/>
      <c r="Y69" s="179"/>
      <c r="Z69" s="179"/>
      <c r="AA69" s="179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</row>
    <row r="70" spans="2:100" ht="18" customHeight="1" x14ac:dyDescent="0.2">
      <c r="B70" s="317" t="s">
        <v>68</v>
      </c>
      <c r="C70" s="318" t="s">
        <v>69</v>
      </c>
      <c r="D70" s="319" t="s">
        <v>70</v>
      </c>
      <c r="E70" s="320" t="s">
        <v>71</v>
      </c>
      <c r="G70" s="176" t="s">
        <v>72</v>
      </c>
      <c r="K70" s="178"/>
      <c r="L70" s="178"/>
      <c r="M70" s="178"/>
      <c r="N70" s="178"/>
      <c r="O70" s="178"/>
      <c r="P70" s="178"/>
      <c r="Q70" s="178"/>
      <c r="R70" s="178"/>
      <c r="S70" s="179"/>
      <c r="T70" s="179"/>
      <c r="U70" s="179"/>
      <c r="V70" s="179"/>
      <c r="W70" s="179"/>
      <c r="X70" s="179"/>
      <c r="Y70" s="179"/>
      <c r="Z70" s="179"/>
      <c r="AA70" s="179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</row>
    <row r="71" spans="2:100" ht="18" customHeight="1" x14ac:dyDescent="0.35">
      <c r="B71" s="321" t="s">
        <v>73</v>
      </c>
      <c r="C71" s="322">
        <f>K27</f>
        <v>30.655629269873316</v>
      </c>
      <c r="D71" s="323">
        <f>$C71-t_new*SQRT($K$52)</f>
        <v>-29.406473224233956</v>
      </c>
      <c r="E71" s="324">
        <f>$C71+t_new*SQRT($K$52)</f>
        <v>90.717731763980595</v>
      </c>
      <c r="K71" s="178"/>
      <c r="L71" s="178"/>
      <c r="M71" s="178"/>
      <c r="N71" s="178"/>
      <c r="O71" s="178"/>
      <c r="P71" s="178"/>
      <c r="Q71" s="178"/>
      <c r="R71" s="178"/>
      <c r="S71" s="179"/>
      <c r="T71" s="179"/>
      <c r="U71" s="179"/>
      <c r="V71" s="179"/>
      <c r="W71" s="179"/>
      <c r="X71" s="179"/>
      <c r="Y71" s="179"/>
      <c r="Z71" s="179"/>
      <c r="AA71" s="179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</row>
    <row r="72" spans="2:100" ht="18" customHeight="1" x14ac:dyDescent="0.35">
      <c r="B72" s="321" t="s">
        <v>74</v>
      </c>
      <c r="C72" s="322">
        <f>K28</f>
        <v>1.0003974502157824</v>
      </c>
      <c r="D72" s="323">
        <f>$C72-t_new*SQRT($L$53)</f>
        <v>0.9944850927753025</v>
      </c>
      <c r="E72" s="324">
        <f>$C72+t_new*SQRT($L$53)</f>
        <v>1.0063098076562624</v>
      </c>
      <c r="G72" s="176" t="s">
        <v>75</v>
      </c>
      <c r="K72" s="178"/>
      <c r="L72" s="178"/>
      <c r="M72" s="178"/>
      <c r="N72" s="178"/>
      <c r="O72" s="178"/>
      <c r="P72" s="178"/>
      <c r="Q72" s="178"/>
      <c r="R72" s="178"/>
      <c r="S72" s="179"/>
      <c r="T72" s="179"/>
      <c r="U72" s="179"/>
      <c r="V72" s="179"/>
      <c r="W72" s="179"/>
      <c r="X72" s="179"/>
      <c r="Y72" s="179"/>
      <c r="Z72" s="179"/>
      <c r="AA72" s="179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</row>
    <row r="73" spans="2:100" ht="18" customHeight="1" x14ac:dyDescent="0.25">
      <c r="B73" s="321" t="s">
        <v>76</v>
      </c>
      <c r="C73" s="322">
        <f>K49</f>
        <v>320.29279597600299</v>
      </c>
      <c r="D73" s="323">
        <f>df_new*C73/CHIINV(0.025,df_new)</f>
        <v>102.78529132673209</v>
      </c>
      <c r="E73" s="324">
        <f>df_new*C73/CHIINV(0.975,df_new)</f>
        <v>4452.7312008144763</v>
      </c>
      <c r="G73" s="176" t="s">
        <v>77</v>
      </c>
      <c r="K73" s="178"/>
      <c r="L73" s="178"/>
      <c r="M73" s="178"/>
      <c r="N73" s="178"/>
      <c r="O73" s="178"/>
      <c r="P73" s="178"/>
      <c r="Q73" s="178"/>
      <c r="R73" s="178"/>
      <c r="S73" s="179"/>
      <c r="T73" s="179"/>
      <c r="U73" s="179"/>
      <c r="V73" s="179"/>
      <c r="W73" s="179"/>
      <c r="X73" s="179"/>
      <c r="Y73" s="179"/>
      <c r="Z73" s="179"/>
      <c r="AA73" s="179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</row>
    <row r="74" spans="2:100" ht="18" customHeight="1" x14ac:dyDescent="0.25">
      <c r="B74" s="325" t="s">
        <v>78</v>
      </c>
      <c r="C74" s="326">
        <f>SQRT(C73)</f>
        <v>17.896725845137233</v>
      </c>
      <c r="D74" s="327">
        <f>SQRT(D73)</f>
        <v>10.13830810967649</v>
      </c>
      <c r="E74" s="328">
        <f>SQRT(E73)</f>
        <v>66.728788396122383</v>
      </c>
      <c r="G74" s="176" t="s">
        <v>79</v>
      </c>
      <c r="K74" s="178"/>
      <c r="L74" s="178"/>
      <c r="M74" s="178"/>
      <c r="N74" s="178"/>
      <c r="O74" s="178"/>
      <c r="P74" s="178"/>
      <c r="Q74" s="178"/>
      <c r="R74" s="178"/>
      <c r="S74" s="179"/>
      <c r="T74" s="179"/>
      <c r="U74" s="179"/>
      <c r="V74" s="179"/>
      <c r="W74" s="179"/>
      <c r="X74" s="179"/>
      <c r="Y74" s="179"/>
      <c r="Z74" s="179"/>
      <c r="AA74" s="179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</row>
    <row r="75" spans="2:100" ht="18" customHeight="1" x14ac:dyDescent="0.25">
      <c r="B75" s="329" t="s">
        <v>80</v>
      </c>
      <c r="C75" s="330">
        <f>K34</f>
        <v>3</v>
      </c>
      <c r="G75" s="176" t="s">
        <v>81</v>
      </c>
      <c r="K75" s="178"/>
      <c r="L75" s="178"/>
      <c r="M75" s="178"/>
      <c r="N75" s="178"/>
      <c r="O75" s="178"/>
      <c r="P75" s="178"/>
      <c r="Q75" s="178"/>
      <c r="R75" s="178"/>
      <c r="S75" s="179"/>
      <c r="T75" s="179"/>
      <c r="U75" s="179"/>
      <c r="V75" s="179"/>
      <c r="W75" s="179"/>
      <c r="X75" s="179"/>
      <c r="Y75" s="179"/>
      <c r="Z75" s="179"/>
      <c r="AA75" s="179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</row>
    <row r="76" spans="2:100" ht="18" customHeight="1" x14ac:dyDescent="0.25">
      <c r="B76" s="325" t="s">
        <v>82</v>
      </c>
      <c r="C76" s="328">
        <f>t_new</f>
        <v>3.1824463052837091</v>
      </c>
      <c r="G76" s="176" t="s">
        <v>83</v>
      </c>
      <c r="K76" s="178"/>
      <c r="L76" s="178"/>
      <c r="M76" s="178"/>
      <c r="N76" s="178"/>
      <c r="O76" s="178"/>
      <c r="P76" s="178"/>
      <c r="Q76" s="178"/>
      <c r="R76" s="178"/>
      <c r="S76" s="179"/>
      <c r="T76" s="179"/>
      <c r="U76" s="179"/>
      <c r="V76" s="179"/>
      <c r="W76" s="179"/>
      <c r="X76" s="179"/>
      <c r="Y76" s="179"/>
      <c r="Z76" s="179"/>
      <c r="AA76" s="179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</row>
    <row r="77" spans="2:100" ht="18" customHeight="1" x14ac:dyDescent="0.2">
      <c r="K77" s="178"/>
      <c r="L77" s="178"/>
      <c r="M77" s="178"/>
      <c r="N77" s="178"/>
      <c r="O77" s="178"/>
      <c r="P77" s="178"/>
      <c r="Q77" s="178"/>
      <c r="R77" s="178"/>
      <c r="S77" s="179"/>
      <c r="T77" s="179"/>
      <c r="U77" s="179"/>
      <c r="V77" s="179"/>
      <c r="W77" s="179"/>
      <c r="X77" s="179"/>
      <c r="Y77" s="179"/>
      <c r="Z77" s="179"/>
      <c r="AA77" s="179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</row>
    <row r="78" spans="2:100" ht="18" customHeight="1" x14ac:dyDescent="0.2">
      <c r="B78" s="331" t="s">
        <v>84</v>
      </c>
      <c r="C78" s="332"/>
      <c r="D78" s="333" t="s">
        <v>66</v>
      </c>
      <c r="E78" s="334"/>
      <c r="G78" s="176" t="s">
        <v>85</v>
      </c>
      <c r="K78" s="178"/>
      <c r="L78" s="178"/>
      <c r="M78" s="178"/>
      <c r="N78" s="178"/>
      <c r="O78" s="178"/>
      <c r="P78" s="178"/>
      <c r="Q78" s="178"/>
      <c r="R78" s="178"/>
      <c r="S78" s="179"/>
      <c r="T78" s="179"/>
      <c r="U78" s="179"/>
      <c r="V78" s="179"/>
      <c r="W78" s="179"/>
      <c r="X78" s="179"/>
      <c r="Y78" s="179"/>
      <c r="Z78" s="179"/>
      <c r="AA78" s="179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</row>
    <row r="79" spans="2:100" ht="18" customHeight="1" x14ac:dyDescent="0.2">
      <c r="B79" s="335" t="s">
        <v>68</v>
      </c>
      <c r="C79" s="336" t="s">
        <v>69</v>
      </c>
      <c r="D79" s="337" t="s">
        <v>70</v>
      </c>
      <c r="E79" s="338" t="s">
        <v>71</v>
      </c>
      <c r="G79" s="176" t="s">
        <v>86</v>
      </c>
      <c r="K79" s="178"/>
      <c r="L79" s="178"/>
      <c r="M79" s="178"/>
      <c r="N79" s="178"/>
      <c r="O79" s="178"/>
      <c r="P79" s="178"/>
      <c r="Q79" s="178"/>
      <c r="R79" s="178"/>
      <c r="S79" s="179"/>
      <c r="T79" s="179"/>
      <c r="U79" s="179"/>
      <c r="V79" s="179"/>
      <c r="W79" s="179"/>
      <c r="X79" s="179"/>
      <c r="Y79" s="179"/>
      <c r="Z79" s="179"/>
      <c r="AA79" s="179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</row>
    <row r="80" spans="2:100" ht="18" customHeight="1" x14ac:dyDescent="0.35">
      <c r="B80" s="339" t="s">
        <v>73</v>
      </c>
      <c r="C80" s="340">
        <f>U30</f>
        <v>-35.535030737752095</v>
      </c>
      <c r="D80" s="341">
        <f>$C80-$C$86*$U$59</f>
        <v>-4749.9335177617286</v>
      </c>
      <c r="E80" s="342">
        <f>$C80+$C$86*$U$59</f>
        <v>4678.8634562862244</v>
      </c>
      <c r="G80" s="176" t="s">
        <v>87</v>
      </c>
      <c r="K80" s="178"/>
      <c r="L80" s="178"/>
      <c r="M80" s="178"/>
      <c r="N80" s="178"/>
      <c r="O80" s="178"/>
      <c r="P80" s="178"/>
      <c r="Q80" s="178"/>
      <c r="R80" s="178"/>
      <c r="S80" s="179"/>
      <c r="T80" s="179"/>
      <c r="U80" s="179"/>
      <c r="V80" s="179"/>
      <c r="W80" s="179"/>
      <c r="X80" s="179"/>
      <c r="Y80" s="179"/>
      <c r="Z80" s="179"/>
      <c r="AA80" s="179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</row>
    <row r="81" spans="2:100" ht="18" customHeight="1" x14ac:dyDescent="0.35">
      <c r="B81" s="339" t="s">
        <v>74</v>
      </c>
      <c r="C81" s="340">
        <f>U31</f>
        <v>1.0166391919992179</v>
      </c>
      <c r="D81" s="341">
        <f>$C81-$C$86*$V$60</f>
        <v>1.016390098011718</v>
      </c>
      <c r="E81" s="342">
        <f>$C81+$C$86*$V$60</f>
        <v>1.0168882859867179</v>
      </c>
      <c r="G81" s="176" t="s">
        <v>88</v>
      </c>
      <c r="K81" s="178"/>
      <c r="L81" s="178"/>
      <c r="M81" s="178"/>
      <c r="N81" s="178"/>
      <c r="O81" s="178"/>
      <c r="P81" s="178"/>
      <c r="Q81" s="178"/>
      <c r="R81" s="178"/>
      <c r="S81" s="179"/>
      <c r="T81" s="179"/>
      <c r="U81" s="179"/>
      <c r="V81" s="179"/>
      <c r="W81" s="179"/>
      <c r="X81" s="179"/>
      <c r="Y81" s="179"/>
      <c r="Z81" s="179"/>
      <c r="AA81" s="179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</row>
    <row r="82" spans="2:100" ht="18" customHeight="1" x14ac:dyDescent="0.35">
      <c r="B82" s="339" t="s">
        <v>89</v>
      </c>
      <c r="C82" s="340">
        <f>U32</f>
        <v>-8.0652484883442926E-7</v>
      </c>
      <c r="D82" s="341">
        <f>$C82-$C$86*$W$61</f>
        <v>-8.0652544662701763E-7</v>
      </c>
      <c r="E82" s="342">
        <f>$C82+$C$86*$W$61</f>
        <v>-8.065242510418409E-7</v>
      </c>
      <c r="G82" s="176" t="s">
        <v>90</v>
      </c>
      <c r="K82" s="178"/>
      <c r="L82" s="178"/>
      <c r="M82" s="178"/>
      <c r="N82" s="178"/>
      <c r="O82" s="178"/>
      <c r="P82" s="178"/>
      <c r="Q82" s="178"/>
      <c r="R82" s="178"/>
      <c r="S82" s="179"/>
      <c r="T82" s="179"/>
      <c r="U82" s="179"/>
      <c r="V82" s="179"/>
      <c r="W82" s="179"/>
      <c r="X82" s="179"/>
      <c r="Y82" s="179"/>
      <c r="Z82" s="179"/>
      <c r="AA82" s="179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</row>
    <row r="83" spans="2:100" ht="18" customHeight="1" x14ac:dyDescent="0.25">
      <c r="B83" s="339" t="s">
        <v>76</v>
      </c>
      <c r="C83" s="340">
        <f>U47</f>
        <v>143.80336534976959</v>
      </c>
      <c r="D83" s="341">
        <f>(df_new-1)*C83/CHIINV(0.024,df_new-1)</f>
        <v>38.556267124927672</v>
      </c>
      <c r="E83" s="342">
        <f>(df_new-1)*C83/CHIINV(0.975,df_new-1)</f>
        <v>5679.9295357244937</v>
      </c>
      <c r="K83" s="178"/>
      <c r="L83" s="178"/>
      <c r="M83" s="178"/>
      <c r="N83" s="178"/>
      <c r="O83" s="178"/>
      <c r="P83" s="178"/>
      <c r="Q83" s="178"/>
      <c r="R83" s="178"/>
      <c r="S83" s="179"/>
      <c r="T83" s="179"/>
      <c r="U83" s="179"/>
      <c r="V83" s="179"/>
      <c r="W83" s="179"/>
      <c r="X83" s="179"/>
      <c r="Y83" s="179"/>
      <c r="Z83" s="179"/>
      <c r="AA83" s="179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</row>
    <row r="84" spans="2:100" ht="18" customHeight="1" x14ac:dyDescent="0.25">
      <c r="B84" s="343" t="s">
        <v>78</v>
      </c>
      <c r="C84" s="344">
        <f>SQRT(C83)</f>
        <v>11.991804090701683</v>
      </c>
      <c r="D84" s="345">
        <f>SQRT(D83)</f>
        <v>6.2093693017026839</v>
      </c>
      <c r="E84" s="346">
        <f>SQRT(E83)</f>
        <v>75.365307242288168</v>
      </c>
      <c r="G84" s="176" t="s">
        <v>91</v>
      </c>
      <c r="K84" s="178"/>
      <c r="L84" s="178"/>
      <c r="M84" s="178"/>
      <c r="N84" s="178"/>
      <c r="O84" s="178"/>
      <c r="P84" s="178"/>
      <c r="Q84" s="178"/>
      <c r="R84" s="178"/>
      <c r="S84" s="179"/>
      <c r="T84" s="179"/>
      <c r="U84" s="179"/>
      <c r="V84" s="179"/>
      <c r="W84" s="179"/>
      <c r="X84" s="179"/>
      <c r="Y84" s="179"/>
      <c r="Z84" s="179"/>
      <c r="AA84" s="179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</row>
    <row r="85" spans="2:100" ht="18" customHeight="1" x14ac:dyDescent="0.25">
      <c r="B85" s="347" t="s">
        <v>80</v>
      </c>
      <c r="C85" s="348">
        <f>df_new-1</f>
        <v>2</v>
      </c>
      <c r="G85" s="176" t="s">
        <v>92</v>
      </c>
      <c r="K85" s="178"/>
      <c r="L85" s="178"/>
      <c r="M85" s="178"/>
      <c r="N85" s="178"/>
      <c r="O85" s="178"/>
      <c r="P85" s="178"/>
      <c r="Q85" s="178"/>
      <c r="R85" s="178"/>
      <c r="S85" s="179"/>
      <c r="T85" s="179"/>
      <c r="U85" s="179"/>
      <c r="V85" s="179"/>
      <c r="W85" s="179"/>
      <c r="X85" s="179"/>
      <c r="Y85" s="179"/>
      <c r="Z85" s="179"/>
      <c r="AA85" s="179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</row>
    <row r="86" spans="2:100" ht="18" customHeight="1" x14ac:dyDescent="0.25">
      <c r="B86" s="343" t="s">
        <v>82</v>
      </c>
      <c r="C86" s="346">
        <f>U35</f>
        <v>4.3026527297494637</v>
      </c>
      <c r="G86" s="176" t="s">
        <v>93</v>
      </c>
      <c r="K86" s="178"/>
      <c r="L86" s="178"/>
      <c r="M86" s="178"/>
      <c r="N86" s="178"/>
      <c r="O86" s="178"/>
      <c r="P86" s="178"/>
      <c r="Q86" s="178"/>
      <c r="R86" s="178"/>
      <c r="S86" s="179"/>
      <c r="T86" s="179"/>
      <c r="U86" s="179"/>
      <c r="V86" s="179"/>
      <c r="W86" s="179"/>
      <c r="X86" s="179"/>
      <c r="Y86" s="179"/>
      <c r="Z86" s="179"/>
      <c r="AA86" s="179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</row>
    <row r="87" spans="2:100" ht="18" customHeight="1" x14ac:dyDescent="0.2">
      <c r="G87" s="176" t="s">
        <v>94</v>
      </c>
      <c r="K87" s="178"/>
      <c r="L87" s="178"/>
      <c r="M87" s="178"/>
      <c r="N87" s="178"/>
      <c r="O87" s="178"/>
      <c r="P87" s="178"/>
      <c r="Q87" s="178"/>
      <c r="R87" s="178"/>
      <c r="S87" s="179"/>
      <c r="T87" s="179"/>
      <c r="U87" s="179"/>
      <c r="V87" s="179"/>
      <c r="W87" s="179"/>
      <c r="X87" s="179"/>
      <c r="Y87" s="179"/>
      <c r="Z87" s="179"/>
      <c r="AA87" s="179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</row>
    <row r="88" spans="2:100" ht="18" customHeight="1" x14ac:dyDescent="0.2">
      <c r="B88" s="176" t="s">
        <v>95</v>
      </c>
      <c r="K88" s="178"/>
      <c r="L88" s="178"/>
      <c r="M88" s="178"/>
      <c r="N88" s="178"/>
      <c r="O88" s="178"/>
      <c r="P88" s="178"/>
      <c r="Q88" s="178"/>
      <c r="R88" s="178"/>
      <c r="S88" s="179"/>
      <c r="T88" s="179"/>
      <c r="U88" s="179"/>
      <c r="V88" s="179"/>
      <c r="W88" s="179"/>
      <c r="X88" s="179"/>
      <c r="Y88" s="179"/>
      <c r="Z88" s="179"/>
      <c r="AA88" s="179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</row>
    <row r="89" spans="2:100" ht="18" customHeight="1" x14ac:dyDescent="0.2">
      <c r="B89" s="349" t="s">
        <v>96</v>
      </c>
      <c r="C89" s="350">
        <f>U53</f>
        <v>2.2272969425782367</v>
      </c>
      <c r="K89" s="178"/>
      <c r="L89" s="178"/>
      <c r="M89" s="178"/>
      <c r="N89" s="178"/>
      <c r="O89" s="178"/>
      <c r="P89" s="178"/>
      <c r="Q89" s="178"/>
      <c r="R89" s="178"/>
      <c r="S89" s="179"/>
      <c r="T89" s="179"/>
      <c r="U89" s="179"/>
      <c r="V89" s="179"/>
      <c r="W89" s="179"/>
      <c r="X89" s="179"/>
      <c r="Y89" s="179"/>
      <c r="Z89" s="179"/>
      <c r="AA89" s="179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</row>
    <row r="90" spans="2:100" ht="18" customHeight="1" x14ac:dyDescent="0.2">
      <c r="B90" s="349" t="s">
        <v>97</v>
      </c>
      <c r="C90" s="351">
        <f>U50</f>
        <v>19.164292127511288</v>
      </c>
      <c r="D90" s="312" t="s">
        <v>98</v>
      </c>
      <c r="K90" s="178"/>
      <c r="L90" s="178"/>
      <c r="M90" s="178"/>
      <c r="N90" s="178"/>
      <c r="O90" s="178"/>
      <c r="P90" s="178"/>
      <c r="Q90" s="178"/>
      <c r="R90" s="178"/>
      <c r="S90" s="179"/>
      <c r="T90" s="179"/>
      <c r="U90" s="179"/>
      <c r="V90" s="179"/>
      <c r="W90" s="179"/>
      <c r="X90" s="179"/>
      <c r="Y90" s="179"/>
      <c r="Z90" s="179"/>
      <c r="AA90" s="179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</row>
    <row r="91" spans="2:100" ht="18" customHeight="1" x14ac:dyDescent="0.2">
      <c r="B91" s="352" t="str">
        <f>B152</f>
        <v>The overall uncertainties of fit are not significantly different at the 5% level.</v>
      </c>
      <c r="K91" s="178"/>
      <c r="L91" s="178"/>
      <c r="M91" s="178"/>
      <c r="N91" s="178"/>
      <c r="O91" s="178"/>
      <c r="P91" s="178"/>
      <c r="Q91" s="178"/>
      <c r="R91" s="178"/>
      <c r="S91" s="179"/>
      <c r="T91" s="179"/>
      <c r="U91" s="179"/>
      <c r="V91" s="179"/>
      <c r="W91" s="179"/>
      <c r="X91" s="179"/>
      <c r="Y91" s="179"/>
      <c r="Z91" s="179"/>
      <c r="AA91" s="179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</row>
    <row r="92" spans="2:100" ht="18" customHeight="1" x14ac:dyDescent="0.2">
      <c r="B92" s="352" t="str">
        <f>B153</f>
        <v>The linear model appears to be the better choice.</v>
      </c>
      <c r="K92" s="178"/>
      <c r="L92" s="178"/>
      <c r="M92" s="178"/>
      <c r="N92" s="178"/>
      <c r="O92" s="178"/>
      <c r="P92" s="178"/>
      <c r="Q92" s="178"/>
      <c r="R92" s="178"/>
      <c r="S92" s="179"/>
      <c r="T92" s="179"/>
      <c r="U92" s="179"/>
      <c r="V92" s="179"/>
      <c r="W92" s="179"/>
      <c r="X92" s="179"/>
      <c r="Y92" s="179"/>
      <c r="Z92" s="179"/>
      <c r="AA92" s="179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</row>
    <row r="93" spans="2:100" ht="18" customHeight="1" x14ac:dyDescent="0.2">
      <c r="B93" s="349"/>
      <c r="K93" s="178"/>
      <c r="L93" s="178"/>
      <c r="M93" s="178"/>
      <c r="N93" s="178"/>
      <c r="O93" s="178"/>
      <c r="P93" s="178"/>
      <c r="Q93" s="178"/>
      <c r="R93" s="178"/>
      <c r="S93" s="179"/>
      <c r="T93" s="179"/>
      <c r="U93" s="179"/>
      <c r="V93" s="179"/>
      <c r="W93" s="179"/>
      <c r="X93" s="179"/>
      <c r="Y93" s="179"/>
      <c r="Z93" s="179"/>
      <c r="AA93" s="179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</row>
    <row r="94" spans="2:100" ht="18" hidden="1" customHeight="1" x14ac:dyDescent="0.2">
      <c r="B94" s="176" t="s">
        <v>99</v>
      </c>
      <c r="K94" s="178"/>
      <c r="L94" s="178"/>
      <c r="M94" s="178"/>
      <c r="N94" s="178"/>
      <c r="O94" s="178"/>
      <c r="P94" s="178"/>
      <c r="Q94" s="178"/>
      <c r="R94" s="178"/>
      <c r="S94" s="179"/>
      <c r="T94" s="179"/>
      <c r="U94" s="179"/>
      <c r="V94" s="179"/>
      <c r="W94" s="179"/>
      <c r="X94" s="179"/>
      <c r="Y94" s="179"/>
      <c r="Z94" s="179"/>
      <c r="AA94" s="179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</row>
    <row r="95" spans="2:100" ht="18" hidden="1" customHeight="1" x14ac:dyDescent="0.2">
      <c r="B95" s="312" t="s">
        <v>100</v>
      </c>
      <c r="K95" s="178"/>
      <c r="L95" s="178"/>
      <c r="M95" s="178"/>
      <c r="N95" s="178"/>
      <c r="O95" s="178"/>
      <c r="P95" s="178"/>
      <c r="Q95" s="178"/>
      <c r="R95" s="178"/>
      <c r="S95" s="179"/>
      <c r="T95" s="179"/>
      <c r="U95" s="179"/>
      <c r="V95" s="179"/>
      <c r="W95" s="179"/>
      <c r="X95" s="179"/>
      <c r="Y95" s="179"/>
      <c r="Z95" s="179"/>
      <c r="AA95" s="179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</row>
    <row r="96" spans="2:100" ht="18" hidden="1" customHeight="1" x14ac:dyDescent="0.25">
      <c r="B96" s="312" t="s">
        <v>101</v>
      </c>
      <c r="K96" s="178"/>
      <c r="L96" s="178"/>
      <c r="M96" s="178"/>
      <c r="N96" s="178"/>
      <c r="O96" s="178"/>
      <c r="P96" s="178"/>
      <c r="Q96" s="178"/>
      <c r="R96" s="178"/>
      <c r="S96" s="179"/>
      <c r="T96" s="179"/>
      <c r="U96" s="179"/>
      <c r="V96" s="179"/>
      <c r="W96" s="179"/>
      <c r="X96" s="179"/>
      <c r="Y96" s="179"/>
      <c r="Z96" s="179"/>
      <c r="AA96" s="179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</row>
    <row r="97" spans="2:100" ht="18" hidden="1" customHeight="1" x14ac:dyDescent="0.2">
      <c r="K97" s="178"/>
      <c r="L97" s="178"/>
      <c r="M97" s="178"/>
      <c r="N97" s="178"/>
      <c r="O97" s="178"/>
      <c r="P97" s="178"/>
      <c r="Q97" s="178"/>
      <c r="R97" s="178"/>
      <c r="S97" s="179"/>
      <c r="T97" s="179"/>
      <c r="U97" s="179"/>
      <c r="V97" s="179"/>
      <c r="W97" s="179"/>
      <c r="X97" s="179"/>
      <c r="Y97" s="179"/>
      <c r="Z97" s="179"/>
      <c r="AA97" s="179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</row>
    <row r="98" spans="2:100" ht="18" hidden="1" customHeight="1" x14ac:dyDescent="0.2">
      <c r="B98" s="353" t="s">
        <v>102</v>
      </c>
      <c r="C98" s="354"/>
      <c r="D98" s="355" t="s">
        <v>66</v>
      </c>
      <c r="E98" s="356"/>
      <c r="G98" s="176" t="s">
        <v>103</v>
      </c>
      <c r="K98" s="178"/>
      <c r="L98" s="178"/>
      <c r="M98" s="178"/>
      <c r="N98" s="178"/>
      <c r="O98" s="178"/>
      <c r="P98" s="178"/>
      <c r="Q98" s="178"/>
      <c r="R98" s="178"/>
      <c r="S98" s="179"/>
      <c r="T98" s="179"/>
      <c r="U98" s="179"/>
      <c r="V98" s="179"/>
      <c r="W98" s="179"/>
      <c r="X98" s="179"/>
      <c r="Y98" s="179"/>
      <c r="Z98" s="179"/>
      <c r="AA98" s="179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</row>
    <row r="99" spans="2:100" ht="18" hidden="1" customHeight="1" x14ac:dyDescent="0.2">
      <c r="B99" s="357" t="s">
        <v>68</v>
      </c>
      <c r="C99" s="358" t="s">
        <v>69</v>
      </c>
      <c r="D99" s="359" t="s">
        <v>70</v>
      </c>
      <c r="E99" s="360" t="s">
        <v>71</v>
      </c>
      <c r="G99" s="176" t="s">
        <v>104</v>
      </c>
      <c r="K99" s="178"/>
      <c r="L99" s="178"/>
      <c r="M99" s="178"/>
      <c r="N99" s="178"/>
      <c r="O99" s="178"/>
      <c r="P99" s="178"/>
      <c r="Q99" s="178"/>
      <c r="R99" s="178"/>
      <c r="S99" s="179"/>
      <c r="T99" s="179"/>
      <c r="U99" s="179"/>
      <c r="V99" s="179"/>
      <c r="W99" s="179"/>
      <c r="X99" s="179"/>
      <c r="Y99" s="179"/>
      <c r="Z99" s="179"/>
      <c r="AA99" s="179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</row>
    <row r="100" spans="2:100" ht="18" hidden="1" customHeight="1" x14ac:dyDescent="0.35">
      <c r="B100" s="361" t="s">
        <v>73</v>
      </c>
      <c r="C100" s="362">
        <f>AD30</f>
        <v>17.128180672414601</v>
      </c>
      <c r="D100" s="363">
        <f>C100-AD35*SQRT(AD59)</f>
        <v>-1096.6791510580363</v>
      </c>
      <c r="E100" s="364">
        <f>2*C100-D100</f>
        <v>1130.9355124028655</v>
      </c>
      <c r="K100" s="178"/>
      <c r="L100" s="178"/>
      <c r="M100" s="178"/>
      <c r="N100" s="178"/>
      <c r="O100" s="178"/>
      <c r="P100" s="178"/>
      <c r="Q100" s="178"/>
      <c r="R100" s="178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</row>
    <row r="101" spans="2:100" ht="18" hidden="1" customHeight="1" x14ac:dyDescent="0.35">
      <c r="B101" s="361" t="s">
        <v>74</v>
      </c>
      <c r="C101" s="362">
        <f>AD31</f>
        <v>0.99640437974903762</v>
      </c>
      <c r="D101" s="363">
        <f>C101-AD35*SQRT(AE60)</f>
        <v>0.58850797322172821</v>
      </c>
      <c r="E101" s="364">
        <f>2*C101-D101</f>
        <v>1.404300786276347</v>
      </c>
      <c r="K101" s="178"/>
      <c r="L101" s="178"/>
      <c r="M101" s="178"/>
      <c r="N101" s="178"/>
      <c r="O101" s="178"/>
      <c r="P101" s="178"/>
      <c r="Q101" s="178"/>
      <c r="R101" s="178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1"/>
      <c r="CL101" s="181"/>
      <c r="CM101" s="181"/>
      <c r="CN101" s="181"/>
      <c r="CO101" s="181"/>
      <c r="CP101" s="181"/>
      <c r="CQ101" s="181"/>
      <c r="CR101" s="181"/>
      <c r="CS101" s="181"/>
      <c r="CT101" s="181"/>
      <c r="CU101" s="181"/>
      <c r="CV101" s="181"/>
    </row>
    <row r="102" spans="2:100" ht="18" hidden="1" customHeight="1" x14ac:dyDescent="0.35">
      <c r="B102" s="361" t="s">
        <v>89</v>
      </c>
      <c r="C102" s="362">
        <f>AD32</f>
        <v>1.4627362017183287E-6</v>
      </c>
      <c r="D102" s="363">
        <f>C102-AD35*SQRT(AF61)</f>
        <v>-4.3229572500388807E-5</v>
      </c>
      <c r="E102" s="364">
        <f>2*C102-D102</f>
        <v>4.6155044903825464E-5</v>
      </c>
      <c r="K102" s="178"/>
      <c r="L102" s="178"/>
      <c r="M102" s="178"/>
      <c r="N102" s="178"/>
      <c r="O102" s="178"/>
      <c r="P102" s="178"/>
      <c r="Q102" s="178"/>
      <c r="R102" s="178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1"/>
      <c r="CQ102" s="181"/>
      <c r="CR102" s="181"/>
      <c r="CS102" s="181"/>
      <c r="CT102" s="181"/>
      <c r="CU102" s="181"/>
      <c r="CV102" s="181"/>
    </row>
    <row r="103" spans="2:100" ht="18" hidden="1" customHeight="1" x14ac:dyDescent="0.35">
      <c r="B103" s="361" t="s">
        <v>105</v>
      </c>
      <c r="C103" s="362">
        <f>AD33</f>
        <v>-7.6096341537141882E-11</v>
      </c>
      <c r="D103" s="363">
        <f>C103-AD35*SQRT(AG62)</f>
        <v>-1.5663484532645713E-9</v>
      </c>
      <c r="E103" s="364">
        <f>2*C103-D103</f>
        <v>1.4141557701902875E-9</v>
      </c>
      <c r="K103" s="178"/>
      <c r="L103" s="178"/>
      <c r="M103" s="178"/>
      <c r="N103" s="178"/>
      <c r="O103" s="178"/>
      <c r="P103" s="178"/>
      <c r="Q103" s="178"/>
      <c r="R103" s="178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81"/>
      <c r="CU103" s="181"/>
      <c r="CV103" s="181"/>
    </row>
    <row r="104" spans="2:100" ht="18" hidden="1" customHeight="1" x14ac:dyDescent="0.25">
      <c r="B104" s="361" t="s">
        <v>76</v>
      </c>
      <c r="C104" s="362">
        <f>AD47</f>
        <v>227.07127684354782</v>
      </c>
      <c r="D104" s="363">
        <f>C106*C104/CHIINV(0.024,C106)</f>
        <v>44.570688882415155</v>
      </c>
      <c r="E104" s="364">
        <f>C106*C104/CHIINV(0.975,C106)</f>
        <v>231217.20546174666</v>
      </c>
      <c r="K104" s="178"/>
      <c r="L104" s="178"/>
      <c r="M104" s="178"/>
      <c r="N104" s="178"/>
      <c r="O104" s="178"/>
      <c r="P104" s="178"/>
      <c r="Q104" s="178"/>
      <c r="R104" s="178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</row>
    <row r="105" spans="2:100" ht="18" hidden="1" customHeight="1" x14ac:dyDescent="0.25">
      <c r="B105" s="365" t="s">
        <v>78</v>
      </c>
      <c r="C105" s="366">
        <f>SQRT(C104)</f>
        <v>15.068884392799216</v>
      </c>
      <c r="D105" s="367">
        <f>SQRT(D104)</f>
        <v>6.6761282853473656</v>
      </c>
      <c r="E105" s="368">
        <f>SQRT(E104)</f>
        <v>480.85050219558536</v>
      </c>
      <c r="K105" s="178"/>
      <c r="L105" s="178"/>
      <c r="M105" s="178"/>
      <c r="N105" s="178"/>
      <c r="O105" s="178"/>
      <c r="P105" s="178"/>
      <c r="Q105" s="178"/>
      <c r="R105" s="178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</row>
    <row r="106" spans="2:100" ht="18" hidden="1" customHeight="1" x14ac:dyDescent="0.25">
      <c r="B106" s="369" t="s">
        <v>80</v>
      </c>
      <c r="C106" s="370">
        <f>n_new-4</f>
        <v>1</v>
      </c>
      <c r="K106" s="178"/>
      <c r="L106" s="178"/>
      <c r="M106" s="178"/>
      <c r="N106" s="178"/>
      <c r="O106" s="178"/>
      <c r="P106" s="178"/>
      <c r="Q106" s="178"/>
      <c r="R106" s="178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</row>
    <row r="107" spans="2:100" ht="18" hidden="1" customHeight="1" x14ac:dyDescent="0.25">
      <c r="B107" s="365" t="s">
        <v>82</v>
      </c>
      <c r="C107" s="368">
        <f>AD35</f>
        <v>12.706204736174707</v>
      </c>
      <c r="K107" s="178"/>
      <c r="L107" s="178"/>
      <c r="M107" s="178"/>
      <c r="N107" s="178"/>
      <c r="O107" s="178"/>
      <c r="P107" s="178"/>
      <c r="Q107" s="178"/>
      <c r="R107" s="178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</row>
    <row r="108" spans="2:100" ht="18" hidden="1" customHeight="1" x14ac:dyDescent="0.2">
      <c r="K108" s="178"/>
      <c r="L108" s="178"/>
      <c r="M108" s="178"/>
      <c r="N108" s="178"/>
      <c r="O108" s="178"/>
      <c r="P108" s="178"/>
      <c r="Q108" s="178"/>
      <c r="R108" s="178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</row>
    <row r="109" spans="2:100" ht="18" hidden="1" customHeight="1" x14ac:dyDescent="0.2">
      <c r="B109" s="176" t="s">
        <v>106</v>
      </c>
      <c r="K109" s="178"/>
      <c r="L109" s="178"/>
      <c r="M109" s="178"/>
      <c r="N109" s="178"/>
      <c r="O109" s="178"/>
      <c r="P109" s="178"/>
      <c r="Q109" s="178"/>
      <c r="R109" s="178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</row>
    <row r="110" spans="2:100" ht="18" hidden="1" customHeight="1" x14ac:dyDescent="0.2">
      <c r="B110" s="349" t="s">
        <v>96</v>
      </c>
      <c r="C110" s="351">
        <f>(C83/C104)</f>
        <v>0.63329614977613458</v>
      </c>
      <c r="K110" s="178"/>
      <c r="L110" s="178"/>
      <c r="M110" s="178"/>
      <c r="N110" s="178"/>
      <c r="O110" s="178"/>
      <c r="P110" s="178"/>
      <c r="Q110" s="178"/>
      <c r="R110" s="178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</row>
    <row r="111" spans="2:100" ht="18" hidden="1" customHeight="1" x14ac:dyDescent="0.2">
      <c r="B111" s="349" t="s">
        <v>97</v>
      </c>
      <c r="C111" s="351">
        <f>AD50</f>
        <v>199.49999999999994</v>
      </c>
      <c r="D111" s="312" t="s">
        <v>98</v>
      </c>
      <c r="K111" s="178"/>
      <c r="L111" s="178"/>
      <c r="M111" s="178"/>
      <c r="N111" s="178"/>
      <c r="O111" s="178"/>
      <c r="P111" s="178"/>
      <c r="Q111" s="178"/>
      <c r="R111" s="178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</row>
    <row r="112" spans="2:100" ht="18" hidden="1" customHeight="1" x14ac:dyDescent="0.2">
      <c r="B112" s="371" t="str">
        <f>IF(C110&gt;C111,"The cubic model produces a significantly smaller overall uncertainty of fit.","The overall uncertainties of fit are not significantly different at the 5% level.")</f>
        <v>The overall uncertainties of fit are not significantly different at the 5% level.</v>
      </c>
      <c r="K112" s="178"/>
      <c r="L112" s="178"/>
      <c r="M112" s="178"/>
      <c r="N112" s="178"/>
      <c r="O112" s="178"/>
      <c r="P112" s="178"/>
      <c r="Q112" s="178"/>
      <c r="R112" s="178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</row>
    <row r="113" spans="2:100" ht="18" hidden="1" customHeight="1" x14ac:dyDescent="0.2">
      <c r="B113" s="371" t="str">
        <f>IF(C110&gt;C111,"The cubic model appears to be a better choice than quadratic.","The quadratic model appears to be a better choice than cubic.")</f>
        <v>The quadratic model appears to be a better choice than cubic.</v>
      </c>
      <c r="K113" s="178"/>
      <c r="L113" s="178"/>
      <c r="M113" s="178"/>
      <c r="N113" s="178"/>
      <c r="O113" s="178"/>
      <c r="P113" s="178"/>
      <c r="Q113" s="178"/>
      <c r="R113" s="178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</row>
    <row r="114" spans="2:100" ht="18" hidden="1" customHeight="1" x14ac:dyDescent="0.2">
      <c r="K114" s="178"/>
      <c r="L114" s="178"/>
      <c r="M114" s="178"/>
      <c r="N114" s="178"/>
      <c r="O114" s="178"/>
      <c r="P114" s="178"/>
      <c r="Q114" s="178"/>
      <c r="R114" s="178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</row>
    <row r="115" spans="2:100" ht="18" hidden="1" customHeight="1" x14ac:dyDescent="0.2">
      <c r="B115" s="372" t="s">
        <v>107</v>
      </c>
      <c r="C115" s="373"/>
      <c r="D115" s="374" t="s">
        <v>66</v>
      </c>
      <c r="E115" s="375"/>
      <c r="K115" s="178"/>
      <c r="L115" s="178"/>
      <c r="M115" s="178"/>
      <c r="N115" s="178"/>
      <c r="O115" s="178"/>
      <c r="P115" s="178"/>
      <c r="Q115" s="178"/>
      <c r="R115" s="178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</row>
    <row r="116" spans="2:100" ht="18" hidden="1" customHeight="1" x14ac:dyDescent="0.2">
      <c r="B116" s="376" t="s">
        <v>68</v>
      </c>
      <c r="C116" s="377" t="s">
        <v>69</v>
      </c>
      <c r="D116" s="378" t="s">
        <v>70</v>
      </c>
      <c r="E116" s="379" t="s">
        <v>71</v>
      </c>
      <c r="K116" s="178"/>
      <c r="L116" s="178"/>
      <c r="M116" s="178"/>
      <c r="N116" s="178"/>
      <c r="O116" s="178"/>
      <c r="P116" s="178"/>
      <c r="Q116" s="178"/>
      <c r="R116" s="178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1"/>
      <c r="CR116" s="181"/>
      <c r="CS116" s="181"/>
      <c r="CT116" s="181"/>
      <c r="CU116" s="181"/>
      <c r="CV116" s="181"/>
    </row>
    <row r="117" spans="2:100" ht="18" hidden="1" customHeight="1" x14ac:dyDescent="0.35">
      <c r="B117" s="380" t="s">
        <v>73</v>
      </c>
      <c r="C117" s="381">
        <f>BI26</f>
        <v>513.78144523501396</v>
      </c>
      <c r="D117" s="382" t="e">
        <f>C117-$C$125*SQRT(BG59)</f>
        <v>#NUM!</v>
      </c>
      <c r="E117" s="383" t="e">
        <f>2*C117-D117</f>
        <v>#NUM!</v>
      </c>
      <c r="K117" s="178"/>
      <c r="L117" s="178"/>
      <c r="M117" s="178"/>
      <c r="N117" s="178"/>
      <c r="O117" s="178"/>
      <c r="P117" s="178"/>
      <c r="Q117" s="178"/>
      <c r="R117" s="178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  <c r="CC117" s="181"/>
      <c r="CD117" s="181"/>
      <c r="CE117" s="181"/>
      <c r="CF117" s="181"/>
      <c r="CG117" s="181"/>
      <c r="CH117" s="181"/>
      <c r="CI117" s="181"/>
      <c r="CJ117" s="181"/>
      <c r="CK117" s="181"/>
      <c r="CL117" s="181"/>
      <c r="CM117" s="181"/>
      <c r="CN117" s="181"/>
      <c r="CO117" s="181"/>
      <c r="CP117" s="181"/>
      <c r="CQ117" s="181"/>
      <c r="CR117" s="181"/>
      <c r="CS117" s="181"/>
      <c r="CT117" s="181"/>
      <c r="CU117" s="181"/>
      <c r="CV117" s="181"/>
    </row>
    <row r="118" spans="2:100" ht="18" hidden="1" customHeight="1" x14ac:dyDescent="0.35">
      <c r="B118" s="380" t="s">
        <v>74</v>
      </c>
      <c r="C118" s="381">
        <f>BI27</f>
        <v>0.73251786144101061</v>
      </c>
      <c r="D118" s="382" t="e">
        <f>C118-$C$125*SQRT(BH60)</f>
        <v>#NUM!</v>
      </c>
      <c r="E118" s="383" t="e">
        <f>2*C118-D118</f>
        <v>#NUM!</v>
      </c>
      <c r="K118" s="178"/>
      <c r="L118" s="178"/>
      <c r="M118" s="178"/>
      <c r="N118" s="178"/>
      <c r="O118" s="178"/>
      <c r="P118" s="178"/>
      <c r="Q118" s="178"/>
      <c r="R118" s="178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</row>
    <row r="119" spans="2:100" ht="18" hidden="1" customHeight="1" x14ac:dyDescent="0.35">
      <c r="B119" s="380" t="s">
        <v>89</v>
      </c>
      <c r="C119" s="381">
        <f>BI28</f>
        <v>4.9250314358317837E-5</v>
      </c>
      <c r="D119" s="382" t="e">
        <f>C119-$C$125*SQRT(BI61)</f>
        <v>#NUM!</v>
      </c>
      <c r="E119" s="383" t="e">
        <f>2*C119-D119</f>
        <v>#NUM!</v>
      </c>
      <c r="K119" s="178"/>
      <c r="L119" s="178"/>
      <c r="M119" s="178"/>
      <c r="N119" s="178"/>
      <c r="O119" s="178"/>
      <c r="P119" s="178"/>
      <c r="Q119" s="178"/>
      <c r="R119" s="178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1"/>
    </row>
    <row r="120" spans="2:100" ht="18" hidden="1" customHeight="1" x14ac:dyDescent="0.35">
      <c r="B120" s="380" t="s">
        <v>105</v>
      </c>
      <c r="C120" s="381">
        <f>BI29</f>
        <v>-3.601297919814464E-9</v>
      </c>
      <c r="D120" s="382" t="e">
        <f>C120-$C$125*SQRT(BJ62)</f>
        <v>#NUM!</v>
      </c>
      <c r="E120" s="383" t="e">
        <f>2*C120-D120</f>
        <v>#NUM!</v>
      </c>
      <c r="K120" s="178"/>
      <c r="L120" s="178"/>
      <c r="M120" s="178"/>
      <c r="N120" s="178"/>
      <c r="O120" s="178"/>
      <c r="P120" s="178"/>
      <c r="Q120" s="178"/>
      <c r="R120" s="178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81"/>
      <c r="CM120" s="181"/>
      <c r="CN120" s="181"/>
      <c r="CO120" s="181"/>
      <c r="CP120" s="181"/>
      <c r="CQ120" s="181"/>
      <c r="CR120" s="181"/>
      <c r="CS120" s="181"/>
      <c r="CT120" s="181"/>
      <c r="CU120" s="181"/>
      <c r="CV120" s="181"/>
    </row>
    <row r="121" spans="2:100" ht="18" hidden="1" customHeight="1" x14ac:dyDescent="0.35">
      <c r="B121" s="380" t="s">
        <v>108</v>
      </c>
      <c r="C121" s="381">
        <f>BI30</f>
        <v>9.0511932441711484E-14</v>
      </c>
      <c r="D121" s="382" t="e">
        <f>C121-$C$125*SQRT(BK63)</f>
        <v>#NUM!</v>
      </c>
      <c r="E121" s="383" t="e">
        <f>2*C121-D121</f>
        <v>#NUM!</v>
      </c>
      <c r="K121" s="178"/>
      <c r="L121" s="178"/>
      <c r="M121" s="178"/>
      <c r="N121" s="178"/>
      <c r="O121" s="178"/>
      <c r="P121" s="178"/>
      <c r="Q121" s="178"/>
      <c r="R121" s="178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181"/>
      <c r="CF121" s="181"/>
      <c r="CG121" s="181"/>
      <c r="CH121" s="181"/>
      <c r="CI121" s="181"/>
      <c r="CJ121" s="181"/>
      <c r="CK121" s="181"/>
      <c r="CL121" s="181"/>
      <c r="CM121" s="181"/>
      <c r="CN121" s="181"/>
      <c r="CO121" s="181"/>
      <c r="CP121" s="181"/>
      <c r="CQ121" s="181"/>
      <c r="CR121" s="181"/>
      <c r="CS121" s="181"/>
      <c r="CT121" s="181"/>
      <c r="CU121" s="181"/>
      <c r="CV121" s="181"/>
    </row>
    <row r="122" spans="2:100" ht="18" hidden="1" customHeight="1" x14ac:dyDescent="0.25">
      <c r="B122" s="380" t="s">
        <v>76</v>
      </c>
      <c r="C122" s="381" t="e">
        <f>BG47</f>
        <v>#DIV/0!</v>
      </c>
      <c r="D122" s="382" t="e">
        <f>C124*C122/CHIINV(0.024,C124)</f>
        <v>#DIV/0!</v>
      </c>
      <c r="E122" s="383" t="e">
        <f>C124*C122/CHIINV(0.975,C124)</f>
        <v>#DIV/0!</v>
      </c>
      <c r="K122" s="178"/>
      <c r="L122" s="178"/>
      <c r="M122" s="178"/>
      <c r="N122" s="178"/>
      <c r="O122" s="178"/>
      <c r="P122" s="178"/>
      <c r="Q122" s="178"/>
      <c r="R122" s="178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  <c r="CJ122" s="181"/>
      <c r="CK122" s="181"/>
      <c r="CL122" s="181"/>
      <c r="CM122" s="181"/>
      <c r="CN122" s="181"/>
      <c r="CO122" s="181"/>
      <c r="CP122" s="181"/>
      <c r="CQ122" s="181"/>
      <c r="CR122" s="181"/>
      <c r="CS122" s="181"/>
      <c r="CT122" s="181"/>
      <c r="CU122" s="181"/>
      <c r="CV122" s="181"/>
    </row>
    <row r="123" spans="2:100" ht="18" hidden="1" customHeight="1" x14ac:dyDescent="0.25">
      <c r="B123" s="384" t="s">
        <v>78</v>
      </c>
      <c r="C123" s="385" t="e">
        <f>C122^0.5</f>
        <v>#DIV/0!</v>
      </c>
      <c r="D123" s="386" t="e">
        <f>D122^0.5</f>
        <v>#DIV/0!</v>
      </c>
      <c r="E123" s="387" t="e">
        <f>E122^0.5</f>
        <v>#DIV/0!</v>
      </c>
      <c r="K123" s="178"/>
      <c r="L123" s="178"/>
      <c r="M123" s="178"/>
      <c r="N123" s="178"/>
      <c r="O123" s="178"/>
      <c r="P123" s="178"/>
      <c r="Q123" s="178"/>
      <c r="R123" s="178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1"/>
      <c r="CG123" s="181"/>
      <c r="CH123" s="181"/>
      <c r="CI123" s="181"/>
      <c r="CJ123" s="181"/>
      <c r="CK123" s="181"/>
      <c r="CL123" s="181"/>
      <c r="CM123" s="181"/>
      <c r="CN123" s="181"/>
      <c r="CO123" s="181"/>
      <c r="CP123" s="181"/>
      <c r="CQ123" s="181"/>
      <c r="CR123" s="181"/>
      <c r="CS123" s="181"/>
      <c r="CT123" s="181"/>
      <c r="CU123" s="181"/>
      <c r="CV123" s="181"/>
    </row>
    <row r="124" spans="2:100" ht="18" hidden="1" customHeight="1" x14ac:dyDescent="0.25">
      <c r="B124" s="388" t="s">
        <v>80</v>
      </c>
      <c r="C124" s="389">
        <f>n_new-5</f>
        <v>0</v>
      </c>
      <c r="K124" s="178"/>
      <c r="L124" s="178"/>
      <c r="M124" s="178"/>
      <c r="N124" s="178"/>
      <c r="O124" s="178"/>
      <c r="P124" s="178"/>
      <c r="Q124" s="178"/>
      <c r="R124" s="178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/>
      <c r="CJ124" s="181"/>
      <c r="CK124" s="181"/>
      <c r="CL124" s="181"/>
      <c r="CM124" s="181"/>
      <c r="CN124" s="181"/>
      <c r="CO124" s="181"/>
      <c r="CP124" s="181"/>
      <c r="CQ124" s="181"/>
      <c r="CR124" s="181"/>
      <c r="CS124" s="181"/>
      <c r="CT124" s="181"/>
      <c r="CU124" s="181"/>
      <c r="CV124" s="181"/>
    </row>
    <row r="125" spans="2:100" ht="18" hidden="1" customHeight="1" x14ac:dyDescent="0.25">
      <c r="B125" s="384" t="s">
        <v>82</v>
      </c>
      <c r="C125" s="387" t="e">
        <f>BG35</f>
        <v>#NUM!</v>
      </c>
      <c r="K125" s="178"/>
      <c r="L125" s="178"/>
      <c r="M125" s="178"/>
      <c r="N125" s="178"/>
      <c r="O125" s="178"/>
      <c r="P125" s="178"/>
      <c r="Q125" s="178"/>
      <c r="R125" s="178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</row>
    <row r="126" spans="2:100" ht="18" hidden="1" customHeight="1" x14ac:dyDescent="0.2">
      <c r="K126" s="178"/>
      <c r="L126" s="178"/>
      <c r="M126" s="178"/>
      <c r="N126" s="178"/>
      <c r="O126" s="178"/>
      <c r="P126" s="178"/>
      <c r="Q126" s="178"/>
      <c r="R126" s="178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</row>
    <row r="127" spans="2:100" ht="18" hidden="1" customHeight="1" x14ac:dyDescent="0.2">
      <c r="B127" s="176" t="s">
        <v>106</v>
      </c>
      <c r="K127" s="178"/>
      <c r="L127" s="178"/>
      <c r="M127" s="178"/>
      <c r="N127" s="178"/>
      <c r="O127" s="178"/>
      <c r="P127" s="178"/>
      <c r="Q127" s="178"/>
      <c r="R127" s="178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</row>
    <row r="128" spans="2:100" ht="18" hidden="1" customHeight="1" x14ac:dyDescent="0.2">
      <c r="B128" s="349" t="s">
        <v>109</v>
      </c>
      <c r="C128" s="351" t="e">
        <f>(C104/C122)</f>
        <v>#DIV/0!</v>
      </c>
      <c r="K128" s="178"/>
      <c r="L128" s="178"/>
      <c r="M128" s="178"/>
      <c r="N128" s="178"/>
      <c r="O128" s="178"/>
      <c r="P128" s="178"/>
      <c r="Q128" s="178"/>
      <c r="R128" s="178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</row>
    <row r="129" spans="2:100" ht="18" hidden="1" customHeight="1" x14ac:dyDescent="0.2">
      <c r="B129" s="349" t="s">
        <v>97</v>
      </c>
      <c r="C129" s="351" t="e">
        <f>BG50</f>
        <v>#NUM!</v>
      </c>
      <c r="D129" s="312" t="s">
        <v>98</v>
      </c>
      <c r="K129" s="178"/>
      <c r="L129" s="178"/>
      <c r="M129" s="178"/>
      <c r="N129" s="178"/>
      <c r="O129" s="178"/>
      <c r="P129" s="178"/>
      <c r="Q129" s="178"/>
      <c r="R129" s="178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1"/>
      <c r="CI129" s="181"/>
      <c r="CJ129" s="181"/>
      <c r="CK129" s="181"/>
      <c r="CL129" s="181"/>
      <c r="CM129" s="181"/>
      <c r="CN129" s="181"/>
      <c r="CO129" s="181"/>
      <c r="CP129" s="181"/>
      <c r="CQ129" s="181"/>
      <c r="CR129" s="181"/>
      <c r="CS129" s="181"/>
      <c r="CT129" s="181"/>
      <c r="CU129" s="181"/>
      <c r="CV129" s="181"/>
    </row>
    <row r="130" spans="2:100" ht="18" hidden="1" customHeight="1" x14ac:dyDescent="0.2">
      <c r="B130" s="371" t="e">
        <f>IF(C128&gt;C129,"The quartic model produces a significantly smaller overall uncertainty of fit.","The overall uncertainties of fit are not significantly different at the 5% level.")</f>
        <v>#DIV/0!</v>
      </c>
      <c r="K130" s="178"/>
      <c r="L130" s="178"/>
      <c r="M130" s="178"/>
      <c r="N130" s="178"/>
      <c r="O130" s="178"/>
      <c r="P130" s="178"/>
      <c r="Q130" s="178"/>
      <c r="R130" s="178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  <c r="CH130" s="181"/>
      <c r="CI130" s="181"/>
      <c r="CJ130" s="181"/>
      <c r="CK130" s="181"/>
      <c r="CL130" s="181"/>
      <c r="CM130" s="181"/>
      <c r="CN130" s="181"/>
      <c r="CO130" s="181"/>
      <c r="CP130" s="181"/>
      <c r="CQ130" s="181"/>
      <c r="CR130" s="181"/>
      <c r="CS130" s="181"/>
      <c r="CT130" s="181"/>
      <c r="CU130" s="181"/>
      <c r="CV130" s="181"/>
    </row>
    <row r="131" spans="2:100" ht="18" hidden="1" customHeight="1" x14ac:dyDescent="0.2">
      <c r="B131" s="371" t="e">
        <f>IF(C128&gt;C129,"The quartic model appears to be a better choice than cubic.","The cubic model appears to be a better choice than quartic.")</f>
        <v>#DIV/0!</v>
      </c>
      <c r="K131" s="178"/>
      <c r="L131" s="178"/>
      <c r="M131" s="178"/>
      <c r="N131" s="178"/>
      <c r="O131" s="178"/>
      <c r="P131" s="178"/>
      <c r="Q131" s="178"/>
      <c r="R131" s="178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/>
      <c r="CF131" s="181"/>
      <c r="CG131" s="181"/>
      <c r="CH131" s="181"/>
      <c r="CI131" s="181"/>
      <c r="CJ131" s="181"/>
      <c r="CK131" s="181"/>
      <c r="CL131" s="181"/>
      <c r="CM131" s="181"/>
      <c r="CN131" s="181"/>
      <c r="CO131" s="181"/>
      <c r="CP131" s="181"/>
      <c r="CQ131" s="181"/>
      <c r="CR131" s="181"/>
      <c r="CS131" s="181"/>
      <c r="CT131" s="181"/>
      <c r="CU131" s="181"/>
      <c r="CV131" s="181"/>
    </row>
    <row r="132" spans="2:100" ht="18" customHeight="1" x14ac:dyDescent="0.2">
      <c r="K132" s="178"/>
      <c r="L132" s="178"/>
      <c r="M132" s="178"/>
      <c r="N132" s="178"/>
      <c r="O132" s="178"/>
      <c r="P132" s="178"/>
      <c r="Q132" s="178"/>
      <c r="R132" s="178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1"/>
      <c r="CF132" s="181"/>
      <c r="CG132" s="181"/>
      <c r="CH132" s="181"/>
      <c r="CI132" s="181"/>
      <c r="CJ132" s="181"/>
      <c r="CK132" s="181"/>
      <c r="CL132" s="181"/>
      <c r="CM132" s="181"/>
      <c r="CN132" s="181"/>
      <c r="CO132" s="181"/>
      <c r="CP132" s="181"/>
      <c r="CQ132" s="181"/>
      <c r="CR132" s="181"/>
      <c r="CS132" s="181"/>
      <c r="CT132" s="181"/>
      <c r="CU132" s="181"/>
      <c r="CV132" s="181"/>
    </row>
    <row r="133" spans="2:100" ht="18" customHeight="1" thickBot="1" x14ac:dyDescent="0.25">
      <c r="K133" s="178"/>
      <c r="L133" s="178"/>
      <c r="M133" s="178"/>
      <c r="N133" s="178"/>
      <c r="O133" s="178"/>
      <c r="P133" s="178"/>
      <c r="Q133" s="178"/>
      <c r="R133" s="178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81"/>
      <c r="CU133" s="181"/>
      <c r="CV133" s="181"/>
    </row>
    <row r="134" spans="2:100" ht="18" customHeight="1" thickTop="1" thickBot="1" x14ac:dyDescent="0.3">
      <c r="B134" s="310" t="s">
        <v>26</v>
      </c>
      <c r="C134" s="177"/>
      <c r="D134" s="311" t="s">
        <v>27</v>
      </c>
      <c r="K134" s="178"/>
      <c r="L134" s="178"/>
      <c r="M134" s="178"/>
      <c r="N134" s="178"/>
      <c r="O134" s="178"/>
      <c r="P134" s="178"/>
      <c r="Q134" s="178"/>
      <c r="R134" s="178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1"/>
      <c r="CH134" s="181"/>
      <c r="CI134" s="181"/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</row>
    <row r="135" spans="2:100" ht="18" customHeight="1" thickTop="1" x14ac:dyDescent="0.2">
      <c r="K135" s="178"/>
      <c r="L135" s="178"/>
      <c r="M135" s="178"/>
      <c r="N135" s="178"/>
      <c r="O135" s="178"/>
      <c r="P135" s="178"/>
      <c r="Q135" s="178"/>
      <c r="R135" s="178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1"/>
      <c r="BS135" s="181"/>
      <c r="BT135" s="181"/>
      <c r="BU135" s="181"/>
      <c r="BV135" s="181"/>
      <c r="BW135" s="181"/>
      <c r="BX135" s="181"/>
      <c r="BY135" s="181"/>
      <c r="BZ135" s="181"/>
      <c r="CA135" s="181"/>
      <c r="CB135" s="181"/>
      <c r="CC135" s="181"/>
      <c r="CD135" s="181"/>
      <c r="CE135" s="181"/>
      <c r="CF135" s="181"/>
      <c r="CG135" s="181"/>
      <c r="CH135" s="181"/>
      <c r="CI135" s="181"/>
      <c r="CJ135" s="181"/>
      <c r="CK135" s="181"/>
      <c r="CL135" s="181"/>
      <c r="CM135" s="181"/>
      <c r="CN135" s="181"/>
      <c r="CO135" s="181"/>
      <c r="CP135" s="181"/>
      <c r="CQ135" s="181"/>
      <c r="CR135" s="181"/>
      <c r="CS135" s="181"/>
      <c r="CT135" s="181"/>
      <c r="CU135" s="181"/>
      <c r="CV135" s="181"/>
    </row>
    <row r="136" spans="2:100" ht="18" customHeight="1" x14ac:dyDescent="0.25">
      <c r="B136" s="312" t="s">
        <v>110</v>
      </c>
      <c r="K136" s="178"/>
      <c r="L136" s="178"/>
      <c r="M136" s="178"/>
      <c r="N136" s="178"/>
      <c r="O136" s="178"/>
      <c r="P136" s="178"/>
      <c r="Q136" s="178"/>
      <c r="R136" s="178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1"/>
      <c r="BF136" s="181"/>
      <c r="BG136" s="181"/>
      <c r="BH136" s="181"/>
      <c r="BI136" s="181"/>
      <c r="BJ136" s="181"/>
      <c r="BK136" s="181"/>
      <c r="BL136" s="181"/>
      <c r="BM136" s="181"/>
      <c r="BN136" s="181"/>
      <c r="BO136" s="181"/>
      <c r="BP136" s="181"/>
      <c r="BQ136" s="181"/>
      <c r="BR136" s="181"/>
      <c r="BS136" s="181"/>
      <c r="BT136" s="181"/>
      <c r="BU136" s="181"/>
      <c r="BV136" s="181"/>
      <c r="BW136" s="181"/>
      <c r="BX136" s="181"/>
      <c r="BY136" s="181"/>
      <c r="BZ136" s="181"/>
      <c r="CA136" s="181"/>
      <c r="CB136" s="181"/>
      <c r="CC136" s="181"/>
      <c r="CD136" s="181"/>
      <c r="CE136" s="181"/>
      <c r="CF136" s="181"/>
      <c r="CG136" s="181"/>
      <c r="CH136" s="181"/>
      <c r="CI136" s="181"/>
      <c r="CJ136" s="181"/>
      <c r="CK136" s="181"/>
      <c r="CL136" s="181"/>
      <c r="CM136" s="181"/>
      <c r="CN136" s="181"/>
      <c r="CO136" s="181"/>
      <c r="CP136" s="181"/>
      <c r="CQ136" s="181"/>
      <c r="CR136" s="181"/>
      <c r="CS136" s="181"/>
      <c r="CT136" s="181"/>
      <c r="CU136" s="181"/>
      <c r="CV136" s="181"/>
    </row>
    <row r="137" spans="2:100" ht="18" customHeight="1" x14ac:dyDescent="0.2">
      <c r="B137" s="312" t="s">
        <v>111</v>
      </c>
      <c r="K137" s="178"/>
      <c r="L137" s="178"/>
      <c r="M137" s="178"/>
      <c r="N137" s="178"/>
      <c r="O137" s="178"/>
      <c r="P137" s="178"/>
      <c r="Q137" s="178"/>
      <c r="R137" s="178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1"/>
      <c r="BT137" s="181"/>
      <c r="BU137" s="181"/>
      <c r="BV137" s="181"/>
      <c r="BW137" s="181"/>
      <c r="BX137" s="181"/>
      <c r="BY137" s="181"/>
      <c r="BZ137" s="181"/>
      <c r="CA137" s="181"/>
      <c r="CB137" s="181"/>
      <c r="CC137" s="181"/>
      <c r="CD137" s="181"/>
      <c r="CE137" s="181"/>
      <c r="CF137" s="181"/>
      <c r="CG137" s="181"/>
      <c r="CH137" s="181"/>
      <c r="CI137" s="181"/>
      <c r="CJ137" s="181"/>
      <c r="CK137" s="181"/>
      <c r="CL137" s="181"/>
      <c r="CM137" s="181"/>
      <c r="CN137" s="181"/>
      <c r="CO137" s="181"/>
      <c r="CP137" s="181"/>
      <c r="CQ137" s="181"/>
      <c r="CR137" s="181"/>
      <c r="CS137" s="181"/>
      <c r="CT137" s="181"/>
      <c r="CU137" s="181"/>
      <c r="CV137" s="181"/>
    </row>
    <row r="138" spans="2:100" ht="18" customHeight="1" x14ac:dyDescent="0.25">
      <c r="B138" s="312" t="s">
        <v>112</v>
      </c>
      <c r="K138" s="178"/>
      <c r="L138" s="178"/>
      <c r="M138" s="178"/>
      <c r="N138" s="178"/>
      <c r="O138" s="178"/>
      <c r="P138" s="178"/>
      <c r="Q138" s="178"/>
      <c r="R138" s="178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1"/>
      <c r="BT138" s="181"/>
      <c r="BU138" s="181"/>
      <c r="BV138" s="181"/>
      <c r="BW138" s="181"/>
      <c r="BX138" s="181"/>
      <c r="BY138" s="181"/>
      <c r="BZ138" s="181"/>
      <c r="CA138" s="181"/>
      <c r="CB138" s="181"/>
      <c r="CC138" s="181"/>
      <c r="CD138" s="181"/>
      <c r="CE138" s="181"/>
      <c r="CF138" s="181"/>
      <c r="CG138" s="181"/>
      <c r="CH138" s="181"/>
      <c r="CI138" s="181"/>
      <c r="CJ138" s="181"/>
      <c r="CK138" s="181"/>
      <c r="CL138" s="181"/>
      <c r="CM138" s="181"/>
      <c r="CN138" s="181"/>
      <c r="CO138" s="181"/>
      <c r="CP138" s="181"/>
      <c r="CQ138" s="181"/>
      <c r="CR138" s="181"/>
      <c r="CS138" s="181"/>
      <c r="CT138" s="181"/>
      <c r="CU138" s="181"/>
      <c r="CV138" s="181"/>
    </row>
    <row r="139" spans="2:100" ht="18" customHeight="1" x14ac:dyDescent="0.2">
      <c r="B139" s="390" t="s">
        <v>113</v>
      </c>
      <c r="C139" s="391"/>
      <c r="D139" s="391"/>
      <c r="E139" s="391"/>
      <c r="F139" s="391"/>
      <c r="G139" s="391"/>
      <c r="K139" s="178"/>
      <c r="L139" s="178"/>
      <c r="M139" s="178"/>
      <c r="N139" s="178"/>
      <c r="O139" s="178"/>
      <c r="P139" s="178"/>
      <c r="Q139" s="178"/>
      <c r="R139" s="178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1"/>
      <c r="BX139" s="181"/>
      <c r="BY139" s="181"/>
      <c r="BZ139" s="181"/>
      <c r="CA139" s="181"/>
      <c r="CB139" s="181"/>
      <c r="CC139" s="181"/>
      <c r="CD139" s="181"/>
      <c r="CE139" s="181"/>
      <c r="CF139" s="181"/>
      <c r="CG139" s="181"/>
      <c r="CH139" s="181"/>
      <c r="CI139" s="181"/>
      <c r="CJ139" s="181"/>
      <c r="CK139" s="181"/>
      <c r="CL139" s="181"/>
      <c r="CM139" s="181"/>
      <c r="CN139" s="181"/>
      <c r="CO139" s="181"/>
      <c r="CP139" s="181"/>
      <c r="CQ139" s="181"/>
      <c r="CR139" s="181"/>
      <c r="CS139" s="181"/>
      <c r="CT139" s="181"/>
      <c r="CU139" s="181"/>
      <c r="CV139" s="181"/>
    </row>
    <row r="140" spans="2:100" ht="18" customHeight="1" x14ac:dyDescent="0.2">
      <c r="B140" s="390" t="s">
        <v>114</v>
      </c>
      <c r="C140" s="391"/>
      <c r="D140" s="391"/>
      <c r="E140" s="391"/>
      <c r="F140" s="391"/>
      <c r="G140" s="391"/>
      <c r="K140" s="178"/>
      <c r="L140" s="178"/>
      <c r="M140" s="178"/>
      <c r="N140" s="178"/>
      <c r="O140" s="178"/>
      <c r="P140" s="178"/>
      <c r="Q140" s="178"/>
      <c r="R140" s="178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1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1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  <c r="CH140" s="181"/>
      <c r="CI140" s="181"/>
      <c r="CJ140" s="181"/>
      <c r="CK140" s="181"/>
      <c r="CL140" s="181"/>
      <c r="CM140" s="181"/>
      <c r="CN140" s="181"/>
      <c r="CO140" s="181"/>
      <c r="CP140" s="181"/>
      <c r="CQ140" s="181"/>
      <c r="CR140" s="181"/>
      <c r="CS140" s="181"/>
      <c r="CT140" s="181"/>
      <c r="CU140" s="181"/>
      <c r="CV140" s="181"/>
    </row>
    <row r="141" spans="2:100" ht="18" customHeight="1" x14ac:dyDescent="0.25">
      <c r="B141" s="392" t="s">
        <v>115</v>
      </c>
      <c r="K141" s="178"/>
      <c r="L141" s="178"/>
      <c r="M141" s="178"/>
      <c r="N141" s="178"/>
      <c r="O141" s="178"/>
      <c r="P141" s="178"/>
      <c r="Q141" s="178"/>
      <c r="R141" s="178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181"/>
      <c r="BY141" s="181"/>
      <c r="BZ141" s="181"/>
      <c r="CA141" s="181"/>
      <c r="CB141" s="181"/>
      <c r="CC141" s="181"/>
      <c r="CD141" s="181"/>
      <c r="CE141" s="181"/>
      <c r="CF141" s="181"/>
      <c r="CG141" s="181"/>
      <c r="CH141" s="181"/>
      <c r="CI141" s="181"/>
      <c r="CJ141" s="181"/>
      <c r="CK141" s="181"/>
      <c r="CL141" s="181"/>
      <c r="CM141" s="181"/>
      <c r="CN141" s="181"/>
      <c r="CO141" s="181"/>
      <c r="CP141" s="181"/>
      <c r="CQ141" s="181"/>
      <c r="CR141" s="181"/>
      <c r="CS141" s="181"/>
      <c r="CT141" s="181"/>
      <c r="CU141" s="181"/>
      <c r="CV141" s="181"/>
    </row>
    <row r="142" spans="2:100" ht="18" customHeight="1" x14ac:dyDescent="0.2">
      <c r="B142" s="312" t="s">
        <v>116</v>
      </c>
      <c r="K142" s="178"/>
      <c r="L142" s="178"/>
      <c r="M142" s="178"/>
      <c r="N142" s="178"/>
      <c r="O142" s="178"/>
      <c r="P142" s="178"/>
      <c r="Q142" s="178"/>
      <c r="R142" s="178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81"/>
      <c r="BU142" s="181"/>
      <c r="BV142" s="181"/>
      <c r="BW142" s="181"/>
      <c r="BX142" s="181"/>
      <c r="BY142" s="181"/>
      <c r="BZ142" s="181"/>
      <c r="CA142" s="181"/>
      <c r="CB142" s="181"/>
      <c r="CC142" s="181"/>
      <c r="CD142" s="181"/>
      <c r="CE142" s="181"/>
      <c r="CF142" s="181"/>
      <c r="CG142" s="181"/>
      <c r="CH142" s="181"/>
      <c r="CI142" s="181"/>
      <c r="CJ142" s="181"/>
      <c r="CK142" s="181"/>
      <c r="CL142" s="181"/>
      <c r="CM142" s="181"/>
      <c r="CN142" s="181"/>
      <c r="CO142" s="181"/>
      <c r="CP142" s="181"/>
      <c r="CQ142" s="181"/>
      <c r="CR142" s="181"/>
      <c r="CS142" s="181"/>
      <c r="CT142" s="181"/>
      <c r="CU142" s="181"/>
      <c r="CV142" s="181"/>
    </row>
    <row r="143" spans="2:100" ht="18" customHeight="1" x14ac:dyDescent="0.25">
      <c r="B143" s="312" t="s">
        <v>117</v>
      </c>
      <c r="K143" s="178"/>
      <c r="L143" s="178"/>
      <c r="M143" s="178"/>
      <c r="N143" s="178"/>
      <c r="O143" s="178"/>
      <c r="P143" s="178"/>
      <c r="Q143" s="178"/>
      <c r="R143" s="178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1"/>
      <c r="BS143" s="181"/>
      <c r="BT143" s="181"/>
      <c r="BU143" s="181"/>
      <c r="BV143" s="181"/>
      <c r="BW143" s="181"/>
      <c r="BX143" s="181"/>
      <c r="BY143" s="181"/>
      <c r="BZ143" s="181"/>
      <c r="CA143" s="181"/>
      <c r="CB143" s="181"/>
      <c r="CC143" s="181"/>
      <c r="CD143" s="181"/>
      <c r="CE143" s="181"/>
      <c r="CF143" s="181"/>
      <c r="CG143" s="181"/>
      <c r="CH143" s="181"/>
      <c r="CI143" s="181"/>
      <c r="CJ143" s="181"/>
      <c r="CK143" s="181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</row>
    <row r="144" spans="2:100" ht="18" customHeight="1" x14ac:dyDescent="0.25">
      <c r="B144" s="312" t="s">
        <v>118</v>
      </c>
      <c r="K144" s="178"/>
      <c r="L144" s="178"/>
      <c r="M144" s="178"/>
      <c r="N144" s="178"/>
      <c r="O144" s="178"/>
      <c r="P144" s="178"/>
      <c r="Q144" s="178"/>
      <c r="R144" s="178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81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</row>
    <row r="145" spans="2:100" ht="18" customHeight="1" x14ac:dyDescent="0.25">
      <c r="B145" s="312" t="s">
        <v>119</v>
      </c>
      <c r="K145" s="178"/>
      <c r="L145" s="178"/>
      <c r="M145" s="178"/>
      <c r="N145" s="178"/>
      <c r="O145" s="178"/>
      <c r="P145" s="178"/>
      <c r="Q145" s="178"/>
      <c r="R145" s="178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1"/>
      <c r="CH145" s="181"/>
      <c r="CI145" s="181"/>
      <c r="CJ145" s="181"/>
      <c r="CK145" s="181"/>
      <c r="CL145" s="181"/>
      <c r="CM145" s="181"/>
      <c r="CN145" s="181"/>
      <c r="CO145" s="181"/>
      <c r="CP145" s="181"/>
      <c r="CQ145" s="181"/>
      <c r="CR145" s="181"/>
      <c r="CS145" s="181"/>
      <c r="CT145" s="181"/>
      <c r="CU145" s="181"/>
      <c r="CV145" s="181"/>
    </row>
    <row r="146" spans="2:100" ht="18" customHeight="1" x14ac:dyDescent="0.2">
      <c r="B146" s="176" t="s">
        <v>120</v>
      </c>
      <c r="K146" s="178"/>
      <c r="L146" s="178"/>
      <c r="M146" s="178"/>
      <c r="N146" s="178"/>
      <c r="O146" s="178"/>
      <c r="P146" s="178"/>
      <c r="Q146" s="178"/>
      <c r="R146" s="178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  <c r="BZ146" s="181"/>
      <c r="CA146" s="181"/>
      <c r="CB146" s="181"/>
      <c r="CC146" s="181"/>
      <c r="CD146" s="181"/>
      <c r="CE146" s="181"/>
      <c r="CF146" s="181"/>
      <c r="CG146" s="181"/>
      <c r="CH146" s="181"/>
      <c r="CI146" s="181"/>
      <c r="CJ146" s="181"/>
      <c r="CK146" s="181"/>
      <c r="CL146" s="181"/>
      <c r="CM146" s="181"/>
      <c r="CN146" s="181"/>
      <c r="CO146" s="181"/>
      <c r="CP146" s="181"/>
      <c r="CQ146" s="181"/>
      <c r="CR146" s="181"/>
      <c r="CS146" s="181"/>
      <c r="CT146" s="181"/>
      <c r="CU146" s="181"/>
      <c r="CV146" s="181"/>
    </row>
    <row r="147" spans="2:100" ht="18" customHeight="1" x14ac:dyDescent="0.25">
      <c r="B147" s="312" t="s">
        <v>121</v>
      </c>
      <c r="K147" s="178"/>
      <c r="L147" s="178"/>
      <c r="M147" s="178"/>
      <c r="N147" s="178"/>
      <c r="O147" s="178"/>
      <c r="P147" s="178"/>
      <c r="Q147" s="178"/>
      <c r="R147" s="178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1"/>
      <c r="CH147" s="181"/>
      <c r="CI147" s="181"/>
      <c r="CJ147" s="181"/>
      <c r="CK147" s="181"/>
      <c r="CL147" s="181"/>
      <c r="CM147" s="181"/>
      <c r="CN147" s="181"/>
      <c r="CO147" s="181"/>
      <c r="CP147" s="181"/>
      <c r="CQ147" s="181"/>
      <c r="CR147" s="181"/>
      <c r="CS147" s="181"/>
      <c r="CT147" s="181"/>
      <c r="CU147" s="181"/>
      <c r="CV147" s="181"/>
    </row>
    <row r="148" spans="2:100" ht="18" customHeight="1" x14ac:dyDescent="0.2">
      <c r="B148" s="312" t="s">
        <v>122</v>
      </c>
      <c r="H148" s="391"/>
      <c r="I148" s="391"/>
      <c r="J148" s="391"/>
      <c r="K148" s="178"/>
      <c r="L148" s="178"/>
      <c r="M148" s="178"/>
      <c r="N148" s="178"/>
      <c r="O148" s="178"/>
      <c r="P148" s="178"/>
      <c r="Q148" s="178"/>
      <c r="R148" s="178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1"/>
      <c r="BF148" s="181"/>
      <c r="BG148" s="181"/>
      <c r="BH148" s="181"/>
      <c r="BI148" s="181"/>
      <c r="BJ148" s="181"/>
      <c r="BK148" s="181"/>
      <c r="BL148" s="181"/>
      <c r="BM148" s="181"/>
      <c r="BN148" s="181"/>
      <c r="BO148" s="181"/>
      <c r="BP148" s="181"/>
      <c r="BQ148" s="181"/>
      <c r="BR148" s="181"/>
      <c r="BS148" s="181"/>
      <c r="BT148" s="181"/>
      <c r="BU148" s="181"/>
      <c r="BV148" s="181"/>
      <c r="BW148" s="181"/>
      <c r="BX148" s="181"/>
      <c r="BY148" s="181"/>
      <c r="BZ148" s="181"/>
      <c r="CA148" s="181"/>
      <c r="CB148" s="181"/>
      <c r="CC148" s="181"/>
      <c r="CD148" s="181"/>
      <c r="CE148" s="181"/>
      <c r="CF148" s="181"/>
      <c r="CG148" s="181"/>
      <c r="CH148" s="181"/>
      <c r="CI148" s="181"/>
      <c r="CJ148" s="181"/>
      <c r="CK148" s="181"/>
      <c r="CL148" s="181"/>
      <c r="CM148" s="181"/>
      <c r="CN148" s="181"/>
      <c r="CO148" s="181"/>
      <c r="CP148" s="181"/>
      <c r="CQ148" s="181"/>
      <c r="CR148" s="181"/>
      <c r="CS148" s="181"/>
      <c r="CT148" s="181"/>
      <c r="CU148" s="181"/>
      <c r="CV148" s="181"/>
    </row>
    <row r="149" spans="2:100" ht="18" customHeight="1" x14ac:dyDescent="0.2">
      <c r="H149" s="391"/>
      <c r="I149" s="391"/>
      <c r="J149" s="391"/>
      <c r="K149" s="178"/>
      <c r="L149" s="178"/>
      <c r="M149" s="178"/>
      <c r="N149" s="178"/>
      <c r="O149" s="178"/>
      <c r="P149" s="178"/>
      <c r="Q149" s="178"/>
      <c r="R149" s="178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1"/>
      <c r="CH149" s="181"/>
      <c r="CI149" s="181"/>
      <c r="CJ149" s="181"/>
      <c r="CK149" s="181"/>
      <c r="CL149" s="181"/>
      <c r="CM149" s="181"/>
      <c r="CN149" s="181"/>
      <c r="CO149" s="181"/>
      <c r="CP149" s="181"/>
      <c r="CQ149" s="181"/>
      <c r="CR149" s="181"/>
      <c r="CS149" s="181"/>
      <c r="CT149" s="181"/>
      <c r="CU149" s="181"/>
      <c r="CV149" s="181"/>
    </row>
    <row r="150" spans="2:100" ht="18" customHeight="1" x14ac:dyDescent="0.2">
      <c r="B150" s="349" t="s">
        <v>123</v>
      </c>
      <c r="C150" s="393">
        <f>U53</f>
        <v>2.2272969425782367</v>
      </c>
      <c r="E150" s="349" t="s">
        <v>124</v>
      </c>
      <c r="F150" s="394">
        <f>FDIST(C150,df_new,df_new-1)</f>
        <v>0.32480754150930591</v>
      </c>
      <c r="K150" s="178"/>
      <c r="L150" s="178"/>
      <c r="M150" s="178"/>
      <c r="N150" s="178"/>
      <c r="O150" s="178"/>
      <c r="P150" s="178"/>
      <c r="Q150" s="178"/>
      <c r="R150" s="178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1"/>
      <c r="BX150" s="181"/>
      <c r="BY150" s="181"/>
      <c r="BZ150" s="181"/>
      <c r="CA150" s="181"/>
      <c r="CB150" s="181"/>
      <c r="CC150" s="181"/>
      <c r="CD150" s="181"/>
      <c r="CE150" s="181"/>
      <c r="CF150" s="181"/>
      <c r="CG150" s="181"/>
      <c r="CH150" s="181"/>
      <c r="CI150" s="181"/>
      <c r="CJ150" s="181"/>
      <c r="CK150" s="181"/>
      <c r="CL150" s="181"/>
      <c r="CM150" s="181"/>
      <c r="CN150" s="181"/>
      <c r="CO150" s="181"/>
      <c r="CP150" s="181"/>
      <c r="CQ150" s="181"/>
      <c r="CR150" s="181"/>
      <c r="CS150" s="181"/>
      <c r="CT150" s="181"/>
      <c r="CU150" s="181"/>
      <c r="CV150" s="181"/>
    </row>
    <row r="151" spans="2:100" ht="18" customHeight="1" x14ac:dyDescent="0.2">
      <c r="K151" s="178"/>
      <c r="L151" s="178"/>
      <c r="M151" s="178"/>
      <c r="N151" s="178"/>
      <c r="O151" s="178"/>
      <c r="P151" s="178"/>
      <c r="Q151" s="178"/>
      <c r="R151" s="178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  <c r="CH151" s="181"/>
      <c r="CI151" s="181"/>
      <c r="CJ151" s="181"/>
      <c r="CK151" s="181"/>
      <c r="CL151" s="181"/>
      <c r="CM151" s="181"/>
      <c r="CN151" s="181"/>
      <c r="CO151" s="181"/>
      <c r="CP151" s="181"/>
      <c r="CQ151" s="181"/>
      <c r="CR151" s="181"/>
      <c r="CS151" s="181"/>
      <c r="CT151" s="181"/>
      <c r="CU151" s="181"/>
      <c r="CV151" s="181"/>
    </row>
    <row r="152" spans="2:100" ht="18" customHeight="1" x14ac:dyDescent="0.2">
      <c r="B152" s="371" t="str">
        <f>IF(U53&gt;U50,"The quadratic model produces a significantly smaller overall uncertainty of fit.","The overall uncertainties of fit are not significantly different at the 5% level.")</f>
        <v>The overall uncertainties of fit are not significantly different at the 5% level.</v>
      </c>
      <c r="K152" s="178"/>
      <c r="L152" s="178"/>
      <c r="M152" s="178"/>
      <c r="N152" s="178"/>
      <c r="O152" s="178"/>
      <c r="P152" s="178"/>
      <c r="Q152" s="178"/>
      <c r="R152" s="178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  <c r="CH152" s="181"/>
      <c r="CI152" s="181"/>
      <c r="CJ152" s="181"/>
      <c r="CK152" s="181"/>
      <c r="CL152" s="181"/>
      <c r="CM152" s="181"/>
      <c r="CN152" s="181"/>
      <c r="CO152" s="181"/>
      <c r="CP152" s="181"/>
      <c r="CQ152" s="181"/>
      <c r="CR152" s="181"/>
      <c r="CS152" s="181"/>
      <c r="CT152" s="181"/>
      <c r="CU152" s="181"/>
      <c r="CV152" s="181"/>
    </row>
    <row r="153" spans="2:100" ht="18" customHeight="1" x14ac:dyDescent="0.2">
      <c r="B153" s="371" t="str">
        <f>IF(U53&gt;U50,"The quadratic model appears to be the better choice.","The linear model appears to be the better choice.")</f>
        <v>The linear model appears to be the better choice.</v>
      </c>
      <c r="K153" s="178"/>
      <c r="L153" s="178"/>
      <c r="M153" s="178"/>
      <c r="N153" s="178"/>
      <c r="O153" s="178"/>
      <c r="P153" s="178"/>
      <c r="Q153" s="178"/>
      <c r="R153" s="178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1"/>
      <c r="BF153" s="181"/>
      <c r="BG153" s="181"/>
      <c r="BH153" s="181"/>
      <c r="BI153" s="181"/>
      <c r="BJ153" s="181"/>
      <c r="BK153" s="181"/>
      <c r="BL153" s="181"/>
      <c r="BM153" s="181"/>
      <c r="BN153" s="181"/>
      <c r="BO153" s="181"/>
      <c r="BP153" s="181"/>
      <c r="BQ153" s="181"/>
      <c r="BR153" s="181"/>
      <c r="BS153" s="181"/>
      <c r="BT153" s="181"/>
      <c r="BU153" s="181"/>
      <c r="BV153" s="181"/>
      <c r="BW153" s="181"/>
      <c r="BX153" s="181"/>
      <c r="BY153" s="181"/>
      <c r="BZ153" s="181"/>
      <c r="CA153" s="181"/>
      <c r="CB153" s="181"/>
      <c r="CC153" s="181"/>
      <c r="CD153" s="181"/>
      <c r="CE153" s="181"/>
      <c r="CF153" s="181"/>
      <c r="CG153" s="181"/>
      <c r="CH153" s="181"/>
      <c r="CI153" s="181"/>
      <c r="CJ153" s="181"/>
      <c r="CK153" s="181"/>
      <c r="CL153" s="181"/>
      <c r="CM153" s="181"/>
      <c r="CN153" s="181"/>
      <c r="CO153" s="181"/>
      <c r="CP153" s="181"/>
      <c r="CQ153" s="181"/>
      <c r="CR153" s="181"/>
      <c r="CS153" s="181"/>
      <c r="CT153" s="181"/>
      <c r="CU153" s="181"/>
      <c r="CV153" s="181"/>
    </row>
    <row r="154" spans="2:100" ht="18" customHeight="1" x14ac:dyDescent="0.25">
      <c r="K154" s="178"/>
      <c r="L154" s="178"/>
      <c r="M154" s="178"/>
      <c r="N154" s="178"/>
      <c r="O154" s="178"/>
      <c r="P154" s="178"/>
      <c r="Q154" s="178"/>
      <c r="R154" s="178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90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  <c r="CH154" s="181"/>
      <c r="CI154" s="181"/>
      <c r="CJ154" s="181"/>
      <c r="CK154" s="181"/>
      <c r="CL154" s="181"/>
      <c r="CM154" s="181"/>
      <c r="CN154" s="181"/>
      <c r="CO154" s="181"/>
      <c r="CP154" s="181"/>
      <c r="CQ154" s="181"/>
      <c r="CR154" s="181"/>
      <c r="CS154" s="181"/>
      <c r="CT154" s="181"/>
      <c r="CU154" s="181"/>
      <c r="CV154" s="181"/>
    </row>
    <row r="155" spans="2:100" ht="18" customHeight="1" x14ac:dyDescent="0.25">
      <c r="B155" s="176" t="s">
        <v>99</v>
      </c>
      <c r="K155" s="178"/>
      <c r="L155" s="178"/>
      <c r="M155" s="178"/>
      <c r="N155" s="178"/>
      <c r="O155" s="178"/>
      <c r="P155" s="178"/>
      <c r="Q155" s="178"/>
      <c r="R155" s="178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90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1"/>
      <c r="BX155" s="181"/>
      <c r="BY155" s="181"/>
      <c r="BZ155" s="181"/>
      <c r="CA155" s="181"/>
      <c r="CB155" s="181"/>
      <c r="CC155" s="181"/>
      <c r="CD155" s="181"/>
      <c r="CE155" s="181"/>
      <c r="CF155" s="181"/>
      <c r="CG155" s="181"/>
      <c r="CH155" s="181"/>
      <c r="CI155" s="181"/>
      <c r="CJ155" s="181"/>
      <c r="CK155" s="181"/>
      <c r="CL155" s="181"/>
      <c r="CM155" s="181"/>
      <c r="CN155" s="181"/>
      <c r="CO155" s="181"/>
      <c r="CP155" s="181"/>
      <c r="CQ155" s="181"/>
      <c r="CR155" s="181"/>
      <c r="CS155" s="181"/>
      <c r="CT155" s="181"/>
      <c r="CU155" s="181"/>
      <c r="CV155" s="181"/>
    </row>
    <row r="156" spans="2:100" ht="18" customHeight="1" x14ac:dyDescent="0.25">
      <c r="B156" s="312" t="s">
        <v>125</v>
      </c>
      <c r="K156" s="178"/>
      <c r="L156" s="178"/>
      <c r="M156" s="178"/>
      <c r="N156" s="187"/>
      <c r="O156" s="187"/>
      <c r="P156" s="187"/>
      <c r="Q156" s="187"/>
      <c r="R156" s="187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81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</row>
    <row r="157" spans="2:100" ht="18" customHeight="1" x14ac:dyDescent="0.25">
      <c r="B157" s="312"/>
      <c r="K157" s="178"/>
      <c r="L157" s="178"/>
      <c r="M157" s="178"/>
      <c r="N157" s="178"/>
      <c r="O157" s="178"/>
      <c r="P157" s="178"/>
      <c r="Q157" s="178"/>
      <c r="R157" s="178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90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</row>
    <row r="164" spans="2:11" ht="18" customHeight="1" x14ac:dyDescent="0.2">
      <c r="B164" s="177"/>
      <c r="C164" s="177"/>
      <c r="D164" s="177"/>
      <c r="E164" s="177"/>
      <c r="F164" s="177"/>
      <c r="G164" s="177"/>
      <c r="H164" s="177"/>
      <c r="I164" s="177"/>
      <c r="J164" s="177"/>
    </row>
    <row r="165" spans="2:11" ht="18" customHeight="1" x14ac:dyDescent="0.2">
      <c r="B165" s="177"/>
      <c r="C165" s="177"/>
      <c r="D165" s="177"/>
      <c r="E165" s="177"/>
      <c r="F165" s="177"/>
      <c r="G165" s="177"/>
      <c r="H165" s="177"/>
      <c r="I165" s="177"/>
      <c r="J165" s="177"/>
    </row>
    <row r="166" spans="2:11" ht="18" customHeight="1" x14ac:dyDescent="0.2">
      <c r="B166" s="177"/>
      <c r="C166" s="177"/>
      <c r="D166" s="177"/>
      <c r="E166" s="177"/>
      <c r="F166" s="177"/>
      <c r="G166" s="177"/>
      <c r="H166" s="177"/>
      <c r="I166" s="177"/>
      <c r="J166" s="177"/>
    </row>
    <row r="168" spans="2:11" ht="18" customHeight="1" x14ac:dyDescent="0.2">
      <c r="K168" s="177"/>
    </row>
    <row r="169" spans="2:11" ht="18" customHeight="1" x14ac:dyDescent="0.2">
      <c r="K169" s="177"/>
    </row>
    <row r="170" spans="2:11" ht="18" customHeight="1" x14ac:dyDescent="0.2">
      <c r="K170" s="177"/>
    </row>
    <row r="171" spans="2:11" ht="18" customHeight="1" x14ac:dyDescent="0.2">
      <c r="K171" s="177"/>
    </row>
    <row r="172" spans="2:11" ht="18" customHeight="1" x14ac:dyDescent="0.2">
      <c r="K172" s="177"/>
    </row>
  </sheetData>
  <sheetProtection sheet="1"/>
  <protectedRanges>
    <protectedRange sqref="C12:D61" name="Range1"/>
  </protectedRanges>
  <phoneticPr fontId="35" type="noConversion"/>
  <pageMargins left="1" right="1" top="0.5" bottom="0.5" header="0.2" footer="0.2"/>
  <pageSetup scale="67" orientation="portrait" r:id="rId1"/>
  <headerFooter alignWithMargins="0">
    <oddFooter>&amp;L&amp;F&amp;CPage &amp;P&amp;R&amp;D</oddFooter>
  </headerFooter>
  <rowBreaks count="4" manualBreakCount="4">
    <brk id="60" max="65535" man="1"/>
    <brk id="92" max="65535" man="1"/>
    <brk id="131" max="65535" man="1"/>
    <brk id="155" max="65535" man="1"/>
  </rowBreaks>
  <colBreaks count="3" manualBreakCount="3">
    <brk id="10" max="1048575" man="1"/>
    <brk id="18" max="1048575" man="1"/>
    <brk id="27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3"/>
  <sheetViews>
    <sheetView showGridLines="0" zoomScale="80" workbookViewId="0">
      <selection activeCell="D84" sqref="D84"/>
    </sheetView>
  </sheetViews>
  <sheetFormatPr defaultColWidth="7.875" defaultRowHeight="18" customHeight="1" x14ac:dyDescent="0.2"/>
  <cols>
    <col min="1" max="3" width="7.875" style="1"/>
    <col min="4" max="4" width="11.375" style="1" customWidth="1"/>
    <col min="5" max="15" width="7.875" style="1"/>
    <col min="16" max="16" width="11.375" style="1" customWidth="1"/>
    <col min="17" max="21" width="11.875" style="1" customWidth="1"/>
    <col min="22" max="26" width="7.875" style="1"/>
    <col min="27" max="31" width="14.375" style="1" customWidth="1"/>
    <col min="32" max="32" width="14.875" style="1" customWidth="1"/>
    <col min="33" max="33" width="14.375" style="1" customWidth="1"/>
    <col min="34" max="34" width="14.875" style="1" customWidth="1"/>
    <col min="35" max="35" width="11.875" style="1" customWidth="1"/>
    <col min="36" max="16384" width="7.875" style="1"/>
  </cols>
  <sheetData>
    <row r="1" spans="1:21" ht="18" customHeight="1" x14ac:dyDescent="0.2">
      <c r="A1" s="18"/>
      <c r="B1" s="9" t="s">
        <v>129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1" ht="18" customHeight="1" x14ac:dyDescent="0.2">
      <c r="A2" s="18"/>
      <c r="B2" s="9" t="s">
        <v>130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21" ht="18" customHeight="1" thickBot="1" x14ac:dyDescent="0.25">
      <c r="A3" s="18"/>
      <c r="B3" s="9" t="s">
        <v>131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1" ht="18" customHeight="1" thickTop="1" thickBot="1" x14ac:dyDescent="0.25">
      <c r="A4" s="18"/>
      <c r="B4" s="1" t="s">
        <v>132</v>
      </c>
      <c r="C4" s="18"/>
      <c r="D4" s="18"/>
      <c r="E4" s="18"/>
      <c r="F4" s="18"/>
      <c r="G4" s="18"/>
      <c r="H4" s="19">
        <v>0.95</v>
      </c>
      <c r="I4" s="20" t="s">
        <v>133</v>
      </c>
      <c r="J4" s="18"/>
      <c r="K4" s="18"/>
      <c r="L4" s="18"/>
      <c r="M4" s="18"/>
      <c r="N4" s="18"/>
    </row>
    <row r="5" spans="1:21" ht="18" customHeight="1" thickTop="1" x14ac:dyDescent="0.2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21" ht="18" customHeight="1" x14ac:dyDescent="0.2">
      <c r="A6" s="21">
        <f>MIN('Pollutant Annual Calibration'!C12:C61)</f>
        <v>40</v>
      </c>
      <c r="B6" s="9" t="s">
        <v>134</v>
      </c>
      <c r="C6" s="18"/>
      <c r="D6" s="18"/>
      <c r="E6" s="18"/>
      <c r="F6" s="18"/>
      <c r="G6" s="18"/>
      <c r="H6" s="22">
        <f>TINV(1-$H$4,df)</f>
        <v>3.1824463052837078</v>
      </c>
      <c r="I6" s="23" t="s">
        <v>135</v>
      </c>
      <c r="J6" s="24"/>
      <c r="K6" s="24"/>
      <c r="L6" s="18"/>
      <c r="M6" s="18"/>
      <c r="N6" s="18"/>
    </row>
    <row r="7" spans="1:21" ht="18" customHeight="1" x14ac:dyDescent="0.2">
      <c r="A7" s="21">
        <f>MAX('Pollutant Annual Calibration'!C12:C61)</f>
        <v>78</v>
      </c>
      <c r="B7" s="9" t="s">
        <v>136</v>
      </c>
      <c r="C7" s="18"/>
      <c r="D7" s="18"/>
      <c r="E7" s="18"/>
      <c r="F7" s="18"/>
      <c r="G7" s="18"/>
      <c r="H7" s="25">
        <f>TINV(1-$H$4,df-1)</f>
        <v>4.3026527297494619</v>
      </c>
      <c r="I7" s="26" t="s">
        <v>137</v>
      </c>
      <c r="J7" s="27"/>
      <c r="K7" s="27"/>
      <c r="L7" s="18"/>
      <c r="M7" s="18"/>
      <c r="N7" s="18"/>
    </row>
    <row r="8" spans="1:21" ht="18" customHeight="1" x14ac:dyDescent="0.2">
      <c r="A8" s="28">
        <f>n</f>
        <v>5</v>
      </c>
      <c r="B8" s="9" t="s">
        <v>138</v>
      </c>
      <c r="C8" s="18"/>
      <c r="D8" s="18"/>
      <c r="E8" s="18"/>
      <c r="F8" s="18"/>
      <c r="G8" s="18"/>
      <c r="H8" s="29">
        <f>TINV(1-$H$4,df-2)</f>
        <v>12.706204736174694</v>
      </c>
      <c r="I8" s="30" t="s">
        <v>139</v>
      </c>
      <c r="J8" s="31"/>
      <c r="K8" s="31"/>
      <c r="L8" s="18"/>
      <c r="M8" s="18"/>
      <c r="N8" s="18"/>
    </row>
    <row r="9" spans="1:21" ht="18" customHeight="1" x14ac:dyDescent="0.2">
      <c r="A9" s="32"/>
      <c r="B9" s="9"/>
      <c r="C9" s="18"/>
      <c r="D9" s="18"/>
      <c r="E9" s="18"/>
      <c r="F9" s="18"/>
      <c r="G9" s="18"/>
      <c r="H9" s="33" t="e">
        <f>TINV(1-$H$4,df-3)</f>
        <v>#NUM!</v>
      </c>
      <c r="I9" s="34" t="s">
        <v>140</v>
      </c>
      <c r="J9" s="35"/>
      <c r="K9" s="35"/>
      <c r="L9" s="18"/>
      <c r="M9" s="18"/>
      <c r="N9" s="18"/>
    </row>
    <row r="10" spans="1:21" ht="18" customHeight="1" x14ac:dyDescent="0.2">
      <c r="A10" s="3" t="s">
        <v>141</v>
      </c>
      <c r="B10" s="18"/>
      <c r="C10" s="18"/>
      <c r="D10" s="18"/>
      <c r="E10" s="18"/>
      <c r="F10" s="36" t="s">
        <v>142</v>
      </c>
      <c r="G10" s="37"/>
      <c r="H10" s="37"/>
      <c r="I10" s="38"/>
      <c r="J10" s="39" t="s">
        <v>143</v>
      </c>
      <c r="K10" s="40"/>
      <c r="L10" s="40"/>
      <c r="M10" s="41"/>
      <c r="N10" s="42" t="s">
        <v>144</v>
      </c>
      <c r="O10" s="43"/>
      <c r="P10" s="43"/>
      <c r="Q10" s="44"/>
      <c r="R10" s="45" t="s">
        <v>145</v>
      </c>
      <c r="S10" s="46"/>
      <c r="T10" s="46"/>
      <c r="U10" s="47"/>
    </row>
    <row r="11" spans="1:21" ht="18" customHeight="1" x14ac:dyDescent="0.2">
      <c r="A11" s="48" t="s">
        <v>33</v>
      </c>
      <c r="B11" s="48" t="s">
        <v>146</v>
      </c>
      <c r="C11" s="48" t="s">
        <v>147</v>
      </c>
      <c r="D11" s="49"/>
      <c r="E11" s="50"/>
      <c r="F11" s="51" t="s">
        <v>126</v>
      </c>
      <c r="G11" s="52" t="s">
        <v>127</v>
      </c>
      <c r="H11" s="53" t="s">
        <v>128</v>
      </c>
      <c r="I11" s="54" t="s">
        <v>148</v>
      </c>
      <c r="J11" s="55" t="s">
        <v>126</v>
      </c>
      <c r="K11" s="56" t="s">
        <v>127</v>
      </c>
      <c r="L11" s="57" t="s">
        <v>128</v>
      </c>
      <c r="M11" s="58" t="s">
        <v>148</v>
      </c>
      <c r="N11" s="59" t="s">
        <v>126</v>
      </c>
      <c r="O11" s="60" t="s">
        <v>127</v>
      </c>
      <c r="P11" s="61" t="s">
        <v>128</v>
      </c>
      <c r="Q11" s="62" t="s">
        <v>148</v>
      </c>
      <c r="R11" s="63" t="s">
        <v>126</v>
      </c>
      <c r="S11" s="64" t="s">
        <v>127</v>
      </c>
      <c r="T11" s="65" t="s">
        <v>128</v>
      </c>
      <c r="U11" s="66" t="s">
        <v>148</v>
      </c>
    </row>
    <row r="12" spans="1:21" ht="18" customHeight="1" x14ac:dyDescent="0.2">
      <c r="A12" s="67">
        <v>1</v>
      </c>
      <c r="B12" s="68">
        <f>IF($A12&gt;n,"",+'Pollutant Annual Calibration'!C12)</f>
        <v>78</v>
      </c>
      <c r="C12" s="69">
        <f>IF($A12&gt;n,-999,+'Pollutant Annual Calibration'!D12)</f>
        <v>78.452904109589028</v>
      </c>
      <c r="D12" s="70"/>
      <c r="E12" s="70"/>
      <c r="F12" s="71"/>
      <c r="G12" s="72"/>
      <c r="H12" s="72"/>
      <c r="I12" s="73">
        <f>+C12-('Pollutant Annual Calibration'!$K$27+'Pollutant Annual Calibration'!$K$28*B12)</f>
        <v>6.0987984295266529E-2</v>
      </c>
      <c r="J12" s="74"/>
      <c r="K12" s="75"/>
      <c r="L12" s="75"/>
      <c r="M12" s="76">
        <f>+C12-('Pollutant Annual Calibration'!$U$30+B12*'Pollutant Annual Calibration'!$U$31+B12^2*'Pollutant Annual Calibration'!$U$32)</f>
        <v>6.1808536918547929E-2</v>
      </c>
      <c r="N12" s="77"/>
      <c r="O12" s="78"/>
      <c r="P12" s="78"/>
      <c r="Q12" s="79">
        <f>+C12-('Pollutant Annual Calibration'!$AD$30+B12*'Pollutant Annual Calibration'!$AD$31+B12^2*'Pollutant Annual Calibration'!$AD$32+B12^3*'Pollutant Annual Calibration'!$AD$33)</f>
        <v>1.2775430660397546E-2</v>
      </c>
      <c r="R12" s="80"/>
      <c r="S12" s="81"/>
      <c r="T12" s="81"/>
      <c r="U12" s="82">
        <f>+C12-('Pollutant Annual Calibration'!$BI$26+B12*'Pollutant Annual Calibration'!$BI$27+B12^2*'Pollutant Annual Calibration'!$BI$28+B12^3*'Pollutant Annual Calibration'!$BI$29+B12^4*'Pollutant Annual Calibration'!$BI$30)</f>
        <v>2.2707721285541993E-6</v>
      </c>
    </row>
    <row r="13" spans="1:21" ht="18" customHeight="1" x14ac:dyDescent="0.2">
      <c r="A13" s="83">
        <v>2</v>
      </c>
      <c r="B13" s="70">
        <f>IF($A13&gt;n,"",+'Pollutant Annual Calibration'!C13)</f>
        <v>70</v>
      </c>
      <c r="C13" s="84">
        <f>IF($A13&gt;n,-999,+'Pollutant Annual Calibration'!D13)</f>
        <v>70.198350364963531</v>
      </c>
      <c r="D13" s="70"/>
      <c r="E13" s="70"/>
      <c r="F13" s="71"/>
      <c r="G13" s="72"/>
      <c r="H13" s="72"/>
      <c r="I13" s="73">
        <f>IF(A13&gt;n,+I12,+C13-('Pollutant Annual Calibration'!$K$27+'Pollutant Annual Calibration'!$K$28*B13))</f>
        <v>-0.12348075626597677</v>
      </c>
      <c r="J13" s="74"/>
      <c r="K13" s="75"/>
      <c r="L13" s="75"/>
      <c r="M13" s="76">
        <f>IF(A13&gt;n,M12,+C13-('Pollutant Annual Calibration'!$U$30+B13*'Pollutant Annual Calibration'!$U$31+B13^2*'Pollutant Annual Calibration'!$U$32))</f>
        <v>-0.12378330453823594</v>
      </c>
      <c r="N13" s="77"/>
      <c r="O13" s="78"/>
      <c r="P13" s="78"/>
      <c r="Q13" s="79">
        <f>IF(A13&gt;n,Q12,+C13-('Pollutant Annual Calibration'!$AD$30+B13*'Pollutant Annual Calibration'!$AD$31+B13^2*'Pollutant Annual Calibration'!$AD$32+B13^3*'Pollutant Annual Calibration'!$AD$33))</f>
        <v>-4.0779183749279468E-2</v>
      </c>
      <c r="R13" s="80"/>
      <c r="S13" s="81"/>
      <c r="T13" s="81"/>
      <c r="U13" s="82">
        <f>IF(A13&gt;n,+U12,+C13-('Pollutant Annual Calibration'!$BI$26+B13*'Pollutant Annual Calibration'!$BI$27+B13^2*'Pollutant Annual Calibration'!$BI$28+B13^3*'Pollutant Annual Calibration'!$BI$29+B13^4*'Pollutant Annual Calibration'!$BI$30))</f>
        <v>1.7579693150082676E-6</v>
      </c>
    </row>
    <row r="14" spans="1:21" ht="18" customHeight="1" x14ac:dyDescent="0.2">
      <c r="A14" s="83">
        <v>3</v>
      </c>
      <c r="B14" s="70">
        <f>IF($A14&gt;n,"",+'Pollutant Annual Calibration'!C14)</f>
        <v>60</v>
      </c>
      <c r="C14" s="84">
        <f>IF($A14&gt;n,-999,+'Pollutant Annual Calibration'!D14)</f>
        <v>60.277616000000002</v>
      </c>
      <c r="D14" s="70"/>
      <c r="E14" s="70"/>
      <c r="F14" s="71"/>
      <c r="G14" s="72"/>
      <c r="H14" s="72"/>
      <c r="I14" s="73">
        <f>IF(A14&gt;n,+I13,+C14-('Pollutant Annual Calibration'!$K$27+'Pollutant Annual Calibration'!$K$28*B14))</f>
        <v>4.3391133850811059E-2</v>
      </c>
      <c r="J14" s="74"/>
      <c r="K14" s="75"/>
      <c r="L14" s="75"/>
      <c r="M14" s="76">
        <f>IF(A14&gt;n,M13,+C14-('Pollutant Annual Calibration'!$U$30+B14*'Pollutant Annual Calibration'!$U$31+B14^2*'Pollutant Annual Calibration'!$U$32))</f>
        <v>4.2528497498558693E-2</v>
      </c>
      <c r="N14" s="77"/>
      <c r="O14" s="78"/>
      <c r="P14" s="78"/>
      <c r="Q14" s="79">
        <f>IF(A14&gt;n,Q13,+C14-('Pollutant Annual Calibration'!$AD$30+B14*'Pollutant Annual Calibration'!$AD$31+B14^2*'Pollutant Annual Calibration'!$AD$32+B14^3*'Pollutant Annual Calibration'!$AD$33))</f>
        <v>5.4372240825934171E-2</v>
      </c>
      <c r="R14" s="80"/>
      <c r="S14" s="81"/>
      <c r="T14" s="81"/>
      <c r="U14" s="82">
        <f>IF(A14&gt;n,+U13,+C14-('Pollutant Annual Calibration'!$BI$26+B14*'Pollutant Annual Calibration'!$BI$27+B14^2*'Pollutant Annual Calibration'!$BI$28+B14^3*'Pollutant Annual Calibration'!$BI$29+B14^4*'Pollutant Annual Calibration'!$BI$30))</f>
        <v>1.2361157715190529E-6</v>
      </c>
    </row>
    <row r="15" spans="1:21" ht="18" customHeight="1" x14ac:dyDescent="0.2">
      <c r="A15" s="83">
        <v>4</v>
      </c>
      <c r="B15" s="70">
        <f>IF($A15&gt;n,"",+'Pollutant Annual Calibration'!C15)</f>
        <v>50</v>
      </c>
      <c r="C15" s="84">
        <f>IF($A15&gt;n,-999,+'Pollutant Annual Calibration'!D15)</f>
        <v>50.198524271844661</v>
      </c>
      <c r="D15" s="70"/>
      <c r="E15" s="70"/>
      <c r="F15" s="71"/>
      <c r="G15" s="72"/>
      <c r="H15" s="72"/>
      <c r="I15" s="73">
        <f>IF(A15&gt;n,+I14,+C15-('Pollutant Annual Calibration'!$K$27+'Pollutant Annual Calibration'!$K$28*B15))</f>
        <v>5.190566077578751E-2</v>
      </c>
      <c r="J15" s="74"/>
      <c r="K15" s="75"/>
      <c r="L15" s="75"/>
      <c r="M15" s="76">
        <f>IF(A15&gt;n,M14,+C15-('Pollutant Annual Calibration'!$U$30+B15*'Pollutant Annual Calibration'!$U$31+B15^2*'Pollutant Annual Calibration'!$U$32))</f>
        <v>5.142047860959309E-2</v>
      </c>
      <c r="N15" s="77"/>
      <c r="O15" s="78"/>
      <c r="P15" s="78"/>
      <c r="Q15" s="79">
        <f>IF(A15&gt;n,Q14,+C15-('Pollutant Annual Calibration'!$AD$30+B15*'Pollutant Annual Calibration'!$AD$31+B15^2*'Pollutant Annual Calibration'!$AD$32+B15^3*'Pollutant Annual Calibration'!$AD$33))</f>
        <v>-3.4953585621956051E-2</v>
      </c>
      <c r="R15" s="80"/>
      <c r="S15" s="81"/>
      <c r="T15" s="81"/>
      <c r="U15" s="82">
        <f>IF(A15&gt;n,+U14,+C15-('Pollutant Annual Calibration'!$BI$26+B15*'Pollutant Annual Calibration'!$BI$27+B15^2*'Pollutant Annual Calibration'!$BI$28+B15^3*'Pollutant Annual Calibration'!$BI$29+B15^4*'Pollutant Annual Calibration'!$BI$30))</f>
        <v>8.3264299632901384E-7</v>
      </c>
    </row>
    <row r="16" spans="1:21" ht="18" customHeight="1" x14ac:dyDescent="0.2">
      <c r="A16" s="83">
        <v>5</v>
      </c>
      <c r="B16" s="70">
        <f>IF($A16&gt;n,-999,+'Pollutant Annual Calibration'!C16)</f>
        <v>40</v>
      </c>
      <c r="C16" s="84">
        <f>IF($A16&gt;n,-999,+'Pollutant Annual Calibration'!D16)</f>
        <v>40.026208333333329</v>
      </c>
      <c r="D16" s="70"/>
      <c r="E16" s="70"/>
      <c r="F16" s="71"/>
      <c r="G16" s="72"/>
      <c r="H16" s="72"/>
      <c r="I16" s="73">
        <f>IF(A16&gt;n,+I15,+C16-('Pollutant Annual Calibration'!$K$27+'Pollutant Annual Calibration'!$K$28*B16))</f>
        <v>-3.2804022655227527E-2</v>
      </c>
      <c r="J16" s="74"/>
      <c r="K16" s="75"/>
      <c r="L16" s="75"/>
      <c r="M16" s="76">
        <f>IF(A16&gt;n,M15,+C16-('Pollutant Annual Calibration'!$U$30+B16*'Pollutant Annual Calibration'!$U$31+B16^2*'Pollutant Annual Calibration'!$U$32))</f>
        <v>-3.1974208369319967E-2</v>
      </c>
      <c r="N16" s="77"/>
      <c r="O16" s="78"/>
      <c r="P16" s="78"/>
      <c r="Q16" s="79">
        <f>IF(A16&gt;n,Q15,+C16-('Pollutant Annual Calibration'!$AD$30+B16*'Pollutant Annual Calibration'!$AD$31+B16^2*'Pollutant Annual Calibration'!$AD$32+B16^3*'Pollutant Annual Calibration'!$AD$33))</f>
        <v>8.5850899605475206E-3</v>
      </c>
      <c r="R16" s="80"/>
      <c r="S16" s="81"/>
      <c r="T16" s="81"/>
      <c r="U16" s="82">
        <f>IF(A16&gt;n,+U15,+C16-('Pollutant Annual Calibration'!$BI$26+B16*'Pollutant Annual Calibration'!$BI$27+B16^2*'Pollutant Annual Calibration'!$BI$28+B16^3*'Pollutant Annual Calibration'!$BI$29+B16^4*'Pollutant Annual Calibration'!$BI$30))</f>
        <v>5.2997768307250226E-7</v>
      </c>
    </row>
    <row r="17" spans="1:21" ht="18" customHeight="1" x14ac:dyDescent="0.2">
      <c r="A17" s="83">
        <v>6</v>
      </c>
      <c r="B17" s="70">
        <f>IF($A17&gt;n,-999,+'Pollutant Annual Calibration'!C17)</f>
        <v>-999</v>
      </c>
      <c r="C17" s="84">
        <f>IF($A17&gt;n,-999,+'Pollutant Annual Calibration'!D17)</f>
        <v>-999</v>
      </c>
      <c r="D17" s="70"/>
      <c r="E17" s="70"/>
      <c r="F17" s="71"/>
      <c r="G17" s="72"/>
      <c r="H17" s="72"/>
      <c r="I17" s="73">
        <f>IF(A17&gt;n,+I16,+C17-('Pollutant Annual Calibration'!$K$27+'Pollutant Annual Calibration'!$K$28*B17))</f>
        <v>-3.2804022655227527E-2</v>
      </c>
      <c r="J17" s="74"/>
      <c r="K17" s="75"/>
      <c r="L17" s="75"/>
      <c r="M17" s="76">
        <f>IF(A17&gt;n,M16,+C17-('Pollutant Annual Calibration'!$U$30+B17*'Pollutant Annual Calibration'!$U$31+B17^2*'Pollutant Annual Calibration'!$U$32))</f>
        <v>-3.1974208369319967E-2</v>
      </c>
      <c r="N17" s="77"/>
      <c r="O17" s="78"/>
      <c r="P17" s="78"/>
      <c r="Q17" s="79">
        <f>IF(A17&gt;n,Q16,+C17-('Pollutant Annual Calibration'!$AD$30+B17*'Pollutant Annual Calibration'!$AD$31+B17^2*'Pollutant Annual Calibration'!$AD$32+B17^3*'Pollutant Annual Calibration'!$AD$33))</f>
        <v>8.5850899605475206E-3</v>
      </c>
      <c r="R17" s="80"/>
      <c r="S17" s="81"/>
      <c r="T17" s="81"/>
      <c r="U17" s="82">
        <f>IF(A17&gt;n,+U16,+C17-('Pollutant Annual Calibration'!$BI$26+B17*'Pollutant Annual Calibration'!$BI$27+B17^2*'Pollutant Annual Calibration'!$BI$28+B17^3*'Pollutant Annual Calibration'!$BI$29+B17^4*'Pollutant Annual Calibration'!$BI$30))</f>
        <v>5.2997768307250226E-7</v>
      </c>
    </row>
    <row r="18" spans="1:21" ht="18" customHeight="1" x14ac:dyDescent="0.2">
      <c r="A18" s="83">
        <v>7</v>
      </c>
      <c r="B18" s="70">
        <f>IF($A18&gt;n,-999,+'Pollutant Annual Calibration'!C18)</f>
        <v>-999</v>
      </c>
      <c r="C18" s="84">
        <f>IF($A18&gt;n,-999,+'Pollutant Annual Calibration'!D18)</f>
        <v>-999</v>
      </c>
      <c r="D18" s="70"/>
      <c r="E18" s="70"/>
      <c r="F18" s="71"/>
      <c r="G18" s="72"/>
      <c r="H18" s="72"/>
      <c r="I18" s="73">
        <f>IF(A18&gt;n,+I17,+C18-('Pollutant Annual Calibration'!$K$27+'Pollutant Annual Calibration'!$K$28*B18))</f>
        <v>-3.2804022655227527E-2</v>
      </c>
      <c r="J18" s="74"/>
      <c r="K18" s="75"/>
      <c r="L18" s="75"/>
      <c r="M18" s="76">
        <f>IF(A18&gt;n,M17,+C18-('Pollutant Annual Calibration'!$U$30+B18*'Pollutant Annual Calibration'!$U$31+B18^2*'Pollutant Annual Calibration'!$U$32))</f>
        <v>-3.1974208369319967E-2</v>
      </c>
      <c r="N18" s="77"/>
      <c r="O18" s="78"/>
      <c r="P18" s="78"/>
      <c r="Q18" s="79">
        <f>IF(A18&gt;n,Q17,+C18-('Pollutant Annual Calibration'!$AD$30+B18*'Pollutant Annual Calibration'!$AD$31+B18^2*'Pollutant Annual Calibration'!$AD$32+B18^3*'Pollutant Annual Calibration'!$AD$33))</f>
        <v>8.5850899605475206E-3</v>
      </c>
      <c r="R18" s="80"/>
      <c r="S18" s="81"/>
      <c r="T18" s="81"/>
      <c r="U18" s="82">
        <f>IF(A18&gt;n,+U17,+C18-('Pollutant Annual Calibration'!$BI$26+B18*'Pollutant Annual Calibration'!$BI$27+B18^2*'Pollutant Annual Calibration'!$BI$28+B18^3*'Pollutant Annual Calibration'!$BI$29+B18^4*'Pollutant Annual Calibration'!$BI$30))</f>
        <v>5.2997768307250226E-7</v>
      </c>
    </row>
    <row r="19" spans="1:21" ht="18" customHeight="1" x14ac:dyDescent="0.2">
      <c r="A19" s="83">
        <v>8</v>
      </c>
      <c r="B19" s="70">
        <f>IF($A19&gt;n,-999,+'Pollutant Annual Calibration'!C19)</f>
        <v>-999</v>
      </c>
      <c r="C19" s="84">
        <f>IF($A19&gt;n,-999,+'Pollutant Annual Calibration'!D19)</f>
        <v>-999</v>
      </c>
      <c r="D19" s="70"/>
      <c r="E19" s="70"/>
      <c r="F19" s="71"/>
      <c r="G19" s="72"/>
      <c r="H19" s="72"/>
      <c r="I19" s="73">
        <f>IF(A19&gt;n,+I18,+C19-('Pollutant Annual Calibration'!$K$27+'Pollutant Annual Calibration'!$K$28*B19))</f>
        <v>-3.2804022655227527E-2</v>
      </c>
      <c r="J19" s="74"/>
      <c r="K19" s="75"/>
      <c r="L19" s="75"/>
      <c r="M19" s="76">
        <f>IF(A19&gt;n,M18,+C19-('Pollutant Annual Calibration'!$U$30+B19*'Pollutant Annual Calibration'!$U$31+B19^2*'Pollutant Annual Calibration'!$U$32))</f>
        <v>-3.1974208369319967E-2</v>
      </c>
      <c r="N19" s="77"/>
      <c r="O19" s="78"/>
      <c r="P19" s="78"/>
      <c r="Q19" s="79">
        <f>IF(A19&gt;n,Q18,+C19-('Pollutant Annual Calibration'!$AD$30+B19*'Pollutant Annual Calibration'!$AD$31+B19^2*'Pollutant Annual Calibration'!$AD$32+B19^3*'Pollutant Annual Calibration'!$AD$33))</f>
        <v>8.5850899605475206E-3</v>
      </c>
      <c r="R19" s="80"/>
      <c r="S19" s="81"/>
      <c r="T19" s="81"/>
      <c r="U19" s="82">
        <f>IF(A19&gt;n,+U18,+C19-('Pollutant Annual Calibration'!$BI$26+B19*'Pollutant Annual Calibration'!$BI$27+B19^2*'Pollutant Annual Calibration'!$BI$28+B19^3*'Pollutant Annual Calibration'!$BI$29+B19^4*'Pollutant Annual Calibration'!$BI$30))</f>
        <v>5.2997768307250226E-7</v>
      </c>
    </row>
    <row r="20" spans="1:21" ht="18" customHeight="1" x14ac:dyDescent="0.2">
      <c r="A20" s="83">
        <v>9</v>
      </c>
      <c r="B20" s="70">
        <f>IF($A20&gt;n,-999,+'Pollutant Annual Calibration'!C20)</f>
        <v>-999</v>
      </c>
      <c r="C20" s="84">
        <f>IF($A20&gt;n,-999,+'Pollutant Annual Calibration'!D20)</f>
        <v>-999</v>
      </c>
      <c r="D20" s="70"/>
      <c r="E20" s="70"/>
      <c r="F20" s="71"/>
      <c r="G20" s="72"/>
      <c r="H20" s="72"/>
      <c r="I20" s="73">
        <f>IF(A20&gt;n,+I19,+C20-('Pollutant Annual Calibration'!$K$27+'Pollutant Annual Calibration'!$K$28*B20))</f>
        <v>-3.2804022655227527E-2</v>
      </c>
      <c r="J20" s="74"/>
      <c r="K20" s="75"/>
      <c r="L20" s="75"/>
      <c r="M20" s="76">
        <f>IF(A20&gt;n,M19,+C20-('Pollutant Annual Calibration'!$U$30+B20*'Pollutant Annual Calibration'!$U$31+B20^2*'Pollutant Annual Calibration'!$U$32))</f>
        <v>-3.1974208369319967E-2</v>
      </c>
      <c r="N20" s="77"/>
      <c r="O20" s="78"/>
      <c r="P20" s="78"/>
      <c r="Q20" s="79">
        <f>IF(A20&gt;n,Q19,+C20-('Pollutant Annual Calibration'!$AD$30+B20*'Pollutant Annual Calibration'!$AD$31+B20^2*'Pollutant Annual Calibration'!$AD$32+B20^3*'Pollutant Annual Calibration'!$AD$33))</f>
        <v>8.5850899605475206E-3</v>
      </c>
      <c r="R20" s="80"/>
      <c r="S20" s="81"/>
      <c r="T20" s="81"/>
      <c r="U20" s="82">
        <f>IF(A20&gt;n,+U19,+C20-('Pollutant Annual Calibration'!$BI$26+B20*'Pollutant Annual Calibration'!$BI$27+B20^2*'Pollutant Annual Calibration'!$BI$28+B20^3*'Pollutant Annual Calibration'!$BI$29+B20^4*'Pollutant Annual Calibration'!$BI$30))</f>
        <v>5.2997768307250226E-7</v>
      </c>
    </row>
    <row r="21" spans="1:21" ht="18" customHeight="1" x14ac:dyDescent="0.2">
      <c r="A21" s="83">
        <v>10</v>
      </c>
      <c r="B21" s="70">
        <f>IF($A21&gt;n,-999,+'Pollutant Annual Calibration'!C21)</f>
        <v>-999</v>
      </c>
      <c r="C21" s="84">
        <f>IF($A21&gt;n,-999,+'Pollutant Annual Calibration'!D21)</f>
        <v>-999</v>
      </c>
      <c r="D21" s="70"/>
      <c r="E21" s="70"/>
      <c r="F21" s="71"/>
      <c r="G21" s="72"/>
      <c r="H21" s="72"/>
      <c r="I21" s="73">
        <f>IF(A21&gt;n,+I20,+C21-('Pollutant Annual Calibration'!$K$27+'Pollutant Annual Calibration'!$K$28*B21))</f>
        <v>-3.2804022655227527E-2</v>
      </c>
      <c r="J21" s="74"/>
      <c r="K21" s="75"/>
      <c r="L21" s="75"/>
      <c r="M21" s="76">
        <f>IF(A21&gt;n,M20,+C21-('Pollutant Annual Calibration'!$U$30+B21*'Pollutant Annual Calibration'!$U$31+B21^2*'Pollutant Annual Calibration'!$U$32))</f>
        <v>-3.1974208369319967E-2</v>
      </c>
      <c r="N21" s="77"/>
      <c r="O21" s="78"/>
      <c r="P21" s="78"/>
      <c r="Q21" s="79">
        <f>IF(A21&gt;n,Q20,+C21-('Pollutant Annual Calibration'!$AD$30+B21*'Pollutant Annual Calibration'!$AD$31+B21^2*'Pollutant Annual Calibration'!$AD$32+B21^3*'Pollutant Annual Calibration'!$AD$33))</f>
        <v>8.5850899605475206E-3</v>
      </c>
      <c r="R21" s="80"/>
      <c r="S21" s="81"/>
      <c r="T21" s="81"/>
      <c r="U21" s="82">
        <f>IF(A21&gt;n,+U20,+C21-('Pollutant Annual Calibration'!$BI$26+B21*'Pollutant Annual Calibration'!$BI$27+B21^2*'Pollutant Annual Calibration'!$BI$28+B21^3*'Pollutant Annual Calibration'!$BI$29+B21^4*'Pollutant Annual Calibration'!$BI$30))</f>
        <v>5.2997768307250226E-7</v>
      </c>
    </row>
    <row r="22" spans="1:21" ht="18" customHeight="1" x14ac:dyDescent="0.2">
      <c r="A22" s="83">
        <v>11</v>
      </c>
      <c r="B22" s="70">
        <f>IF($A22&gt;n,-999,+'Pollutant Annual Calibration'!C22)</f>
        <v>-999</v>
      </c>
      <c r="C22" s="84">
        <f>IF($A22&gt;n,-999,+'Pollutant Annual Calibration'!D22)</f>
        <v>-999</v>
      </c>
      <c r="D22" s="70"/>
      <c r="E22" s="70"/>
      <c r="F22" s="71"/>
      <c r="G22" s="72"/>
      <c r="H22" s="72"/>
      <c r="I22" s="73">
        <f>IF(A22&gt;n,+I21,+C22-('Pollutant Annual Calibration'!$K$27+'Pollutant Annual Calibration'!$K$28*B22))</f>
        <v>-3.2804022655227527E-2</v>
      </c>
      <c r="J22" s="74"/>
      <c r="K22" s="75"/>
      <c r="L22" s="75"/>
      <c r="M22" s="76">
        <f>IF(A22&gt;n,M21,+C22-('Pollutant Annual Calibration'!$U$30+B22*'Pollutant Annual Calibration'!$U$31+B22^2*'Pollutant Annual Calibration'!$U$32))</f>
        <v>-3.1974208369319967E-2</v>
      </c>
      <c r="N22" s="77"/>
      <c r="O22" s="78"/>
      <c r="P22" s="78"/>
      <c r="Q22" s="79">
        <f>IF(A22&gt;n,Q21,+C22-('Pollutant Annual Calibration'!$AD$30+B22*'Pollutant Annual Calibration'!$AD$31+B22^2*'Pollutant Annual Calibration'!$AD$32+B22^3*'Pollutant Annual Calibration'!$AD$33))</f>
        <v>8.5850899605475206E-3</v>
      </c>
      <c r="R22" s="80"/>
      <c r="S22" s="81"/>
      <c r="T22" s="81"/>
      <c r="U22" s="82">
        <f>IF(A22&gt;n,+U21,+C22-('Pollutant Annual Calibration'!$BI$26+B22*'Pollutant Annual Calibration'!$BI$27+B22^2*'Pollutant Annual Calibration'!$BI$28+B22^3*'Pollutant Annual Calibration'!$BI$29+B22^4*'Pollutant Annual Calibration'!$BI$30))</f>
        <v>5.2997768307250226E-7</v>
      </c>
    </row>
    <row r="23" spans="1:21" ht="18" customHeight="1" x14ac:dyDescent="0.2">
      <c r="A23" s="83">
        <v>12</v>
      </c>
      <c r="B23" s="70">
        <f>IF($A23&gt;n,-999,+'Pollutant Annual Calibration'!C23)</f>
        <v>-999</v>
      </c>
      <c r="C23" s="84">
        <f>IF($A23&gt;n,-999,+'Pollutant Annual Calibration'!D23)</f>
        <v>-999</v>
      </c>
      <c r="D23" s="70"/>
      <c r="E23" s="70"/>
      <c r="F23" s="71"/>
      <c r="G23" s="72"/>
      <c r="H23" s="72"/>
      <c r="I23" s="73">
        <f>IF(A23&gt;n,+I22,+C23-('Pollutant Annual Calibration'!$K$27+'Pollutant Annual Calibration'!$K$28*B23))</f>
        <v>-3.2804022655227527E-2</v>
      </c>
      <c r="J23" s="74"/>
      <c r="K23" s="75"/>
      <c r="L23" s="75"/>
      <c r="M23" s="76">
        <f>IF(A23&gt;n,M22,+C23-('Pollutant Annual Calibration'!$U$30+B23*'Pollutant Annual Calibration'!$U$31+B23^2*'Pollutant Annual Calibration'!$U$32))</f>
        <v>-3.1974208369319967E-2</v>
      </c>
      <c r="N23" s="77"/>
      <c r="O23" s="78"/>
      <c r="P23" s="78"/>
      <c r="Q23" s="79">
        <f>IF(A23&gt;n,Q22,+C23-('Pollutant Annual Calibration'!$AD$30+B23*'Pollutant Annual Calibration'!$AD$31+B23^2*'Pollutant Annual Calibration'!$AD$32+B23^3*'Pollutant Annual Calibration'!$AD$33))</f>
        <v>8.5850899605475206E-3</v>
      </c>
      <c r="R23" s="80"/>
      <c r="S23" s="81"/>
      <c r="T23" s="81"/>
      <c r="U23" s="82">
        <f>IF(A23&gt;n,+U22,+C23-('Pollutant Annual Calibration'!$BI$26+B23*'Pollutant Annual Calibration'!$BI$27+B23^2*'Pollutant Annual Calibration'!$BI$28+B23^3*'Pollutant Annual Calibration'!$BI$29+B23^4*'Pollutant Annual Calibration'!$BI$30))</f>
        <v>5.2997768307250226E-7</v>
      </c>
    </row>
    <row r="24" spans="1:21" ht="18" customHeight="1" x14ac:dyDescent="0.2">
      <c r="A24" s="83">
        <v>13</v>
      </c>
      <c r="B24" s="70">
        <f>IF($A24&gt;n,-999,+'Pollutant Annual Calibration'!C24)</f>
        <v>-999</v>
      </c>
      <c r="C24" s="84">
        <f>IF($A24&gt;n,-999,+'Pollutant Annual Calibration'!D24)</f>
        <v>-999</v>
      </c>
      <c r="D24" s="70"/>
      <c r="E24" s="70"/>
      <c r="F24" s="71"/>
      <c r="G24" s="72"/>
      <c r="H24" s="72"/>
      <c r="I24" s="73">
        <f>IF(A24&gt;n,+I23,+C24-('Pollutant Annual Calibration'!$K$27+'Pollutant Annual Calibration'!$K$28*B24))</f>
        <v>-3.2804022655227527E-2</v>
      </c>
      <c r="J24" s="74"/>
      <c r="K24" s="75"/>
      <c r="L24" s="75"/>
      <c r="M24" s="76">
        <f>IF(A24&gt;n,M23,+C24-('Pollutant Annual Calibration'!$U$30+B24*'Pollutant Annual Calibration'!$U$31+B24^2*'Pollutant Annual Calibration'!$U$32))</f>
        <v>-3.1974208369319967E-2</v>
      </c>
      <c r="N24" s="77"/>
      <c r="O24" s="78"/>
      <c r="P24" s="78"/>
      <c r="Q24" s="79">
        <f>IF(A24&gt;n,Q23,+C24-('Pollutant Annual Calibration'!$AD$30+B24*'Pollutant Annual Calibration'!$AD$31+B24^2*'Pollutant Annual Calibration'!$AD$32+B24^3*'Pollutant Annual Calibration'!$AD$33))</f>
        <v>8.5850899605475206E-3</v>
      </c>
      <c r="R24" s="80"/>
      <c r="S24" s="81"/>
      <c r="T24" s="81"/>
      <c r="U24" s="82">
        <f>IF(A24&gt;n,+U23,+C24-('Pollutant Annual Calibration'!$BI$26+B24*'Pollutant Annual Calibration'!$BI$27+B24^2*'Pollutant Annual Calibration'!$BI$28+B24^3*'Pollutant Annual Calibration'!$BI$29+B24^4*'Pollutant Annual Calibration'!$BI$30))</f>
        <v>5.2997768307250226E-7</v>
      </c>
    </row>
    <row r="25" spans="1:21" ht="18" customHeight="1" x14ac:dyDescent="0.2">
      <c r="A25" s="83">
        <v>14</v>
      </c>
      <c r="B25" s="70">
        <f>IF($A25&gt;n,-999,+'Pollutant Annual Calibration'!C25)</f>
        <v>-999</v>
      </c>
      <c r="C25" s="84">
        <f>IF($A25&gt;n,-999,+'Pollutant Annual Calibration'!D25)</f>
        <v>-999</v>
      </c>
      <c r="D25" s="70"/>
      <c r="E25" s="70"/>
      <c r="F25" s="71"/>
      <c r="G25" s="72"/>
      <c r="H25" s="72"/>
      <c r="I25" s="73">
        <f>IF(A25&gt;n,+I24,+C25-('Pollutant Annual Calibration'!$K$27+'Pollutant Annual Calibration'!$K$28*B25))</f>
        <v>-3.2804022655227527E-2</v>
      </c>
      <c r="J25" s="74"/>
      <c r="K25" s="75"/>
      <c r="L25" s="75"/>
      <c r="M25" s="76">
        <f>IF(A25&gt;n,M24,+C25-('Pollutant Annual Calibration'!$U$30+B25*'Pollutant Annual Calibration'!$U$31+B25^2*'Pollutant Annual Calibration'!$U$32))</f>
        <v>-3.1974208369319967E-2</v>
      </c>
      <c r="N25" s="77"/>
      <c r="O25" s="78"/>
      <c r="P25" s="78"/>
      <c r="Q25" s="79">
        <f>IF(A25&gt;n,Q24,+C25-('Pollutant Annual Calibration'!$AD$30+B25*'Pollutant Annual Calibration'!$AD$31+B25^2*'Pollutant Annual Calibration'!$AD$32+B25^3*'Pollutant Annual Calibration'!$AD$33))</f>
        <v>8.5850899605475206E-3</v>
      </c>
      <c r="R25" s="80"/>
      <c r="S25" s="81"/>
      <c r="T25" s="81"/>
      <c r="U25" s="82">
        <f>IF(A25&gt;n,+U24,+C25-('Pollutant Annual Calibration'!$BI$26+B25*'Pollutant Annual Calibration'!$BI$27+B25^2*'Pollutant Annual Calibration'!$BI$28+B25^3*'Pollutant Annual Calibration'!$BI$29+B25^4*'Pollutant Annual Calibration'!$BI$30))</f>
        <v>5.2997768307250226E-7</v>
      </c>
    </row>
    <row r="26" spans="1:21" ht="18" customHeight="1" x14ac:dyDescent="0.2">
      <c r="A26" s="83">
        <v>15</v>
      </c>
      <c r="B26" s="70">
        <f>IF($A26&gt;n,-999,+'Pollutant Annual Calibration'!C26)</f>
        <v>-999</v>
      </c>
      <c r="C26" s="84">
        <f>IF($A26&gt;n,-999,+'Pollutant Annual Calibration'!D26)</f>
        <v>-999</v>
      </c>
      <c r="D26" s="70"/>
      <c r="E26" s="70"/>
      <c r="F26" s="71"/>
      <c r="G26" s="72"/>
      <c r="H26" s="72"/>
      <c r="I26" s="73">
        <f>IF(A26&gt;n,+I25,+C26-('Pollutant Annual Calibration'!$K$27+'Pollutant Annual Calibration'!$K$28*B26))</f>
        <v>-3.2804022655227527E-2</v>
      </c>
      <c r="J26" s="74"/>
      <c r="K26" s="75"/>
      <c r="L26" s="75"/>
      <c r="M26" s="76">
        <f>IF(A26&gt;n,M25,+C26-('Pollutant Annual Calibration'!$U$30+B26*'Pollutant Annual Calibration'!$U$31+B26^2*'Pollutant Annual Calibration'!$U$32))</f>
        <v>-3.1974208369319967E-2</v>
      </c>
      <c r="N26" s="77"/>
      <c r="O26" s="78"/>
      <c r="P26" s="78"/>
      <c r="Q26" s="79">
        <f>IF(A26&gt;n,Q25,+C26-('Pollutant Annual Calibration'!$AD$30+B26*'Pollutant Annual Calibration'!$AD$31+B26^2*'Pollutant Annual Calibration'!$AD$32+B26^3*'Pollutant Annual Calibration'!$AD$33))</f>
        <v>8.5850899605475206E-3</v>
      </c>
      <c r="R26" s="80"/>
      <c r="S26" s="81"/>
      <c r="T26" s="81"/>
      <c r="U26" s="82">
        <f>IF(A26&gt;n,+U25,+C26-('Pollutant Annual Calibration'!$BI$26+B26*'Pollutant Annual Calibration'!$BI$27+B26^2*'Pollutant Annual Calibration'!$BI$28+B26^3*'Pollutant Annual Calibration'!$BI$29+B26^4*'Pollutant Annual Calibration'!$BI$30))</f>
        <v>5.2997768307250226E-7</v>
      </c>
    </row>
    <row r="27" spans="1:21" ht="18" customHeight="1" x14ac:dyDescent="0.2">
      <c r="A27" s="83">
        <v>16</v>
      </c>
      <c r="B27" s="70">
        <f>IF($A27&gt;n,-999,+'Pollutant Annual Calibration'!C27)</f>
        <v>-999</v>
      </c>
      <c r="C27" s="84">
        <f>IF($A27&gt;n,-999,+'Pollutant Annual Calibration'!D27)</f>
        <v>-999</v>
      </c>
      <c r="D27" s="70"/>
      <c r="E27" s="70"/>
      <c r="F27" s="71"/>
      <c r="G27" s="72"/>
      <c r="H27" s="72"/>
      <c r="I27" s="73">
        <f>IF(A27&gt;n,+I26,+C27-('Pollutant Annual Calibration'!$K$27+'Pollutant Annual Calibration'!$K$28*B27))</f>
        <v>-3.2804022655227527E-2</v>
      </c>
      <c r="J27" s="74"/>
      <c r="K27" s="75"/>
      <c r="L27" s="75"/>
      <c r="M27" s="76">
        <f>IF(A27&gt;n,M26,+C27-('Pollutant Annual Calibration'!$U$30+B27*'Pollutant Annual Calibration'!$U$31+B27^2*'Pollutant Annual Calibration'!$U$32))</f>
        <v>-3.1974208369319967E-2</v>
      </c>
      <c r="N27" s="77"/>
      <c r="O27" s="78"/>
      <c r="P27" s="78"/>
      <c r="Q27" s="79">
        <f>IF(A27&gt;n,Q26,+C27-('Pollutant Annual Calibration'!$AD$30+B27*'Pollutant Annual Calibration'!$AD$31+B27^2*'Pollutant Annual Calibration'!$AD$32+B27^3*'Pollutant Annual Calibration'!$AD$33))</f>
        <v>8.5850899605475206E-3</v>
      </c>
      <c r="R27" s="80"/>
      <c r="S27" s="81"/>
      <c r="T27" s="81"/>
      <c r="U27" s="82">
        <f>IF(A27&gt;n,+U26,+C27-('Pollutant Annual Calibration'!$BI$26+B27*'Pollutant Annual Calibration'!$BI$27+B27^2*'Pollutant Annual Calibration'!$BI$28+B27^3*'Pollutant Annual Calibration'!$BI$29+B27^4*'Pollutant Annual Calibration'!$BI$30))</f>
        <v>5.2997768307250226E-7</v>
      </c>
    </row>
    <row r="28" spans="1:21" ht="18" customHeight="1" x14ac:dyDescent="0.2">
      <c r="A28" s="83">
        <v>17</v>
      </c>
      <c r="B28" s="70">
        <f>IF($A28&gt;n,-999,+'Pollutant Annual Calibration'!C28)</f>
        <v>-999</v>
      </c>
      <c r="C28" s="84">
        <f>IF($A28&gt;n,-999,+'Pollutant Annual Calibration'!D28)</f>
        <v>-999</v>
      </c>
      <c r="D28" s="70"/>
      <c r="E28" s="70"/>
      <c r="F28" s="71"/>
      <c r="G28" s="72"/>
      <c r="H28" s="72"/>
      <c r="I28" s="73">
        <f>IF(A28&gt;n,+I27,+C28-('Pollutant Annual Calibration'!$K$27+'Pollutant Annual Calibration'!$K$28*B28))</f>
        <v>-3.2804022655227527E-2</v>
      </c>
      <c r="J28" s="74"/>
      <c r="K28" s="75"/>
      <c r="L28" s="75"/>
      <c r="M28" s="76">
        <f>IF(A28&gt;n,M27,+C28-('Pollutant Annual Calibration'!$U$30+B28*'Pollutant Annual Calibration'!$U$31+B28^2*'Pollutant Annual Calibration'!$U$32))</f>
        <v>-3.1974208369319967E-2</v>
      </c>
      <c r="N28" s="77"/>
      <c r="O28" s="78"/>
      <c r="P28" s="78"/>
      <c r="Q28" s="79">
        <f>IF(A28&gt;n,Q27,+C28-('Pollutant Annual Calibration'!$AD$30+B28*'Pollutant Annual Calibration'!$AD$31+B28^2*'Pollutant Annual Calibration'!$AD$32+B28^3*'Pollutant Annual Calibration'!$AD$33))</f>
        <v>8.5850899605475206E-3</v>
      </c>
      <c r="R28" s="80"/>
      <c r="S28" s="81"/>
      <c r="T28" s="81"/>
      <c r="U28" s="82">
        <f>IF(A28&gt;n,+U27,+C28-('Pollutant Annual Calibration'!$BI$26+B28*'Pollutant Annual Calibration'!$BI$27+B28^2*'Pollutant Annual Calibration'!$BI$28+B28^3*'Pollutant Annual Calibration'!$BI$29+B28^4*'Pollutant Annual Calibration'!$BI$30))</f>
        <v>5.2997768307250226E-7</v>
      </c>
    </row>
    <row r="29" spans="1:21" ht="18" customHeight="1" x14ac:dyDescent="0.2">
      <c r="A29" s="83">
        <v>18</v>
      </c>
      <c r="B29" s="70">
        <f>IF($A29&gt;n,-999,+'Pollutant Annual Calibration'!C29)</f>
        <v>-999</v>
      </c>
      <c r="C29" s="84">
        <f>IF($A29&gt;n,-999,+'Pollutant Annual Calibration'!D29)</f>
        <v>-999</v>
      </c>
      <c r="D29" s="70"/>
      <c r="E29" s="70"/>
      <c r="F29" s="71"/>
      <c r="G29" s="72"/>
      <c r="H29" s="72"/>
      <c r="I29" s="73">
        <f>IF(A29&gt;n,+I28,+C29-('Pollutant Annual Calibration'!$K$27+'Pollutant Annual Calibration'!$K$28*B29))</f>
        <v>-3.2804022655227527E-2</v>
      </c>
      <c r="J29" s="74"/>
      <c r="K29" s="75"/>
      <c r="L29" s="75"/>
      <c r="M29" s="76">
        <f>IF(A29&gt;n,M28,+C29-('Pollutant Annual Calibration'!$U$30+B29*'Pollutant Annual Calibration'!$U$31+B29^2*'Pollutant Annual Calibration'!$U$32))</f>
        <v>-3.1974208369319967E-2</v>
      </c>
      <c r="N29" s="77"/>
      <c r="O29" s="78"/>
      <c r="P29" s="78"/>
      <c r="Q29" s="79">
        <f>IF(A29&gt;n,Q28,+C29-('Pollutant Annual Calibration'!$AD$30+B29*'Pollutant Annual Calibration'!$AD$31+B29^2*'Pollutant Annual Calibration'!$AD$32+B29^3*'Pollutant Annual Calibration'!$AD$33))</f>
        <v>8.5850899605475206E-3</v>
      </c>
      <c r="R29" s="80"/>
      <c r="S29" s="81"/>
      <c r="T29" s="81"/>
      <c r="U29" s="82">
        <f>IF(A29&gt;n,+U28,+C29-('Pollutant Annual Calibration'!$BI$26+B29*'Pollutant Annual Calibration'!$BI$27+B29^2*'Pollutant Annual Calibration'!$BI$28+B29^3*'Pollutant Annual Calibration'!$BI$29+B29^4*'Pollutant Annual Calibration'!$BI$30))</f>
        <v>5.2997768307250226E-7</v>
      </c>
    </row>
    <row r="30" spans="1:21" ht="18" customHeight="1" x14ac:dyDescent="0.2">
      <c r="A30" s="83">
        <v>19</v>
      </c>
      <c r="B30" s="70">
        <f>IF($A30&gt;n,-999,+'Pollutant Annual Calibration'!C30)</f>
        <v>-999</v>
      </c>
      <c r="C30" s="84">
        <f>IF($A30&gt;n,-999,+'Pollutant Annual Calibration'!D30)</f>
        <v>-999</v>
      </c>
      <c r="D30" s="70"/>
      <c r="E30" s="70"/>
      <c r="F30" s="71"/>
      <c r="G30" s="72"/>
      <c r="H30" s="72"/>
      <c r="I30" s="73">
        <f>IF(A30&gt;n,+I29,+C30-('Pollutant Annual Calibration'!$K$27+'Pollutant Annual Calibration'!$K$28*B30))</f>
        <v>-3.2804022655227527E-2</v>
      </c>
      <c r="J30" s="74"/>
      <c r="K30" s="75"/>
      <c r="L30" s="75"/>
      <c r="M30" s="76">
        <f>IF(A30&gt;n,M29,+C30-('Pollutant Annual Calibration'!$U$30+B30*'Pollutant Annual Calibration'!$U$31+B30^2*'Pollutant Annual Calibration'!$U$32))</f>
        <v>-3.1974208369319967E-2</v>
      </c>
      <c r="N30" s="77"/>
      <c r="O30" s="78"/>
      <c r="P30" s="78"/>
      <c r="Q30" s="79">
        <f>IF(A30&gt;n,Q29,+C30-('Pollutant Annual Calibration'!$AD$30+B30*'Pollutant Annual Calibration'!$AD$31+B30^2*'Pollutant Annual Calibration'!$AD$32+B30^3*'Pollutant Annual Calibration'!$AD$33))</f>
        <v>8.5850899605475206E-3</v>
      </c>
      <c r="R30" s="80"/>
      <c r="S30" s="81"/>
      <c r="T30" s="81"/>
      <c r="U30" s="82">
        <f>IF(A30&gt;n,+U29,+C30-('Pollutant Annual Calibration'!$BI$26+B30*'Pollutant Annual Calibration'!$BI$27+B30^2*'Pollutant Annual Calibration'!$BI$28+B30^3*'Pollutant Annual Calibration'!$BI$29+B30^4*'Pollutant Annual Calibration'!$BI$30))</f>
        <v>5.2997768307250226E-7</v>
      </c>
    </row>
    <row r="31" spans="1:21" ht="18" customHeight="1" x14ac:dyDescent="0.2">
      <c r="A31" s="83">
        <v>20</v>
      </c>
      <c r="B31" s="70">
        <f>IF($A31&gt;n,-999,+'Pollutant Annual Calibration'!C31)</f>
        <v>-999</v>
      </c>
      <c r="C31" s="84">
        <f>IF($A31&gt;n,-999,+'Pollutant Annual Calibration'!D31)</f>
        <v>-999</v>
      </c>
      <c r="D31" s="70"/>
      <c r="E31" s="70"/>
      <c r="F31" s="71"/>
      <c r="G31" s="72"/>
      <c r="H31" s="72"/>
      <c r="I31" s="73">
        <f>IF(A31&gt;n,+I30,+C31-('Pollutant Annual Calibration'!$K$27+'Pollutant Annual Calibration'!$K$28*B31))</f>
        <v>-3.2804022655227527E-2</v>
      </c>
      <c r="J31" s="74"/>
      <c r="K31" s="75"/>
      <c r="L31" s="75"/>
      <c r="M31" s="76">
        <f>IF(A31&gt;n,M30,+C31-('Pollutant Annual Calibration'!$U$30+B31*'Pollutant Annual Calibration'!$U$31+B31^2*'Pollutant Annual Calibration'!$U$32))</f>
        <v>-3.1974208369319967E-2</v>
      </c>
      <c r="N31" s="77"/>
      <c r="O31" s="78"/>
      <c r="P31" s="78"/>
      <c r="Q31" s="79">
        <f>IF(A31&gt;n,Q30,+C31-('Pollutant Annual Calibration'!$AD$30+B31*'Pollutant Annual Calibration'!$AD$31+B31^2*'Pollutant Annual Calibration'!$AD$32+B31^3*'Pollutant Annual Calibration'!$AD$33))</f>
        <v>8.5850899605475206E-3</v>
      </c>
      <c r="R31" s="80"/>
      <c r="S31" s="81"/>
      <c r="T31" s="81"/>
      <c r="U31" s="82">
        <f>IF(A31&gt;n,+U30,+C31-('Pollutant Annual Calibration'!$BI$26+B31*'Pollutant Annual Calibration'!$BI$27+B31^2*'Pollutant Annual Calibration'!$BI$28+B31^3*'Pollutant Annual Calibration'!$BI$29+B31^4*'Pollutant Annual Calibration'!$BI$30))</f>
        <v>5.2997768307250226E-7</v>
      </c>
    </row>
    <row r="32" spans="1:21" ht="18" customHeight="1" x14ac:dyDescent="0.2">
      <c r="A32" s="83">
        <v>21</v>
      </c>
      <c r="B32" s="70">
        <f>IF($A32&gt;n,-999,+'Pollutant Annual Calibration'!C32)</f>
        <v>-999</v>
      </c>
      <c r="C32" s="84">
        <f>IF($A32&gt;n,-999,+'Pollutant Annual Calibration'!D32)</f>
        <v>-999</v>
      </c>
      <c r="D32" s="70"/>
      <c r="E32" s="70"/>
      <c r="F32" s="71"/>
      <c r="G32" s="72"/>
      <c r="H32" s="72"/>
      <c r="I32" s="73">
        <f>IF(A32&gt;n,+I31,+C32-('Pollutant Annual Calibration'!$K$27+'Pollutant Annual Calibration'!$K$28*B32))</f>
        <v>-3.2804022655227527E-2</v>
      </c>
      <c r="J32" s="74"/>
      <c r="K32" s="75"/>
      <c r="L32" s="75"/>
      <c r="M32" s="76">
        <f>IF(A32&gt;n,M31,+C32-('Pollutant Annual Calibration'!$U$30+B32*'Pollutant Annual Calibration'!$U$31+B32^2*'Pollutant Annual Calibration'!$U$32))</f>
        <v>-3.1974208369319967E-2</v>
      </c>
      <c r="N32" s="77"/>
      <c r="O32" s="78"/>
      <c r="P32" s="78"/>
      <c r="Q32" s="79">
        <f>IF(A32&gt;n,Q31,+C32-('Pollutant Annual Calibration'!$AD$30+B32*'Pollutant Annual Calibration'!$AD$31+B32^2*'Pollutant Annual Calibration'!$AD$32+B32^3*'Pollutant Annual Calibration'!$AD$33))</f>
        <v>8.5850899605475206E-3</v>
      </c>
      <c r="R32" s="80"/>
      <c r="S32" s="81"/>
      <c r="T32" s="81"/>
      <c r="U32" s="82">
        <f>IF(A32&gt;n,+U31,+C32-('Pollutant Annual Calibration'!$BI$26+B32*'Pollutant Annual Calibration'!$BI$27+B32^2*'Pollutant Annual Calibration'!$BI$28+B32^3*'Pollutant Annual Calibration'!$BI$29+B32^4*'Pollutant Annual Calibration'!$BI$30))</f>
        <v>5.2997768307250226E-7</v>
      </c>
    </row>
    <row r="33" spans="1:21" ht="18" customHeight="1" x14ac:dyDescent="0.2">
      <c r="A33" s="83">
        <v>22</v>
      </c>
      <c r="B33" s="70">
        <f>IF($A33&gt;n,-999,+'Pollutant Annual Calibration'!C33)</f>
        <v>-999</v>
      </c>
      <c r="C33" s="84">
        <f>IF($A33&gt;n,-999,+'Pollutant Annual Calibration'!D33)</f>
        <v>-999</v>
      </c>
      <c r="D33" s="70"/>
      <c r="E33" s="70"/>
      <c r="F33" s="71"/>
      <c r="G33" s="72"/>
      <c r="H33" s="72"/>
      <c r="I33" s="73">
        <f>IF(A33&gt;n,+I32,+C33-('Pollutant Annual Calibration'!$K$27+'Pollutant Annual Calibration'!$K$28*B33))</f>
        <v>-3.2804022655227527E-2</v>
      </c>
      <c r="J33" s="74"/>
      <c r="K33" s="75"/>
      <c r="L33" s="75"/>
      <c r="M33" s="76">
        <f>IF(A33&gt;n,M32,+C33-('Pollutant Annual Calibration'!$U$30+B33*'Pollutant Annual Calibration'!$U$31+B33^2*'Pollutant Annual Calibration'!$U$32))</f>
        <v>-3.1974208369319967E-2</v>
      </c>
      <c r="N33" s="77"/>
      <c r="O33" s="78"/>
      <c r="P33" s="78"/>
      <c r="Q33" s="79">
        <f>IF(A33&gt;n,Q32,+C33-('Pollutant Annual Calibration'!$AD$30+B33*'Pollutant Annual Calibration'!$AD$31+B33^2*'Pollutant Annual Calibration'!$AD$32+B33^3*'Pollutant Annual Calibration'!$AD$33))</f>
        <v>8.5850899605475206E-3</v>
      </c>
      <c r="R33" s="80"/>
      <c r="S33" s="81"/>
      <c r="T33" s="81"/>
      <c r="U33" s="82">
        <f>IF(A33&gt;n,+U32,+C33-('Pollutant Annual Calibration'!$BI$26+B33*'Pollutant Annual Calibration'!$BI$27+B33^2*'Pollutant Annual Calibration'!$BI$28+B33^3*'Pollutant Annual Calibration'!$BI$29+B33^4*'Pollutant Annual Calibration'!$BI$30))</f>
        <v>5.2997768307250226E-7</v>
      </c>
    </row>
    <row r="34" spans="1:21" ht="18" customHeight="1" x14ac:dyDescent="0.2">
      <c r="A34" s="83">
        <v>23</v>
      </c>
      <c r="B34" s="70">
        <f>IF($A34&gt;n,-999,+'Pollutant Annual Calibration'!C34)</f>
        <v>-999</v>
      </c>
      <c r="C34" s="84">
        <f>IF($A34&gt;n,-999,+'Pollutant Annual Calibration'!D34)</f>
        <v>-999</v>
      </c>
      <c r="D34" s="70"/>
      <c r="E34" s="70"/>
      <c r="F34" s="71"/>
      <c r="G34" s="72"/>
      <c r="H34" s="72"/>
      <c r="I34" s="73">
        <f>IF(A34&gt;n,+I33,+C34-('Pollutant Annual Calibration'!$K$27+'Pollutant Annual Calibration'!$K$28*B34))</f>
        <v>-3.2804022655227527E-2</v>
      </c>
      <c r="J34" s="74"/>
      <c r="K34" s="75"/>
      <c r="L34" s="75"/>
      <c r="M34" s="76">
        <f>IF(A34&gt;n,M33,+C34-('Pollutant Annual Calibration'!$U$30+B34*'Pollutant Annual Calibration'!$U$31+B34^2*'Pollutant Annual Calibration'!$U$32))</f>
        <v>-3.1974208369319967E-2</v>
      </c>
      <c r="N34" s="77"/>
      <c r="O34" s="78"/>
      <c r="P34" s="78"/>
      <c r="Q34" s="79">
        <f>IF(A34&gt;n,Q33,+C34-('Pollutant Annual Calibration'!$AD$30+B34*'Pollutant Annual Calibration'!$AD$31+B34^2*'Pollutant Annual Calibration'!$AD$32+B34^3*'Pollutant Annual Calibration'!$AD$33))</f>
        <v>8.5850899605475206E-3</v>
      </c>
      <c r="R34" s="80"/>
      <c r="S34" s="81"/>
      <c r="T34" s="81"/>
      <c r="U34" s="82">
        <f>IF(A34&gt;n,+U33,+C34-('Pollutant Annual Calibration'!$BI$26+B34*'Pollutant Annual Calibration'!$BI$27+B34^2*'Pollutant Annual Calibration'!$BI$28+B34^3*'Pollutant Annual Calibration'!$BI$29+B34^4*'Pollutant Annual Calibration'!$BI$30))</f>
        <v>5.2997768307250226E-7</v>
      </c>
    </row>
    <row r="35" spans="1:21" ht="18" customHeight="1" x14ac:dyDescent="0.2">
      <c r="A35" s="83">
        <v>24</v>
      </c>
      <c r="B35" s="70">
        <f>IF($A35&gt;n,-999,+'Pollutant Annual Calibration'!C35)</f>
        <v>-999</v>
      </c>
      <c r="C35" s="84">
        <f>IF($A35&gt;n,-999,+'Pollutant Annual Calibration'!D35)</f>
        <v>-999</v>
      </c>
      <c r="D35" s="70"/>
      <c r="E35" s="70"/>
      <c r="F35" s="71"/>
      <c r="G35" s="72"/>
      <c r="H35" s="72"/>
      <c r="I35" s="73">
        <f>IF(A35&gt;n,+I34,+C35-('Pollutant Annual Calibration'!$K$27+'Pollutant Annual Calibration'!$K$28*B35))</f>
        <v>-3.2804022655227527E-2</v>
      </c>
      <c r="J35" s="74"/>
      <c r="K35" s="75"/>
      <c r="L35" s="75"/>
      <c r="M35" s="76">
        <f>IF(A35&gt;n,M34,+C35-('Pollutant Annual Calibration'!$U$30+B35*'Pollutant Annual Calibration'!$U$31+B35^2*'Pollutant Annual Calibration'!$U$32))</f>
        <v>-3.1974208369319967E-2</v>
      </c>
      <c r="N35" s="77"/>
      <c r="O35" s="78"/>
      <c r="P35" s="78"/>
      <c r="Q35" s="79">
        <f>IF(A35&gt;n,Q34,+C35-('Pollutant Annual Calibration'!$AD$30+B35*'Pollutant Annual Calibration'!$AD$31+B35^2*'Pollutant Annual Calibration'!$AD$32+B35^3*'Pollutant Annual Calibration'!$AD$33))</f>
        <v>8.5850899605475206E-3</v>
      </c>
      <c r="R35" s="80"/>
      <c r="S35" s="81"/>
      <c r="T35" s="81"/>
      <c r="U35" s="82">
        <f>IF(A35&gt;n,+U34,+C35-('Pollutant Annual Calibration'!$BI$26+B35*'Pollutant Annual Calibration'!$BI$27+B35^2*'Pollutant Annual Calibration'!$BI$28+B35^3*'Pollutant Annual Calibration'!$BI$29+B35^4*'Pollutant Annual Calibration'!$BI$30))</f>
        <v>5.2997768307250226E-7</v>
      </c>
    </row>
    <row r="36" spans="1:21" ht="18" customHeight="1" x14ac:dyDescent="0.2">
      <c r="A36" s="83">
        <v>25</v>
      </c>
      <c r="B36" s="70">
        <f>IF($A36&gt;n,-999,+'Pollutant Annual Calibration'!C36)</f>
        <v>-999</v>
      </c>
      <c r="C36" s="84">
        <f>IF($A36&gt;n,-999,+'Pollutant Annual Calibration'!D36)</f>
        <v>-999</v>
      </c>
      <c r="D36" s="70"/>
      <c r="E36" s="70"/>
      <c r="F36" s="71"/>
      <c r="G36" s="72"/>
      <c r="H36" s="72"/>
      <c r="I36" s="73">
        <f>IF(A36&gt;n,+I35,+C36-('Pollutant Annual Calibration'!$K$27+'Pollutant Annual Calibration'!$K$28*B36))</f>
        <v>-3.2804022655227527E-2</v>
      </c>
      <c r="J36" s="74"/>
      <c r="K36" s="75"/>
      <c r="L36" s="75"/>
      <c r="M36" s="76">
        <f>IF(A36&gt;n,M35,+C36-('Pollutant Annual Calibration'!$U$30+B36*'Pollutant Annual Calibration'!$U$31+B36^2*'Pollutant Annual Calibration'!$U$32))</f>
        <v>-3.1974208369319967E-2</v>
      </c>
      <c r="N36" s="77"/>
      <c r="O36" s="78"/>
      <c r="P36" s="78"/>
      <c r="Q36" s="79">
        <f>IF(A36&gt;n,Q35,+C36-('Pollutant Annual Calibration'!$AD$30+B36*'Pollutant Annual Calibration'!$AD$31+B36^2*'Pollutant Annual Calibration'!$AD$32+B36^3*'Pollutant Annual Calibration'!$AD$33))</f>
        <v>8.5850899605475206E-3</v>
      </c>
      <c r="R36" s="80"/>
      <c r="S36" s="81"/>
      <c r="T36" s="81"/>
      <c r="U36" s="82">
        <f>IF(A36&gt;n,+U35,+C36-('Pollutant Annual Calibration'!$BI$26+B36*'Pollutant Annual Calibration'!$BI$27+B36^2*'Pollutant Annual Calibration'!$BI$28+B36^3*'Pollutant Annual Calibration'!$BI$29+B36^4*'Pollutant Annual Calibration'!$BI$30))</f>
        <v>5.2997768307250226E-7</v>
      </c>
    </row>
    <row r="37" spans="1:21" ht="18" customHeight="1" x14ac:dyDescent="0.2">
      <c r="A37" s="83">
        <v>26</v>
      </c>
      <c r="B37" s="70">
        <f>IF($A37&gt;n,-999,+'Pollutant Annual Calibration'!C37)</f>
        <v>-999</v>
      </c>
      <c r="C37" s="84">
        <f>IF($A37&gt;n,-999,+'Pollutant Annual Calibration'!D37)</f>
        <v>-999</v>
      </c>
      <c r="D37" s="70"/>
      <c r="E37" s="70"/>
      <c r="F37" s="71"/>
      <c r="G37" s="72"/>
      <c r="H37" s="72"/>
      <c r="I37" s="73">
        <f>IF(A37&gt;n,+I36,+C37-('Pollutant Annual Calibration'!$K$27+'Pollutant Annual Calibration'!$K$28*B37))</f>
        <v>-3.2804022655227527E-2</v>
      </c>
      <c r="J37" s="74"/>
      <c r="K37" s="75"/>
      <c r="L37" s="75"/>
      <c r="M37" s="76">
        <f>IF(A37&gt;n,M36,+C37-('Pollutant Annual Calibration'!$U$30+B37*'Pollutant Annual Calibration'!$U$31+B37^2*'Pollutant Annual Calibration'!$U$32))</f>
        <v>-3.1974208369319967E-2</v>
      </c>
      <c r="N37" s="77"/>
      <c r="O37" s="78"/>
      <c r="P37" s="78"/>
      <c r="Q37" s="79">
        <f>IF(A37&gt;n,Q36,+C37-('Pollutant Annual Calibration'!$AD$30+B37*'Pollutant Annual Calibration'!$AD$31+B37^2*'Pollutant Annual Calibration'!$AD$32+B37^3*'Pollutant Annual Calibration'!$AD$33))</f>
        <v>8.5850899605475206E-3</v>
      </c>
      <c r="R37" s="80"/>
      <c r="S37" s="81"/>
      <c r="T37" s="81"/>
      <c r="U37" s="82">
        <f>IF(A37&gt;n,+U36,+C37-('Pollutant Annual Calibration'!$BI$26+B37*'Pollutant Annual Calibration'!$BI$27+B37^2*'Pollutant Annual Calibration'!$BI$28+B37^3*'Pollutant Annual Calibration'!$BI$29+B37^4*'Pollutant Annual Calibration'!$BI$30))</f>
        <v>5.2997768307250226E-7</v>
      </c>
    </row>
    <row r="38" spans="1:21" ht="18" customHeight="1" x14ac:dyDescent="0.2">
      <c r="A38" s="83">
        <v>27</v>
      </c>
      <c r="B38" s="70">
        <f>IF($A38&gt;n,-999,+'Pollutant Annual Calibration'!C38)</f>
        <v>-999</v>
      </c>
      <c r="C38" s="84">
        <f>IF($A38&gt;n,-999,+'Pollutant Annual Calibration'!D38)</f>
        <v>-999</v>
      </c>
      <c r="D38" s="70"/>
      <c r="E38" s="70"/>
      <c r="F38" s="71"/>
      <c r="G38" s="72"/>
      <c r="H38" s="72"/>
      <c r="I38" s="73">
        <f>IF(A38&gt;n,+I37,+C38-('Pollutant Annual Calibration'!$K$27+'Pollutant Annual Calibration'!$K$28*B38))</f>
        <v>-3.2804022655227527E-2</v>
      </c>
      <c r="J38" s="74"/>
      <c r="K38" s="75"/>
      <c r="L38" s="75"/>
      <c r="M38" s="76">
        <f>IF(A38&gt;n,M37,+C38-('Pollutant Annual Calibration'!$U$30+B38*'Pollutant Annual Calibration'!$U$31+B38^2*'Pollutant Annual Calibration'!$U$32))</f>
        <v>-3.1974208369319967E-2</v>
      </c>
      <c r="N38" s="77"/>
      <c r="O38" s="78"/>
      <c r="P38" s="78"/>
      <c r="Q38" s="79">
        <f>IF(A38&gt;n,Q37,+C38-('Pollutant Annual Calibration'!$AD$30+B38*'Pollutant Annual Calibration'!$AD$31+B38^2*'Pollutant Annual Calibration'!$AD$32+B38^3*'Pollutant Annual Calibration'!$AD$33))</f>
        <v>8.5850899605475206E-3</v>
      </c>
      <c r="R38" s="80"/>
      <c r="S38" s="81"/>
      <c r="T38" s="81"/>
      <c r="U38" s="82">
        <f>IF(A38&gt;n,+U37,+C38-('Pollutant Annual Calibration'!$BI$26+B38*'Pollutant Annual Calibration'!$BI$27+B38^2*'Pollutant Annual Calibration'!$BI$28+B38^3*'Pollutant Annual Calibration'!$BI$29+B38^4*'Pollutant Annual Calibration'!$BI$30))</f>
        <v>5.2997768307250226E-7</v>
      </c>
    </row>
    <row r="39" spans="1:21" ht="18" customHeight="1" x14ac:dyDescent="0.2">
      <c r="A39" s="83">
        <v>28</v>
      </c>
      <c r="B39" s="70">
        <f>IF($A39&gt;n,-999,+'Pollutant Annual Calibration'!C39)</f>
        <v>-999</v>
      </c>
      <c r="C39" s="84">
        <f>IF($A39&gt;n,-999,+'Pollutant Annual Calibration'!D39)</f>
        <v>-999</v>
      </c>
      <c r="D39" s="70"/>
      <c r="E39" s="70"/>
      <c r="F39" s="71"/>
      <c r="G39" s="72"/>
      <c r="H39" s="72"/>
      <c r="I39" s="73">
        <f>IF(A39&gt;n,+I38,+C39-('Pollutant Annual Calibration'!$K$27+'Pollutant Annual Calibration'!$K$28*B39))</f>
        <v>-3.2804022655227527E-2</v>
      </c>
      <c r="J39" s="74"/>
      <c r="K39" s="75"/>
      <c r="L39" s="75"/>
      <c r="M39" s="76">
        <f>IF(A39&gt;n,M38,+C39-('Pollutant Annual Calibration'!$U$30+B39*'Pollutant Annual Calibration'!$U$31+B39^2*'Pollutant Annual Calibration'!$U$32))</f>
        <v>-3.1974208369319967E-2</v>
      </c>
      <c r="N39" s="77"/>
      <c r="O39" s="78"/>
      <c r="P39" s="78"/>
      <c r="Q39" s="79">
        <f>IF(A39&gt;n,Q38,+C39-('Pollutant Annual Calibration'!$AD$30+B39*'Pollutant Annual Calibration'!$AD$31+B39^2*'Pollutant Annual Calibration'!$AD$32+B39^3*'Pollutant Annual Calibration'!$AD$33))</f>
        <v>8.5850899605475206E-3</v>
      </c>
      <c r="R39" s="80"/>
      <c r="S39" s="81"/>
      <c r="T39" s="81"/>
      <c r="U39" s="82">
        <f>IF(A39&gt;n,+U38,+C39-('Pollutant Annual Calibration'!$BI$26+B39*'Pollutant Annual Calibration'!$BI$27+B39^2*'Pollutant Annual Calibration'!$BI$28+B39^3*'Pollutant Annual Calibration'!$BI$29+B39^4*'Pollutant Annual Calibration'!$BI$30))</f>
        <v>5.2997768307250226E-7</v>
      </c>
    </row>
    <row r="40" spans="1:21" ht="18" customHeight="1" x14ac:dyDescent="0.2">
      <c r="A40" s="83">
        <v>29</v>
      </c>
      <c r="B40" s="70">
        <f>IF($A40&gt;n,-999,+'Pollutant Annual Calibration'!C40)</f>
        <v>-999</v>
      </c>
      <c r="C40" s="84">
        <f>IF($A40&gt;n,-999,+'Pollutant Annual Calibration'!D40)</f>
        <v>-999</v>
      </c>
      <c r="D40" s="70"/>
      <c r="E40" s="70"/>
      <c r="F40" s="71"/>
      <c r="G40" s="72"/>
      <c r="H40" s="72"/>
      <c r="I40" s="73">
        <f>IF(A40&gt;n,+I39,+C40-('Pollutant Annual Calibration'!$K$27+'Pollutant Annual Calibration'!$K$28*B40))</f>
        <v>-3.2804022655227527E-2</v>
      </c>
      <c r="J40" s="74"/>
      <c r="K40" s="75"/>
      <c r="L40" s="75"/>
      <c r="M40" s="76">
        <f>IF(A40&gt;n,M39,+C40-('Pollutant Annual Calibration'!$U$30+B40*'Pollutant Annual Calibration'!$U$31+B40^2*'Pollutant Annual Calibration'!$U$32))</f>
        <v>-3.1974208369319967E-2</v>
      </c>
      <c r="N40" s="77"/>
      <c r="O40" s="78"/>
      <c r="P40" s="78"/>
      <c r="Q40" s="79">
        <f>IF(A40&gt;n,Q39,+C40-('Pollutant Annual Calibration'!$AD$30+B40*'Pollutant Annual Calibration'!$AD$31+B40^2*'Pollutant Annual Calibration'!$AD$32+B40^3*'Pollutant Annual Calibration'!$AD$33))</f>
        <v>8.5850899605475206E-3</v>
      </c>
      <c r="R40" s="80"/>
      <c r="S40" s="81"/>
      <c r="T40" s="81"/>
      <c r="U40" s="82">
        <f>IF(A40&gt;n,+U39,+C40-('Pollutant Annual Calibration'!$BI$26+B40*'Pollutant Annual Calibration'!$BI$27+B40^2*'Pollutant Annual Calibration'!$BI$28+B40^3*'Pollutant Annual Calibration'!$BI$29+B40^4*'Pollutant Annual Calibration'!$BI$30))</f>
        <v>5.2997768307250226E-7</v>
      </c>
    </row>
    <row r="41" spans="1:21" ht="18" customHeight="1" x14ac:dyDescent="0.2">
      <c r="A41" s="83">
        <v>30</v>
      </c>
      <c r="B41" s="70">
        <f>IF($A41&gt;n,-999,+'Pollutant Annual Calibration'!C41)</f>
        <v>-999</v>
      </c>
      <c r="C41" s="84">
        <f>IF($A41&gt;n,-999,+'Pollutant Annual Calibration'!D41)</f>
        <v>-999</v>
      </c>
      <c r="D41" s="70"/>
      <c r="E41" s="70"/>
      <c r="F41" s="71"/>
      <c r="G41" s="72"/>
      <c r="H41" s="72"/>
      <c r="I41" s="73">
        <f>IF(A41&gt;n,+I40,+C41-('Pollutant Annual Calibration'!$K$27+'Pollutant Annual Calibration'!$K$28*B41))</f>
        <v>-3.2804022655227527E-2</v>
      </c>
      <c r="J41" s="74"/>
      <c r="K41" s="75"/>
      <c r="L41" s="75"/>
      <c r="M41" s="76">
        <f>IF(A41&gt;n,M40,+C41-('Pollutant Annual Calibration'!$U$30+B41*'Pollutant Annual Calibration'!$U$31+B41^2*'Pollutant Annual Calibration'!$U$32))</f>
        <v>-3.1974208369319967E-2</v>
      </c>
      <c r="N41" s="77"/>
      <c r="O41" s="78"/>
      <c r="P41" s="78"/>
      <c r="Q41" s="79">
        <f>IF(A41&gt;n,Q40,+C41-('Pollutant Annual Calibration'!$AD$30+B41*'Pollutant Annual Calibration'!$AD$31+B41^2*'Pollutant Annual Calibration'!$AD$32+B41^3*'Pollutant Annual Calibration'!$AD$33))</f>
        <v>8.5850899605475206E-3</v>
      </c>
      <c r="R41" s="80"/>
      <c r="S41" s="81"/>
      <c r="T41" s="81"/>
      <c r="U41" s="82">
        <f>IF(A41&gt;n,+U40,+C41-('Pollutant Annual Calibration'!$BI$26+B41*'Pollutant Annual Calibration'!$BI$27+B41^2*'Pollutant Annual Calibration'!$BI$28+B41^3*'Pollutant Annual Calibration'!$BI$29+B41^4*'Pollutant Annual Calibration'!$BI$30))</f>
        <v>5.2997768307250226E-7</v>
      </c>
    </row>
    <row r="42" spans="1:21" ht="18" customHeight="1" x14ac:dyDescent="0.2">
      <c r="A42" s="83">
        <v>31</v>
      </c>
      <c r="B42" s="70">
        <f>IF($A42&gt;n,-999,+'Pollutant Annual Calibration'!C42)</f>
        <v>-999</v>
      </c>
      <c r="C42" s="84">
        <f>IF($A42&gt;n,-999,+'Pollutant Annual Calibration'!D42)</f>
        <v>-999</v>
      </c>
      <c r="D42" s="70"/>
      <c r="E42" s="70"/>
      <c r="F42" s="71"/>
      <c r="G42" s="72"/>
      <c r="H42" s="72"/>
      <c r="I42" s="73">
        <f>IF(A42&gt;n,+I41,+C42-('Pollutant Annual Calibration'!$K$27+'Pollutant Annual Calibration'!$K$28*B42))</f>
        <v>-3.2804022655227527E-2</v>
      </c>
      <c r="J42" s="74"/>
      <c r="K42" s="75"/>
      <c r="L42" s="75"/>
      <c r="M42" s="76">
        <f>IF(A42&gt;n,M41,+C42-('Pollutant Annual Calibration'!$U$30+B42*'Pollutant Annual Calibration'!$U$31+B42^2*'Pollutant Annual Calibration'!$U$32))</f>
        <v>-3.1974208369319967E-2</v>
      </c>
      <c r="N42" s="77"/>
      <c r="O42" s="78"/>
      <c r="P42" s="78"/>
      <c r="Q42" s="79">
        <f>IF(A42&gt;n,Q41,+C42-('Pollutant Annual Calibration'!$AD$30+B42*'Pollutant Annual Calibration'!$AD$31+B42^2*'Pollutant Annual Calibration'!$AD$32+B42^3*'Pollutant Annual Calibration'!$AD$33))</f>
        <v>8.5850899605475206E-3</v>
      </c>
      <c r="R42" s="80"/>
      <c r="S42" s="81"/>
      <c r="T42" s="81"/>
      <c r="U42" s="82">
        <f>IF(A42&gt;n,+U41,+C42-('Pollutant Annual Calibration'!$BI$26+B42*'Pollutant Annual Calibration'!$BI$27+B42^2*'Pollutant Annual Calibration'!$BI$28+B42^3*'Pollutant Annual Calibration'!$BI$29+B42^4*'Pollutant Annual Calibration'!$BI$30))</f>
        <v>5.2997768307250226E-7</v>
      </c>
    </row>
    <row r="43" spans="1:21" ht="18" customHeight="1" x14ac:dyDescent="0.2">
      <c r="A43" s="83">
        <v>32</v>
      </c>
      <c r="B43" s="70">
        <f>IF($A43&gt;n,-999,+'Pollutant Annual Calibration'!C43)</f>
        <v>-999</v>
      </c>
      <c r="C43" s="84">
        <f>IF($A43&gt;n,-999,+'Pollutant Annual Calibration'!D43)</f>
        <v>-999</v>
      </c>
      <c r="D43" s="70"/>
      <c r="E43" s="70"/>
      <c r="F43" s="71"/>
      <c r="G43" s="72"/>
      <c r="H43" s="72"/>
      <c r="I43" s="73">
        <f>IF(A43&gt;n,+I42,+C43-('Pollutant Annual Calibration'!$K$27+'Pollutant Annual Calibration'!$K$28*B43))</f>
        <v>-3.2804022655227527E-2</v>
      </c>
      <c r="J43" s="74"/>
      <c r="K43" s="75"/>
      <c r="L43" s="75"/>
      <c r="M43" s="76">
        <f>IF(A43&gt;n,M42,+C43-('Pollutant Annual Calibration'!$U$30+B43*'Pollutant Annual Calibration'!$U$31+B43^2*'Pollutant Annual Calibration'!$U$32))</f>
        <v>-3.1974208369319967E-2</v>
      </c>
      <c r="N43" s="77"/>
      <c r="O43" s="78"/>
      <c r="P43" s="78"/>
      <c r="Q43" s="79">
        <f>IF(A43&gt;n,Q42,+C43-('Pollutant Annual Calibration'!$AD$30+B43*'Pollutant Annual Calibration'!$AD$31+B43^2*'Pollutant Annual Calibration'!$AD$32+B43^3*'Pollutant Annual Calibration'!$AD$33))</f>
        <v>8.5850899605475206E-3</v>
      </c>
      <c r="R43" s="80"/>
      <c r="S43" s="81"/>
      <c r="T43" s="81"/>
      <c r="U43" s="82">
        <f>IF(A43&gt;n,+U42,+C43-('Pollutant Annual Calibration'!$BI$26+B43*'Pollutant Annual Calibration'!$BI$27+B43^2*'Pollutant Annual Calibration'!$BI$28+B43^3*'Pollutant Annual Calibration'!$BI$29+B43^4*'Pollutant Annual Calibration'!$BI$30))</f>
        <v>5.2997768307250226E-7</v>
      </c>
    </row>
    <row r="44" spans="1:21" ht="18" customHeight="1" x14ac:dyDescent="0.2">
      <c r="A44" s="83">
        <v>33</v>
      </c>
      <c r="B44" s="70">
        <f>IF($A44&gt;n,-999,+'Pollutant Annual Calibration'!C44)</f>
        <v>-999</v>
      </c>
      <c r="C44" s="84">
        <f>IF($A44&gt;n,-999,+'Pollutant Annual Calibration'!D44)</f>
        <v>-999</v>
      </c>
      <c r="D44" s="70"/>
      <c r="E44" s="70"/>
      <c r="F44" s="71"/>
      <c r="G44" s="72"/>
      <c r="H44" s="72"/>
      <c r="I44" s="73">
        <f>IF(A44&gt;n,+I43,+C44-('Pollutant Annual Calibration'!$K$27+'Pollutant Annual Calibration'!$K$28*B44))</f>
        <v>-3.2804022655227527E-2</v>
      </c>
      <c r="J44" s="74"/>
      <c r="K44" s="75"/>
      <c r="L44" s="75"/>
      <c r="M44" s="76">
        <f>IF(A44&gt;n,M43,+C44-('Pollutant Annual Calibration'!$U$30+B44*'Pollutant Annual Calibration'!$U$31+B44^2*'Pollutant Annual Calibration'!$U$32))</f>
        <v>-3.1974208369319967E-2</v>
      </c>
      <c r="N44" s="77"/>
      <c r="O44" s="78"/>
      <c r="P44" s="78"/>
      <c r="Q44" s="79">
        <f>IF(A44&gt;n,Q43,+C44-('Pollutant Annual Calibration'!$AD$30+B44*'Pollutant Annual Calibration'!$AD$31+B44^2*'Pollutant Annual Calibration'!$AD$32+B44^3*'Pollutant Annual Calibration'!$AD$33))</f>
        <v>8.5850899605475206E-3</v>
      </c>
      <c r="R44" s="80"/>
      <c r="S44" s="81"/>
      <c r="T44" s="81"/>
      <c r="U44" s="82">
        <f>IF(A44&gt;n,+U43,+C44-('Pollutant Annual Calibration'!$BI$26+B44*'Pollutant Annual Calibration'!$BI$27+B44^2*'Pollutant Annual Calibration'!$BI$28+B44^3*'Pollutant Annual Calibration'!$BI$29+B44^4*'Pollutant Annual Calibration'!$BI$30))</f>
        <v>5.2997768307250226E-7</v>
      </c>
    </row>
    <row r="45" spans="1:21" ht="18" customHeight="1" x14ac:dyDescent="0.2">
      <c r="A45" s="83">
        <v>34</v>
      </c>
      <c r="B45" s="70">
        <f>IF($A45&gt;n,-999,+'Pollutant Annual Calibration'!C45)</f>
        <v>-999</v>
      </c>
      <c r="C45" s="84">
        <f>IF($A45&gt;n,-999,+'Pollutant Annual Calibration'!D45)</f>
        <v>-999</v>
      </c>
      <c r="D45" s="70"/>
      <c r="E45" s="70"/>
      <c r="F45" s="71"/>
      <c r="G45" s="72"/>
      <c r="H45" s="72"/>
      <c r="I45" s="73">
        <f>IF(A45&gt;n,+I44,+C45-('Pollutant Annual Calibration'!$K$27+'Pollutant Annual Calibration'!$K$28*B45))</f>
        <v>-3.2804022655227527E-2</v>
      </c>
      <c r="J45" s="74"/>
      <c r="K45" s="75"/>
      <c r="L45" s="75"/>
      <c r="M45" s="76">
        <f>IF(A45&gt;n,M44,+C45-('Pollutant Annual Calibration'!$U$30+B45*'Pollutant Annual Calibration'!$U$31+B45^2*'Pollutant Annual Calibration'!$U$32))</f>
        <v>-3.1974208369319967E-2</v>
      </c>
      <c r="N45" s="77"/>
      <c r="O45" s="78"/>
      <c r="P45" s="78"/>
      <c r="Q45" s="79">
        <f>IF(A45&gt;n,Q44,+C45-('Pollutant Annual Calibration'!$AD$30+B45*'Pollutant Annual Calibration'!$AD$31+B45^2*'Pollutant Annual Calibration'!$AD$32+B45^3*'Pollutant Annual Calibration'!$AD$33))</f>
        <v>8.5850899605475206E-3</v>
      </c>
      <c r="R45" s="80"/>
      <c r="S45" s="81"/>
      <c r="T45" s="81"/>
      <c r="U45" s="82">
        <f>IF(A45&gt;n,+U44,+C45-('Pollutant Annual Calibration'!$BI$26+B45*'Pollutant Annual Calibration'!$BI$27+B45^2*'Pollutant Annual Calibration'!$BI$28+B45^3*'Pollutant Annual Calibration'!$BI$29+B45^4*'Pollutant Annual Calibration'!$BI$30))</f>
        <v>5.2997768307250226E-7</v>
      </c>
    </row>
    <row r="46" spans="1:21" ht="18" customHeight="1" x14ac:dyDescent="0.2">
      <c r="A46" s="83">
        <v>35</v>
      </c>
      <c r="B46" s="70">
        <f>IF($A46&gt;n,-999,+'Pollutant Annual Calibration'!C46)</f>
        <v>-999</v>
      </c>
      <c r="C46" s="84">
        <f>IF($A46&gt;n,-999,+'Pollutant Annual Calibration'!D46)</f>
        <v>-999</v>
      </c>
      <c r="D46" s="70"/>
      <c r="E46" s="70"/>
      <c r="F46" s="71"/>
      <c r="G46" s="72"/>
      <c r="H46" s="72"/>
      <c r="I46" s="73">
        <f>IF(A46&gt;n,+I45,+C46-('Pollutant Annual Calibration'!$K$27+'Pollutant Annual Calibration'!$K$28*B46))</f>
        <v>-3.2804022655227527E-2</v>
      </c>
      <c r="J46" s="74"/>
      <c r="K46" s="75"/>
      <c r="L46" s="75"/>
      <c r="M46" s="76">
        <f>IF(A46&gt;n,M45,+C46-('Pollutant Annual Calibration'!$U$30+B46*'Pollutant Annual Calibration'!$U$31+B46^2*'Pollutant Annual Calibration'!$U$32))</f>
        <v>-3.1974208369319967E-2</v>
      </c>
      <c r="N46" s="77"/>
      <c r="O46" s="78"/>
      <c r="P46" s="78"/>
      <c r="Q46" s="79">
        <f>IF(A46&gt;n,Q45,+C46-('Pollutant Annual Calibration'!$AD$30+B46*'Pollutant Annual Calibration'!$AD$31+B46^2*'Pollutant Annual Calibration'!$AD$32+B46^3*'Pollutant Annual Calibration'!$AD$33))</f>
        <v>8.5850899605475206E-3</v>
      </c>
      <c r="R46" s="80"/>
      <c r="S46" s="81"/>
      <c r="T46" s="81"/>
      <c r="U46" s="82">
        <f>IF(A46&gt;n,+U45,+C46-('Pollutant Annual Calibration'!$BI$26+B46*'Pollutant Annual Calibration'!$BI$27+B46^2*'Pollutant Annual Calibration'!$BI$28+B46^3*'Pollutant Annual Calibration'!$BI$29+B46^4*'Pollutant Annual Calibration'!$BI$30))</f>
        <v>5.2997768307250226E-7</v>
      </c>
    </row>
    <row r="47" spans="1:21" ht="18" customHeight="1" x14ac:dyDescent="0.2">
      <c r="A47" s="83">
        <v>36</v>
      </c>
      <c r="B47" s="70">
        <f>IF($A47&gt;n,-999,+'Pollutant Annual Calibration'!C47)</f>
        <v>-999</v>
      </c>
      <c r="C47" s="84">
        <f>IF($A47&gt;n,-999,+'Pollutant Annual Calibration'!D47)</f>
        <v>-999</v>
      </c>
      <c r="D47" s="70"/>
      <c r="E47" s="70"/>
      <c r="F47" s="71"/>
      <c r="G47" s="72"/>
      <c r="H47" s="72"/>
      <c r="I47" s="73">
        <f>IF(A47&gt;n,+I46,+C47-('Pollutant Annual Calibration'!$K$27+'Pollutant Annual Calibration'!$K$28*B47))</f>
        <v>-3.2804022655227527E-2</v>
      </c>
      <c r="J47" s="74"/>
      <c r="K47" s="75"/>
      <c r="L47" s="75"/>
      <c r="M47" s="76">
        <f>IF(A47&gt;n,M46,+C47-('Pollutant Annual Calibration'!$U$30+B47*'Pollutant Annual Calibration'!$U$31+B47^2*'Pollutant Annual Calibration'!$U$32))</f>
        <v>-3.1974208369319967E-2</v>
      </c>
      <c r="N47" s="77"/>
      <c r="O47" s="78"/>
      <c r="P47" s="78"/>
      <c r="Q47" s="79">
        <f>IF(A47&gt;n,Q46,+C47-('Pollutant Annual Calibration'!$AD$30+B47*'Pollutant Annual Calibration'!$AD$31+B47^2*'Pollutant Annual Calibration'!$AD$32+B47^3*'Pollutant Annual Calibration'!$AD$33))</f>
        <v>8.5850899605475206E-3</v>
      </c>
      <c r="R47" s="80"/>
      <c r="S47" s="81"/>
      <c r="T47" s="81"/>
      <c r="U47" s="82">
        <f>IF(A47&gt;n,+U46,+C47-('Pollutant Annual Calibration'!$BI$26+B47*'Pollutant Annual Calibration'!$BI$27+B47^2*'Pollutant Annual Calibration'!$BI$28+B47^3*'Pollutant Annual Calibration'!$BI$29+B47^4*'Pollutant Annual Calibration'!$BI$30))</f>
        <v>5.2997768307250226E-7</v>
      </c>
    </row>
    <row r="48" spans="1:21" ht="18" customHeight="1" x14ac:dyDescent="0.2">
      <c r="A48" s="83">
        <v>37</v>
      </c>
      <c r="B48" s="70">
        <f>IF($A48&gt;n,-999,+'Pollutant Annual Calibration'!C48)</f>
        <v>-999</v>
      </c>
      <c r="C48" s="84">
        <f>IF($A48&gt;n,-999,+'Pollutant Annual Calibration'!D48)</f>
        <v>-999</v>
      </c>
      <c r="D48" s="70"/>
      <c r="E48" s="70"/>
      <c r="F48" s="71"/>
      <c r="G48" s="72"/>
      <c r="H48" s="72"/>
      <c r="I48" s="73">
        <f>IF(A48&gt;n,+I47,+C48-('Pollutant Annual Calibration'!$K$27+'Pollutant Annual Calibration'!$K$28*B48))</f>
        <v>-3.2804022655227527E-2</v>
      </c>
      <c r="J48" s="74"/>
      <c r="K48" s="75"/>
      <c r="L48" s="75"/>
      <c r="M48" s="76">
        <f>IF(A48&gt;n,M47,+C48-('Pollutant Annual Calibration'!$U$30+B48*'Pollutant Annual Calibration'!$U$31+B48^2*'Pollutant Annual Calibration'!$U$32))</f>
        <v>-3.1974208369319967E-2</v>
      </c>
      <c r="N48" s="77"/>
      <c r="O48" s="78"/>
      <c r="P48" s="78"/>
      <c r="Q48" s="79">
        <f>IF(A48&gt;n,Q47,+C48-('Pollutant Annual Calibration'!$AD$30+B48*'Pollutant Annual Calibration'!$AD$31+B48^2*'Pollutant Annual Calibration'!$AD$32+B48^3*'Pollutant Annual Calibration'!$AD$33))</f>
        <v>8.5850899605475206E-3</v>
      </c>
      <c r="R48" s="80"/>
      <c r="S48" s="81"/>
      <c r="T48" s="81"/>
      <c r="U48" s="82">
        <f>IF(A48&gt;n,+U47,+C48-('Pollutant Annual Calibration'!$BI$26+B48*'Pollutant Annual Calibration'!$BI$27+B48^2*'Pollutant Annual Calibration'!$BI$28+B48^3*'Pollutant Annual Calibration'!$BI$29+B48^4*'Pollutant Annual Calibration'!$BI$30))</f>
        <v>5.2997768307250226E-7</v>
      </c>
    </row>
    <row r="49" spans="1:35" ht="18" customHeight="1" x14ac:dyDescent="0.2">
      <c r="A49" s="83">
        <v>38</v>
      </c>
      <c r="B49" s="70">
        <f>IF($A49&gt;n,-999,+'Pollutant Annual Calibration'!C49)</f>
        <v>-999</v>
      </c>
      <c r="C49" s="84">
        <f>IF($A49&gt;n,-999,+'Pollutant Annual Calibration'!D49)</f>
        <v>-999</v>
      </c>
      <c r="D49" s="70"/>
      <c r="E49" s="70"/>
      <c r="F49" s="71"/>
      <c r="G49" s="72"/>
      <c r="H49" s="72"/>
      <c r="I49" s="73">
        <f>IF(A49&gt;n,+I48,+C49-('Pollutant Annual Calibration'!$K$27+'Pollutant Annual Calibration'!$K$28*B49))</f>
        <v>-3.2804022655227527E-2</v>
      </c>
      <c r="J49" s="74"/>
      <c r="K49" s="75"/>
      <c r="L49" s="75"/>
      <c r="M49" s="76">
        <f>IF(A49&gt;n,M48,+C49-('Pollutant Annual Calibration'!$U$30+B49*'Pollutant Annual Calibration'!$U$31+B49^2*'Pollutant Annual Calibration'!$U$32))</f>
        <v>-3.1974208369319967E-2</v>
      </c>
      <c r="N49" s="77"/>
      <c r="O49" s="78"/>
      <c r="P49" s="78"/>
      <c r="Q49" s="79">
        <f>IF(A49&gt;n,Q48,+C49-('Pollutant Annual Calibration'!$AD$30+B49*'Pollutant Annual Calibration'!$AD$31+B49^2*'Pollutant Annual Calibration'!$AD$32+B49^3*'Pollutant Annual Calibration'!$AD$33))</f>
        <v>8.5850899605475206E-3</v>
      </c>
      <c r="R49" s="80"/>
      <c r="S49" s="81"/>
      <c r="T49" s="81"/>
      <c r="U49" s="82">
        <f>IF(A49&gt;n,+U48,+C49-('Pollutant Annual Calibration'!$BI$26+B49*'Pollutant Annual Calibration'!$BI$27+B49^2*'Pollutant Annual Calibration'!$BI$28+B49^3*'Pollutant Annual Calibration'!$BI$29+B49^4*'Pollutant Annual Calibration'!$BI$30))</f>
        <v>5.2997768307250226E-7</v>
      </c>
    </row>
    <row r="50" spans="1:35" ht="18" customHeight="1" x14ac:dyDescent="0.2">
      <c r="A50" s="83">
        <v>39</v>
      </c>
      <c r="B50" s="70">
        <f>IF($A50&gt;n,-999,+'Pollutant Annual Calibration'!C50)</f>
        <v>-999</v>
      </c>
      <c r="C50" s="84">
        <f>IF($A50&gt;n,-999,+'Pollutant Annual Calibration'!D50)</f>
        <v>-999</v>
      </c>
      <c r="D50" s="70"/>
      <c r="E50" s="70"/>
      <c r="F50" s="71"/>
      <c r="G50" s="72"/>
      <c r="H50" s="72"/>
      <c r="I50" s="73">
        <f>IF(A50&gt;n,+I49,+C50-('Pollutant Annual Calibration'!$K$27+'Pollutant Annual Calibration'!$K$28*B50))</f>
        <v>-3.2804022655227527E-2</v>
      </c>
      <c r="J50" s="74"/>
      <c r="K50" s="75"/>
      <c r="L50" s="75"/>
      <c r="M50" s="76">
        <f>IF(A50&gt;n,M49,+C50-('Pollutant Annual Calibration'!$U$30+B50*'Pollutant Annual Calibration'!$U$31+B50^2*'Pollutant Annual Calibration'!$U$32))</f>
        <v>-3.1974208369319967E-2</v>
      </c>
      <c r="N50" s="77"/>
      <c r="O50" s="78"/>
      <c r="P50" s="78"/>
      <c r="Q50" s="79">
        <f>IF(A50&gt;n,Q49,+C50-('Pollutant Annual Calibration'!$AD$30+B50*'Pollutant Annual Calibration'!$AD$31+B50^2*'Pollutant Annual Calibration'!$AD$32+B50^3*'Pollutant Annual Calibration'!$AD$33))</f>
        <v>8.5850899605475206E-3</v>
      </c>
      <c r="R50" s="80"/>
      <c r="S50" s="81"/>
      <c r="T50" s="81"/>
      <c r="U50" s="82">
        <f>IF(A50&gt;n,+U49,+C50-('Pollutant Annual Calibration'!$BI$26+B50*'Pollutant Annual Calibration'!$BI$27+B50^2*'Pollutant Annual Calibration'!$BI$28+B50^3*'Pollutant Annual Calibration'!$BI$29+B50^4*'Pollutant Annual Calibration'!$BI$30))</f>
        <v>5.2997768307250226E-7</v>
      </c>
    </row>
    <row r="51" spans="1:35" ht="18" customHeight="1" x14ac:dyDescent="0.2">
      <c r="A51" s="83">
        <v>40</v>
      </c>
      <c r="B51" s="70">
        <f>IF($A51&gt;n,-999,+'Pollutant Annual Calibration'!C51)</f>
        <v>-999</v>
      </c>
      <c r="C51" s="84">
        <f>IF($A51&gt;n,-999,+'Pollutant Annual Calibration'!D51)</f>
        <v>-999</v>
      </c>
      <c r="D51" s="70"/>
      <c r="E51" s="70"/>
      <c r="F51" s="71"/>
      <c r="G51" s="72"/>
      <c r="H51" s="72"/>
      <c r="I51" s="73">
        <f>IF(A51&gt;n,+I50,+C51-('Pollutant Annual Calibration'!$K$27+'Pollutant Annual Calibration'!$K$28*B51))</f>
        <v>-3.2804022655227527E-2</v>
      </c>
      <c r="J51" s="74"/>
      <c r="K51" s="75"/>
      <c r="L51" s="75"/>
      <c r="M51" s="76">
        <f>IF(A51&gt;n,M50,+C51-('Pollutant Annual Calibration'!$U$30+B51*'Pollutant Annual Calibration'!$U$31+B51^2*'Pollutant Annual Calibration'!$U$32))</f>
        <v>-3.1974208369319967E-2</v>
      </c>
      <c r="N51" s="77"/>
      <c r="O51" s="78"/>
      <c r="P51" s="78"/>
      <c r="Q51" s="79">
        <f>IF(A51&gt;n,Q50,+C51-('Pollutant Annual Calibration'!$AD$30+B51*'Pollutant Annual Calibration'!$AD$31+B51^2*'Pollutant Annual Calibration'!$AD$32+B51^3*'Pollutant Annual Calibration'!$AD$33))</f>
        <v>8.5850899605475206E-3</v>
      </c>
      <c r="R51" s="80"/>
      <c r="S51" s="81"/>
      <c r="T51" s="81"/>
      <c r="U51" s="82">
        <f>IF(A51&gt;n,+U50,+C51-('Pollutant Annual Calibration'!$BI$26+B51*'Pollutant Annual Calibration'!$BI$27+B51^2*'Pollutant Annual Calibration'!$BI$28+B51^3*'Pollutant Annual Calibration'!$BI$29+B51^4*'Pollutant Annual Calibration'!$BI$30))</f>
        <v>5.2997768307250226E-7</v>
      </c>
    </row>
    <row r="52" spans="1:35" ht="18" customHeight="1" x14ac:dyDescent="0.2">
      <c r="A52" s="83">
        <v>41</v>
      </c>
      <c r="B52" s="70">
        <f>IF($A52&gt;n,-999,+'Pollutant Annual Calibration'!C52)</f>
        <v>-999</v>
      </c>
      <c r="C52" s="84">
        <f>IF($A52&gt;n,-999,+'Pollutant Annual Calibration'!D52)</f>
        <v>-999</v>
      </c>
      <c r="D52" s="70"/>
      <c r="E52" s="70"/>
      <c r="F52" s="71"/>
      <c r="G52" s="72"/>
      <c r="H52" s="72"/>
      <c r="I52" s="73">
        <f>IF(A52&gt;n,+I51,+C52-('Pollutant Annual Calibration'!$K$27+'Pollutant Annual Calibration'!$K$28*B52))</f>
        <v>-3.2804022655227527E-2</v>
      </c>
      <c r="J52" s="74"/>
      <c r="K52" s="75"/>
      <c r="L52" s="75"/>
      <c r="M52" s="76">
        <f>IF(A52&gt;n,M51,+C52-('Pollutant Annual Calibration'!$U$30+B52*'Pollutant Annual Calibration'!$U$31+B52^2*'Pollutant Annual Calibration'!$U$32))</f>
        <v>-3.1974208369319967E-2</v>
      </c>
      <c r="N52" s="77"/>
      <c r="O52" s="78"/>
      <c r="P52" s="78"/>
      <c r="Q52" s="79">
        <f>IF(A52&gt;n,Q51,+C52-('Pollutant Annual Calibration'!$AD$30+B52*'Pollutant Annual Calibration'!$AD$31+B52^2*'Pollutant Annual Calibration'!$AD$32+B52^3*'Pollutant Annual Calibration'!$AD$33))</f>
        <v>8.5850899605475206E-3</v>
      </c>
      <c r="R52" s="80"/>
      <c r="S52" s="81"/>
      <c r="T52" s="81"/>
      <c r="U52" s="82">
        <f>IF(A52&gt;n,+U51,+C52-('Pollutant Annual Calibration'!$BI$26+B52*'Pollutant Annual Calibration'!$BI$27+B52^2*'Pollutant Annual Calibration'!$BI$28+B52^3*'Pollutant Annual Calibration'!$BI$29+B52^4*'Pollutant Annual Calibration'!$BI$30))</f>
        <v>5.2997768307250226E-7</v>
      </c>
    </row>
    <row r="53" spans="1:35" ht="18" customHeight="1" x14ac:dyDescent="0.2">
      <c r="A53" s="83">
        <v>42</v>
      </c>
      <c r="B53" s="70">
        <f>IF($A53&gt;n,-999,+'Pollutant Annual Calibration'!C53)</f>
        <v>-999</v>
      </c>
      <c r="C53" s="84">
        <f>IF($A53&gt;n,-999,+'Pollutant Annual Calibration'!D53)</f>
        <v>-999</v>
      </c>
      <c r="D53" s="70"/>
      <c r="E53" s="70"/>
      <c r="F53" s="71"/>
      <c r="G53" s="72"/>
      <c r="H53" s="72"/>
      <c r="I53" s="73">
        <f>IF(A53&gt;n,+I52,+C53-('Pollutant Annual Calibration'!$K$27+'Pollutant Annual Calibration'!$K$28*B53))</f>
        <v>-3.2804022655227527E-2</v>
      </c>
      <c r="J53" s="74"/>
      <c r="K53" s="75"/>
      <c r="L53" s="75"/>
      <c r="M53" s="76">
        <f>IF(A53&gt;n,M52,+C53-('Pollutant Annual Calibration'!$U$30+B53*'Pollutant Annual Calibration'!$U$31+B53^2*'Pollutant Annual Calibration'!$U$32))</f>
        <v>-3.1974208369319967E-2</v>
      </c>
      <c r="N53" s="77"/>
      <c r="O53" s="78"/>
      <c r="P53" s="78"/>
      <c r="Q53" s="79">
        <f>IF(A53&gt;n,Q52,+C53-('Pollutant Annual Calibration'!$AD$30+B53*'Pollutant Annual Calibration'!$AD$31+B53^2*'Pollutant Annual Calibration'!$AD$32+B53^3*'Pollutant Annual Calibration'!$AD$33))</f>
        <v>8.5850899605475206E-3</v>
      </c>
      <c r="R53" s="80"/>
      <c r="S53" s="81"/>
      <c r="T53" s="81"/>
      <c r="U53" s="82">
        <f>IF(A53&gt;n,+U52,+C53-('Pollutant Annual Calibration'!$BI$26+B53*'Pollutant Annual Calibration'!$BI$27+B53^2*'Pollutant Annual Calibration'!$BI$28+B53^3*'Pollutant Annual Calibration'!$BI$29+B53^4*'Pollutant Annual Calibration'!$BI$30))</f>
        <v>5.2997768307250226E-7</v>
      </c>
    </row>
    <row r="54" spans="1:35" ht="18" customHeight="1" x14ac:dyDescent="0.2">
      <c r="A54" s="83">
        <v>43</v>
      </c>
      <c r="B54" s="70">
        <f>IF($A54&gt;n,-999,+'Pollutant Annual Calibration'!C54)</f>
        <v>-999</v>
      </c>
      <c r="C54" s="84">
        <f>IF($A54&gt;n,-999,+'Pollutant Annual Calibration'!D54)</f>
        <v>-999</v>
      </c>
      <c r="D54" s="70"/>
      <c r="E54" s="70"/>
      <c r="F54" s="71"/>
      <c r="G54" s="72"/>
      <c r="H54" s="72"/>
      <c r="I54" s="73">
        <f>IF(A54&gt;n,+I53,+C54-('Pollutant Annual Calibration'!$K$27+'Pollutant Annual Calibration'!$K$28*B54))</f>
        <v>-3.2804022655227527E-2</v>
      </c>
      <c r="J54" s="74"/>
      <c r="K54" s="75"/>
      <c r="L54" s="75"/>
      <c r="M54" s="76">
        <f>IF(A54&gt;n,M53,+C54-('Pollutant Annual Calibration'!$U$30+B54*'Pollutant Annual Calibration'!$U$31+B54^2*'Pollutant Annual Calibration'!$U$32))</f>
        <v>-3.1974208369319967E-2</v>
      </c>
      <c r="N54" s="77"/>
      <c r="O54" s="78"/>
      <c r="P54" s="78"/>
      <c r="Q54" s="79">
        <f>IF(A54&gt;n,Q53,+C54-('Pollutant Annual Calibration'!$AD$30+B54*'Pollutant Annual Calibration'!$AD$31+B54^2*'Pollutant Annual Calibration'!$AD$32+B54^3*'Pollutant Annual Calibration'!$AD$33))</f>
        <v>8.5850899605475206E-3</v>
      </c>
      <c r="R54" s="80"/>
      <c r="S54" s="81"/>
      <c r="T54" s="81"/>
      <c r="U54" s="82">
        <f>IF(A54&gt;n,+U53,+C54-('Pollutant Annual Calibration'!$BI$26+B54*'Pollutant Annual Calibration'!$BI$27+B54^2*'Pollutant Annual Calibration'!$BI$28+B54^3*'Pollutant Annual Calibration'!$BI$29+B54^4*'Pollutant Annual Calibration'!$BI$30))</f>
        <v>5.2997768307250226E-7</v>
      </c>
    </row>
    <row r="55" spans="1:35" ht="18" customHeight="1" x14ac:dyDescent="0.2">
      <c r="A55" s="83">
        <v>44</v>
      </c>
      <c r="B55" s="70">
        <f>IF($A55&gt;n,-999,+'Pollutant Annual Calibration'!C55)</f>
        <v>-999</v>
      </c>
      <c r="C55" s="84">
        <f>IF($A55&gt;n,-999,+'Pollutant Annual Calibration'!D55)</f>
        <v>-999</v>
      </c>
      <c r="D55" s="70"/>
      <c r="E55" s="70"/>
      <c r="F55" s="71"/>
      <c r="G55" s="72"/>
      <c r="H55" s="72"/>
      <c r="I55" s="73">
        <f>IF(A55&gt;n,+I54,+C55-('Pollutant Annual Calibration'!$K$27+'Pollutant Annual Calibration'!$K$28*B55))</f>
        <v>-3.2804022655227527E-2</v>
      </c>
      <c r="J55" s="74"/>
      <c r="K55" s="75"/>
      <c r="L55" s="75"/>
      <c r="M55" s="76">
        <f>IF(A55&gt;n,M54,+C55-('Pollutant Annual Calibration'!$U$30+B55*'Pollutant Annual Calibration'!$U$31+B55^2*'Pollutant Annual Calibration'!$U$32))</f>
        <v>-3.1974208369319967E-2</v>
      </c>
      <c r="N55" s="77"/>
      <c r="O55" s="78"/>
      <c r="P55" s="78"/>
      <c r="Q55" s="79">
        <f>IF(A55&gt;n,Q54,+C55-('Pollutant Annual Calibration'!$AD$30+B55*'Pollutant Annual Calibration'!$AD$31+B55^2*'Pollutant Annual Calibration'!$AD$32+B55^3*'Pollutant Annual Calibration'!$AD$33))</f>
        <v>8.5850899605475206E-3</v>
      </c>
      <c r="R55" s="80"/>
      <c r="S55" s="81"/>
      <c r="T55" s="81"/>
      <c r="U55" s="82">
        <f>IF(A55&gt;n,+U54,+C55-('Pollutant Annual Calibration'!$BI$26+B55*'Pollutant Annual Calibration'!$BI$27+B55^2*'Pollutant Annual Calibration'!$BI$28+B55^3*'Pollutant Annual Calibration'!$BI$29+B55^4*'Pollutant Annual Calibration'!$BI$30))</f>
        <v>5.2997768307250226E-7</v>
      </c>
    </row>
    <row r="56" spans="1:35" ht="18" customHeight="1" x14ac:dyDescent="0.2">
      <c r="A56" s="83">
        <v>45</v>
      </c>
      <c r="B56" s="70">
        <f>IF($A56&gt;n,-999,+'Pollutant Annual Calibration'!C56)</f>
        <v>-999</v>
      </c>
      <c r="C56" s="84">
        <f>IF($A56&gt;n,-999,+'Pollutant Annual Calibration'!D56)</f>
        <v>-999</v>
      </c>
      <c r="D56" s="70"/>
      <c r="E56" s="70"/>
      <c r="F56" s="71"/>
      <c r="G56" s="72"/>
      <c r="H56" s="72"/>
      <c r="I56" s="73">
        <f>IF(A56&gt;n,+I55,+C56-('Pollutant Annual Calibration'!$K$27+'Pollutant Annual Calibration'!$K$28*B56))</f>
        <v>-3.2804022655227527E-2</v>
      </c>
      <c r="J56" s="74"/>
      <c r="K56" s="75"/>
      <c r="L56" s="75"/>
      <c r="M56" s="76">
        <f>IF(A56&gt;n,M55,+C56-('Pollutant Annual Calibration'!$U$30+B56*'Pollutant Annual Calibration'!$U$31+B56^2*'Pollutant Annual Calibration'!$U$32))</f>
        <v>-3.1974208369319967E-2</v>
      </c>
      <c r="N56" s="77"/>
      <c r="O56" s="78"/>
      <c r="P56" s="78"/>
      <c r="Q56" s="79">
        <f>IF(A56&gt;n,Q55,+C56-('Pollutant Annual Calibration'!$AD$30+B56*'Pollutant Annual Calibration'!$AD$31+B56^2*'Pollutant Annual Calibration'!$AD$32+B56^3*'Pollutant Annual Calibration'!$AD$33))</f>
        <v>8.5850899605475206E-3</v>
      </c>
      <c r="R56" s="80"/>
      <c r="S56" s="81"/>
      <c r="T56" s="81"/>
      <c r="U56" s="82">
        <f>IF(A56&gt;n,+U55,+C56-('Pollutant Annual Calibration'!$BI$26+B56*'Pollutant Annual Calibration'!$BI$27+B56^2*'Pollutant Annual Calibration'!$BI$28+B56^3*'Pollutant Annual Calibration'!$BI$29+B56^4*'Pollutant Annual Calibration'!$BI$30))</f>
        <v>5.2997768307250226E-7</v>
      </c>
    </row>
    <row r="57" spans="1:35" ht="18" customHeight="1" x14ac:dyDescent="0.2">
      <c r="A57" s="83">
        <v>46</v>
      </c>
      <c r="B57" s="70">
        <f>IF($A57&gt;n,-999,+'Pollutant Annual Calibration'!C57)</f>
        <v>-999</v>
      </c>
      <c r="C57" s="84">
        <f>IF($A57&gt;n,-999,+'Pollutant Annual Calibration'!D57)</f>
        <v>-999</v>
      </c>
      <c r="D57" s="70"/>
      <c r="E57" s="70"/>
      <c r="F57" s="71"/>
      <c r="G57" s="72"/>
      <c r="H57" s="72"/>
      <c r="I57" s="73">
        <f>IF(A57&gt;n,+I56,+C57-('Pollutant Annual Calibration'!$K$27+'Pollutant Annual Calibration'!$K$28*B57))</f>
        <v>-3.2804022655227527E-2</v>
      </c>
      <c r="J57" s="74"/>
      <c r="K57" s="75"/>
      <c r="L57" s="75"/>
      <c r="M57" s="76">
        <f>IF(A57&gt;n,M56,+C57-('Pollutant Annual Calibration'!$U$30+B57*'Pollutant Annual Calibration'!$U$31+B57^2*'Pollutant Annual Calibration'!$U$32))</f>
        <v>-3.1974208369319967E-2</v>
      </c>
      <c r="N57" s="77"/>
      <c r="O57" s="78"/>
      <c r="P57" s="78"/>
      <c r="Q57" s="79">
        <f>IF(A57&gt;n,Q56,+C57-('Pollutant Annual Calibration'!$AD$30+B57*'Pollutant Annual Calibration'!$AD$31+B57^2*'Pollutant Annual Calibration'!$AD$32+B57^3*'Pollutant Annual Calibration'!$AD$33))</f>
        <v>8.5850899605475206E-3</v>
      </c>
      <c r="R57" s="80"/>
      <c r="S57" s="81"/>
      <c r="T57" s="81"/>
      <c r="U57" s="82">
        <f>IF(A57&gt;n,+U56,+C57-('Pollutant Annual Calibration'!$BI$26+B57*'Pollutant Annual Calibration'!$BI$27+B57^2*'Pollutant Annual Calibration'!$BI$28+B57^3*'Pollutant Annual Calibration'!$BI$29+B57^4*'Pollutant Annual Calibration'!$BI$30))</f>
        <v>5.2997768307250226E-7</v>
      </c>
    </row>
    <row r="58" spans="1:35" ht="18" customHeight="1" x14ac:dyDescent="0.2">
      <c r="A58" s="83">
        <v>47</v>
      </c>
      <c r="B58" s="70">
        <f>IF($A58&gt;n,-999,+'Pollutant Annual Calibration'!C58)</f>
        <v>-999</v>
      </c>
      <c r="C58" s="84">
        <f>IF($A58&gt;n,-999,+'Pollutant Annual Calibration'!D58)</f>
        <v>-999</v>
      </c>
      <c r="D58" s="70"/>
      <c r="E58" s="70"/>
      <c r="F58" s="71"/>
      <c r="G58" s="72"/>
      <c r="H58" s="72"/>
      <c r="I58" s="73">
        <f>IF(A58&gt;n,+I57,+C58-('Pollutant Annual Calibration'!$K$27+'Pollutant Annual Calibration'!$K$28*B58))</f>
        <v>-3.2804022655227527E-2</v>
      </c>
      <c r="J58" s="74"/>
      <c r="K58" s="75"/>
      <c r="L58" s="75"/>
      <c r="M58" s="76">
        <f>IF(A58&gt;n,M57,+C58-('Pollutant Annual Calibration'!$U$30+B58*'Pollutant Annual Calibration'!$U$31+B58^2*'Pollutant Annual Calibration'!$U$32))</f>
        <v>-3.1974208369319967E-2</v>
      </c>
      <c r="N58" s="77"/>
      <c r="O58" s="78"/>
      <c r="P58" s="78"/>
      <c r="Q58" s="79">
        <f>IF(A58&gt;n,Q57,+C58-('Pollutant Annual Calibration'!$AD$30+B58*'Pollutant Annual Calibration'!$AD$31+B58^2*'Pollutant Annual Calibration'!$AD$32+B58^3*'Pollutant Annual Calibration'!$AD$33))</f>
        <v>8.5850899605475206E-3</v>
      </c>
      <c r="R58" s="80"/>
      <c r="S58" s="81"/>
      <c r="T58" s="81"/>
      <c r="U58" s="82">
        <f>IF(A58&gt;n,+U57,+C58-('Pollutant Annual Calibration'!$BI$26+B58*'Pollutant Annual Calibration'!$BI$27+B58^2*'Pollutant Annual Calibration'!$BI$28+B58^3*'Pollutant Annual Calibration'!$BI$29+B58^4*'Pollutant Annual Calibration'!$BI$30))</f>
        <v>5.2997768307250226E-7</v>
      </c>
    </row>
    <row r="59" spans="1:35" ht="18" customHeight="1" x14ac:dyDescent="0.2">
      <c r="A59" s="83">
        <v>48</v>
      </c>
      <c r="B59" s="70">
        <f>IF($A59&gt;n,-999,+'Pollutant Annual Calibration'!C59)</f>
        <v>-999</v>
      </c>
      <c r="C59" s="84">
        <f>IF($A59&gt;n,-999,+'Pollutant Annual Calibration'!D59)</f>
        <v>-999</v>
      </c>
      <c r="D59" s="70"/>
      <c r="E59" s="70"/>
      <c r="F59" s="71"/>
      <c r="G59" s="72"/>
      <c r="H59" s="72"/>
      <c r="I59" s="73">
        <f>IF(A59&gt;n,+I58,+C59-('Pollutant Annual Calibration'!$K$27+'Pollutant Annual Calibration'!$K$28*B59))</f>
        <v>-3.2804022655227527E-2</v>
      </c>
      <c r="J59" s="74"/>
      <c r="K59" s="75"/>
      <c r="L59" s="75"/>
      <c r="M59" s="76">
        <f>IF(A59&gt;n,M58,+C59-('Pollutant Annual Calibration'!$U$30+B59*'Pollutant Annual Calibration'!$U$31+B59^2*'Pollutant Annual Calibration'!$U$32))</f>
        <v>-3.1974208369319967E-2</v>
      </c>
      <c r="N59" s="77"/>
      <c r="O59" s="78"/>
      <c r="P59" s="78"/>
      <c r="Q59" s="79">
        <f>IF(A59&gt;n,Q58,+C59-('Pollutant Annual Calibration'!$AD$30+B59*'Pollutant Annual Calibration'!$AD$31+B59^2*'Pollutant Annual Calibration'!$AD$32+B59^3*'Pollutant Annual Calibration'!$AD$33))</f>
        <v>8.5850899605475206E-3</v>
      </c>
      <c r="R59" s="80"/>
      <c r="S59" s="81"/>
      <c r="T59" s="81"/>
      <c r="U59" s="82">
        <f>IF(A59&gt;n,+U58,+C59-('Pollutant Annual Calibration'!$BI$26+B59*'Pollutant Annual Calibration'!$BI$27+B59^2*'Pollutant Annual Calibration'!$BI$28+B59^3*'Pollutant Annual Calibration'!$BI$29+B59^4*'Pollutant Annual Calibration'!$BI$30))</f>
        <v>5.2997768307250226E-7</v>
      </c>
    </row>
    <row r="60" spans="1:35" ht="18" customHeight="1" x14ac:dyDescent="0.2">
      <c r="A60" s="83">
        <v>49</v>
      </c>
      <c r="B60" s="70">
        <f>IF($A60&gt;n,-999,+'Pollutant Annual Calibration'!C60)</f>
        <v>-999</v>
      </c>
      <c r="C60" s="84">
        <f>IF($A60&gt;n,-999,+'Pollutant Annual Calibration'!D60)</f>
        <v>-999</v>
      </c>
      <c r="D60" s="70"/>
      <c r="E60" s="70"/>
      <c r="F60" s="71"/>
      <c r="G60" s="72"/>
      <c r="H60" s="72"/>
      <c r="I60" s="73">
        <f>IF(A60&gt;n,+I59,+C60-('Pollutant Annual Calibration'!$K$27+'Pollutant Annual Calibration'!$K$28*B60))</f>
        <v>-3.2804022655227527E-2</v>
      </c>
      <c r="J60" s="74"/>
      <c r="K60" s="75"/>
      <c r="L60" s="75"/>
      <c r="M60" s="76">
        <f>IF(A60&gt;n,M59,+C60-('Pollutant Annual Calibration'!$U$30+B60*'Pollutant Annual Calibration'!$U$31+B60^2*'Pollutant Annual Calibration'!$U$32))</f>
        <v>-3.1974208369319967E-2</v>
      </c>
      <c r="N60" s="77"/>
      <c r="O60" s="78"/>
      <c r="P60" s="78"/>
      <c r="Q60" s="79">
        <f>IF(A60&gt;n,Q59,+C60-('Pollutant Annual Calibration'!$AD$30+B60*'Pollutant Annual Calibration'!$AD$31+B60^2*'Pollutant Annual Calibration'!$AD$32+B60^3*'Pollutant Annual Calibration'!$AD$33))</f>
        <v>8.5850899605475206E-3</v>
      </c>
      <c r="R60" s="80"/>
      <c r="S60" s="81"/>
      <c r="T60" s="81"/>
      <c r="U60" s="82">
        <f>IF(A60&gt;n,+U59,+C60-('Pollutant Annual Calibration'!$BI$26+B60*'Pollutant Annual Calibration'!$BI$27+B60^2*'Pollutant Annual Calibration'!$BI$28+B60^3*'Pollutant Annual Calibration'!$BI$29+B60^4*'Pollutant Annual Calibration'!$BI$30))</f>
        <v>5.2997768307250226E-7</v>
      </c>
    </row>
    <row r="61" spans="1:35" ht="18" customHeight="1" x14ac:dyDescent="0.2">
      <c r="A61" s="85">
        <v>50</v>
      </c>
      <c r="B61" s="86">
        <f>IF($A61&gt;n,-999,+'Pollutant Annual Calibration'!C61)</f>
        <v>-999</v>
      </c>
      <c r="C61" s="87">
        <f>IF($A61&gt;n,-999,+'Pollutant Annual Calibration'!D61)</f>
        <v>-999</v>
      </c>
      <c r="D61" s="70"/>
      <c r="E61" s="70"/>
      <c r="F61" s="71"/>
      <c r="G61" s="72"/>
      <c r="H61" s="72"/>
      <c r="I61" s="73">
        <f>IF(A61&gt;n,+I60,+C61-('Pollutant Annual Calibration'!$K$27+'Pollutant Annual Calibration'!$K$28*B61))</f>
        <v>-3.2804022655227527E-2</v>
      </c>
      <c r="J61" s="74"/>
      <c r="K61" s="75"/>
      <c r="L61" s="75"/>
      <c r="M61" s="76">
        <f>IF(A61&gt;n,M60,+C61-('Pollutant Annual Calibration'!$U$30+B61*'Pollutant Annual Calibration'!$U$31+B61^2*'Pollutant Annual Calibration'!$U$32))</f>
        <v>-3.1974208369319967E-2</v>
      </c>
      <c r="N61" s="77"/>
      <c r="O61" s="78"/>
      <c r="P61" s="78"/>
      <c r="Q61" s="79">
        <f>IF(A61&gt;n,Q60,+C61-('Pollutant Annual Calibration'!$AD$30+B61*'Pollutant Annual Calibration'!$AD$31+B61^2*'Pollutant Annual Calibration'!$AD$32+B61^3*'Pollutant Annual Calibration'!$AD$33))</f>
        <v>8.5850899605475206E-3</v>
      </c>
      <c r="R61" s="80"/>
      <c r="S61" s="81"/>
      <c r="T61" s="81"/>
      <c r="U61" s="82">
        <f>IF(A61&gt;n,+U60,+C61-('Pollutant Annual Calibration'!$BI$26+B61*'Pollutant Annual Calibration'!$BI$27+B61^2*'Pollutant Annual Calibration'!$BI$28+B61^3*'Pollutant Annual Calibration'!$BI$29+B61^4*'Pollutant Annual Calibration'!$BI$30))</f>
        <v>5.2997768307250226E-7</v>
      </c>
    </row>
    <row r="62" spans="1:35" ht="18" customHeight="1" x14ac:dyDescent="0.2">
      <c r="A62" s="88"/>
      <c r="B62" s="89"/>
      <c r="C62" s="89"/>
      <c r="D62" s="89"/>
      <c r="E62" s="89"/>
      <c r="F62" s="71"/>
      <c r="G62" s="72"/>
      <c r="H62" s="72"/>
      <c r="I62" s="90"/>
      <c r="J62" s="74"/>
      <c r="K62" s="75"/>
      <c r="L62" s="75"/>
      <c r="M62" s="91"/>
      <c r="N62" s="77"/>
      <c r="O62" s="78"/>
      <c r="P62" s="78"/>
      <c r="Q62" s="92"/>
      <c r="R62" s="80"/>
      <c r="S62" s="81"/>
      <c r="T62" s="81"/>
      <c r="U62" s="81"/>
      <c r="V62" s="93" t="s">
        <v>149</v>
      </c>
      <c r="W62" s="94"/>
      <c r="X62" s="95" t="s">
        <v>150</v>
      </c>
      <c r="Y62" s="96"/>
      <c r="Z62" s="97"/>
      <c r="AA62" s="98" t="s">
        <v>151</v>
      </c>
      <c r="AB62" s="99"/>
      <c r="AC62" s="99"/>
      <c r="AD62" s="100"/>
      <c r="AE62" s="101" t="s">
        <v>152</v>
      </c>
      <c r="AF62" s="101"/>
      <c r="AG62" s="101"/>
      <c r="AH62" s="101"/>
      <c r="AI62" s="102"/>
    </row>
    <row r="63" spans="1:35" ht="18" customHeight="1" x14ac:dyDescent="0.2">
      <c r="A63" s="103">
        <v>1</v>
      </c>
      <c r="B63" s="104">
        <f>A6</f>
        <v>40</v>
      </c>
      <c r="C63" s="105">
        <f>B63^2</f>
        <v>1600</v>
      </c>
      <c r="D63" s="106">
        <f>B63^3</f>
        <v>64000</v>
      </c>
      <c r="E63" s="107">
        <f>B63^4</f>
        <v>2560000</v>
      </c>
      <c r="F63" s="108">
        <f>'Pollutant Annual Calibration'!$K$27+'Pollutant Annual Calibration'!$K$28*'Chart Data Pollutant'!B63</f>
        <v>40.059012355988557</v>
      </c>
      <c r="G63" s="108">
        <f>F63-$H$6*SQRT(SUMPRODUCT(A63:B63,V63:W63))</f>
        <v>39.832716048952719</v>
      </c>
      <c r="H63" s="108">
        <f>F63+F63-G63</f>
        <v>40.285308663024395</v>
      </c>
      <c r="I63" s="90"/>
      <c r="J63" s="109">
        <f>'Pollutant Annual Calibration'!$U$30+'Chart Data Pollutant'!B63*'Pollutant Annual Calibration'!$U$31+'Chart Data Pollutant'!B63^2*'Pollutant Annual Calibration'!$U$32</f>
        <v>40.058182541702649</v>
      </c>
      <c r="K63" s="110">
        <f>$J63-$H$7*SQRT(SUMPRODUCT(A63:C63,X63:Z63))</f>
        <v>39.605535999382369</v>
      </c>
      <c r="L63" s="110">
        <f>J63+J63-K63</f>
        <v>40.51082908402293</v>
      </c>
      <c r="M63" s="91"/>
      <c r="N63" s="111">
        <f>'Pollutant Annual Calibration'!$AD$30+B63*'Pollutant Annual Calibration'!$AD$31+B63^2*'Pollutant Annual Calibration'!$AD$32+B63^3*'Pollutant Annual Calibration'!$AD$33</f>
        <v>40.017623243372782</v>
      </c>
      <c r="O63" s="112">
        <f>N63-SQRT(SUMPRODUCT(AA63:AD63,A63:D63)*$H$8)</f>
        <v>39.6245555661799</v>
      </c>
      <c r="P63" s="112">
        <f>N63+N63-O63</f>
        <v>40.410690920565663</v>
      </c>
      <c r="Q63" s="92"/>
      <c r="R63" s="113">
        <f>SUMPRODUCT(A63:E63,'Pollutant Annual Calibration'!$BI$43:$BM$43)</f>
        <v>40.026207803355646</v>
      </c>
      <c r="S63" s="114" t="e">
        <f>R63-SQRT(SUMPRODUCT(AE63:AI63,A63:E63)*$H$9)</f>
        <v>#DIV/0!</v>
      </c>
      <c r="T63" s="114" t="e">
        <f>R63+R63-S63</f>
        <v>#DIV/0!</v>
      </c>
      <c r="U63" s="81"/>
      <c r="V63" s="115">
        <f>SUMPRODUCT($A63:$B63,'Pollutant Annual Calibration'!$K$52:$L$52)</f>
        <v>1.2025600453054612E-2</v>
      </c>
      <c r="W63" s="116">
        <f>SUMPRODUCT($A63:$B63,'Pollutant Annual Calibration'!$K$53:$L$53)</f>
        <v>-1.7423253169712477E-4</v>
      </c>
      <c r="X63" s="117">
        <f>SUMPRODUCT($A63:$C63,'Pollutant Annual Calibration'!$U$59:$W$59)</f>
        <v>8.2962305270152803E-2</v>
      </c>
      <c r="Y63" s="118">
        <f>SUMPRODUCT($A63:$C63,'Pollutant Annual Calibration'!$U$60:$W$60)</f>
        <v>-2.5845654305025161E-3</v>
      </c>
      <c r="Z63" s="118">
        <f>SUMPRODUCT($A63:$C63,'Pollutant Annual Calibration'!$U$61:$W$61)</f>
        <v>1.9679823430200909E-5</v>
      </c>
      <c r="AA63" s="119">
        <f>SUMPRODUCT($A63:$D63,'Pollutant Annual Calibration'!$AD$59:$AG$59)</f>
        <v>0.29418498223927791</v>
      </c>
      <c r="AB63" s="120">
        <f>SUMPRODUCT($A63:$D63,'Pollutant Annual Calibration'!$AD$60:$AG$60)</f>
        <v>-1.4030817953027741E-2</v>
      </c>
      <c r="AC63" s="120">
        <f>SUMPRODUCT($A63:$D63,'Pollutant Annual Calibration'!$AD$61:$AG$61)</f>
        <v>2.1978108149751929E-4</v>
      </c>
      <c r="AD63" s="121">
        <f>SUMPRODUCT($A63:$D63,'Pollutant Annual Calibration'!$AD$62:$AG$62)</f>
        <v>-1.1319126211913728E-6</v>
      </c>
      <c r="AE63" s="122" t="e">
        <f>SUMPRODUCT(A63:E63,'Pollutant Annual Calibration'!$BG$59:$BK$59)</f>
        <v>#DIV/0!</v>
      </c>
      <c r="AF63" s="122" t="e">
        <f>SUMPRODUCT(A63:E63,'Pollutant Annual Calibration'!$BG$60:$BK$60)</f>
        <v>#DIV/0!</v>
      </c>
      <c r="AG63" s="122" t="e">
        <f>SUMPRODUCT(A63:E63,'Pollutant Annual Calibration'!$BG$61:$BK$61)</f>
        <v>#DIV/0!</v>
      </c>
      <c r="AH63" s="122" t="e">
        <f>SUMPRODUCT(A63:E63,'Pollutant Annual Calibration'!$BG$62:$BK$62)</f>
        <v>#DIV/0!</v>
      </c>
      <c r="AI63" s="123" t="e">
        <f>SUMPRODUCT(A63:E63,'Pollutant Annual Calibration'!$BG$63:$BK$63)</f>
        <v>#DIV/0!</v>
      </c>
    </row>
    <row r="64" spans="1:35" ht="18" customHeight="1" x14ac:dyDescent="0.2">
      <c r="A64" s="124">
        <v>1</v>
      </c>
      <c r="B64" s="125">
        <f t="shared" ref="B64:B112" si="0">B63+0.02*($A$7-$B$63)</f>
        <v>40.76</v>
      </c>
      <c r="C64" s="126">
        <f t="shared" ref="C64:C113" si="1">B64^2</f>
        <v>1661.3775999999998</v>
      </c>
      <c r="D64" s="127">
        <f t="shared" ref="D64:D113" si="2">B64^3</f>
        <v>67717.750975999996</v>
      </c>
      <c r="E64" s="128">
        <f t="shared" ref="E64:E113" si="3">B64^4</f>
        <v>2760175.5297817593</v>
      </c>
      <c r="F64" s="129">
        <f>'Pollutant Annual Calibration'!$K$27+'Pollutant Annual Calibration'!$K$28*'Chart Data Pollutant'!B64</f>
        <v>40.825670431374661</v>
      </c>
      <c r="G64" s="108">
        <f t="shared" ref="G64:G113" si="4">F64-$H$6*SQRT(SUMPRODUCT(A64:B64,V64:W64))</f>
        <v>40.605262180355027</v>
      </c>
      <c r="H64" s="108">
        <f>F64+F64-G64</f>
        <v>41.046078682394295</v>
      </c>
      <c r="I64" s="90"/>
      <c r="J64" s="130">
        <f>'Pollutant Annual Calibration'!$U$30+'Chart Data Pollutant'!B64*'Pollutant Annual Calibration'!$U$31+'Chart Data Pollutant'!B64^2*'Pollutant Annual Calibration'!$U$32</f>
        <v>40.824973475803155</v>
      </c>
      <c r="K64" s="110">
        <f>$J64-$H$7*SQRT(SUMPRODUCT(A64:C64,X64:Z64))</f>
        <v>40.402268349378033</v>
      </c>
      <c r="L64" s="110">
        <f t="shared" ref="L64:L113" si="5">J64+J64-K64</f>
        <v>41.247678602228277</v>
      </c>
      <c r="M64" s="91"/>
      <c r="N64" s="111">
        <f>'Pollutant Annual Calibration'!$AD$30+B64*'Pollutant Annual Calibration'!$AD$31+B64^2*'Pollutant Annual Calibration'!$AD$32+B64^3*'Pollutant Annual Calibration'!$AD$33</f>
        <v>40.807645979268393</v>
      </c>
      <c r="O64" s="131">
        <f t="shared" ref="O64:O113" si="6">N64-SQRT(SUMPRODUCT(AA64:AD64,A64:D64)*$H$8)</f>
        <v>40.453853821964188</v>
      </c>
      <c r="P64" s="112">
        <f t="shared" ref="P64:P113" si="7">N64+N64-O64</f>
        <v>41.161438136572599</v>
      </c>
      <c r="Q64" s="92"/>
      <c r="R64" s="132">
        <f>SUMPRODUCT(A64:E64,'Pollutant Annual Calibration'!$BI$43:$BM$43)</f>
        <v>40.788843182638388</v>
      </c>
      <c r="S64" s="81" t="e">
        <f t="shared" ref="S64:S113" si="8">R64-SQRT(SUMPRODUCT(AE64:AI64,A64:E64)*$H$9)</f>
        <v>#DIV/0!</v>
      </c>
      <c r="T64" s="114" t="e">
        <f t="shared" ref="T64:T113" si="9">R64+R64-S64</f>
        <v>#DIV/0!</v>
      </c>
      <c r="U64" s="81"/>
      <c r="V64" s="71">
        <f>SUMPRODUCT($A64:$B64,'Pollutant Annual Calibration'!$K$52:$L$52)</f>
        <v>1.1622945516536608E-2</v>
      </c>
      <c r="W64" s="90">
        <f>SUMPRODUCT($A64:$B64,'Pollutant Annual Calibration'!$K$53:$L$53)</f>
        <v>-1.6747657638641994E-4</v>
      </c>
      <c r="X64" s="74">
        <f>SUMPRODUCT($A64:$C64,'Pollutant Annual Calibration'!$U$59:$W$59)</f>
        <v>7.1963354344044439E-2</v>
      </c>
      <c r="Y64" s="75">
        <f>SUMPRODUCT($A64:$C64,'Pollutant Annual Calibration'!$U$60:$W$60)</f>
        <v>-2.2024661331627934E-3</v>
      </c>
      <c r="Z64" s="75">
        <f>SUMPRODUCT($A64:$C64,'Pollutant Annual Calibration'!$U$61:$W$61)</f>
        <v>1.6528954452642709E-5</v>
      </c>
      <c r="AA64" s="133">
        <f>SUMPRODUCT($A64:$D64,'Pollutant Annual Calibration'!$AD$59:$AG$59)</f>
        <v>0.1622006235676885</v>
      </c>
      <c r="AB64" s="112">
        <f>SUMPRODUCT($A64:$D64,'Pollutant Annual Calibration'!$AD$60:$AG$60)</f>
        <v>-7.0924646186377727E-3</v>
      </c>
      <c r="AC64" s="112">
        <f>SUMPRODUCT($A64:$D64,'Pollutant Annual Calibration'!$AD$61:$AG$61)</f>
        <v>1.0201499863744801E-4</v>
      </c>
      <c r="AD64" s="134">
        <f>SUMPRODUCT($A64:$D64,'Pollutant Annual Calibration'!$AD$62:$AG$62)</f>
        <v>-4.8356883551412151E-7</v>
      </c>
      <c r="AE64" s="81" t="e">
        <f>SUMPRODUCT(A64:E64,'Pollutant Annual Calibration'!$BG$59:$BK$59)</f>
        <v>#DIV/0!</v>
      </c>
      <c r="AF64" s="81" t="e">
        <f>SUMPRODUCT(A64:E64,'Pollutant Annual Calibration'!$BG$60:$BK$60)</f>
        <v>#DIV/0!</v>
      </c>
      <c r="AG64" s="81" t="e">
        <f>SUMPRODUCT(A64:E64,'Pollutant Annual Calibration'!$BG$61:$BK$61)</f>
        <v>#DIV/0!</v>
      </c>
      <c r="AH64" s="81" t="e">
        <f>SUMPRODUCT(A64:E64,'Pollutant Annual Calibration'!$BG$62:$BK$62)</f>
        <v>#DIV/0!</v>
      </c>
      <c r="AI64" s="135" t="e">
        <f>SUMPRODUCT(A64:E64,'Pollutant Annual Calibration'!$BG$63:$BK$63)</f>
        <v>#DIV/0!</v>
      </c>
    </row>
    <row r="65" spans="1:35" ht="18" customHeight="1" x14ac:dyDescent="0.2">
      <c r="A65" s="124">
        <v>1</v>
      </c>
      <c r="B65" s="125">
        <f t="shared" si="0"/>
        <v>41.519999999999996</v>
      </c>
      <c r="C65" s="126">
        <f t="shared" si="1"/>
        <v>1723.9103999999998</v>
      </c>
      <c r="D65" s="127">
        <f t="shared" si="2"/>
        <v>71576.759807999988</v>
      </c>
      <c r="E65" s="128">
        <f t="shared" si="3"/>
        <v>2971867.0672281589</v>
      </c>
      <c r="F65" s="129">
        <f>'Pollutant Annual Calibration'!$K$27+'Pollutant Annual Calibration'!$K$28*'Chart Data Pollutant'!B65</f>
        <v>41.592328506760758</v>
      </c>
      <c r="G65" s="72">
        <f t="shared" si="4"/>
        <v>41.377727527611775</v>
      </c>
      <c r="H65" s="108">
        <f t="shared" ref="H65:H113" si="10">F65+F65-G65</f>
        <v>41.806929485909741</v>
      </c>
      <c r="I65" s="90"/>
      <c r="J65" s="130">
        <f>'Pollutant Annual Calibration'!$U$30+'Chart Data Pollutant'!B65*'Pollutant Annual Calibration'!$U$31+'Chart Data Pollutant'!B65^2*'Pollutant Annual Calibration'!$U$32</f>
        <v>41.591758994659536</v>
      </c>
      <c r="K65" s="75">
        <f t="shared" ref="K65:K113" si="11">$J65-$H$7*SQRT(SUMPRODUCT(A65:C65,X65:Z65))</f>
        <v>41.195985199892313</v>
      </c>
      <c r="L65" s="110">
        <f t="shared" si="5"/>
        <v>41.987532789426758</v>
      </c>
      <c r="M65" s="91"/>
      <c r="N65" s="111">
        <f>'Pollutant Annual Calibration'!$AD$30+B65*'Pollutant Annual Calibration'!$AD$31+B65^2*'Pollutant Annual Calibration'!$AD$32+B65^3*'Pollutant Annual Calibration'!$AD$33</f>
        <v>41.59501678340888</v>
      </c>
      <c r="O65" s="131">
        <f t="shared" si="6"/>
        <v>41.266997460362099</v>
      </c>
      <c r="P65" s="112">
        <f t="shared" si="7"/>
        <v>41.923036106455662</v>
      </c>
      <c r="Q65" s="92"/>
      <c r="R65" s="132">
        <f>SUMPRODUCT(A65:E65,'Pollutant Annual Calibration'!$BI$43:$BM$43)</f>
        <v>41.554757242920545</v>
      </c>
      <c r="S65" s="81" t="e">
        <f t="shared" si="8"/>
        <v>#DIV/0!</v>
      </c>
      <c r="T65" s="114" t="e">
        <f t="shared" si="9"/>
        <v>#DIV/0!</v>
      </c>
      <c r="U65" s="81"/>
      <c r="V65" s="71">
        <f>SUMPRODUCT($A65:$B65,'Pollutant Annual Calibration'!$K$52:$L$52)</f>
        <v>1.12202905800186E-2</v>
      </c>
      <c r="W65" s="90">
        <f>SUMPRODUCT($A65:$B65,'Pollutant Annual Calibration'!$K$53:$L$53)</f>
        <v>-1.607206210757151E-4</v>
      </c>
      <c r="X65" s="74">
        <f>SUMPRODUCT($A65:$C65,'Pollutant Annual Calibration'!$U$59:$W$59)</f>
        <v>6.1388098728716645E-2</v>
      </c>
      <c r="Y65" s="75">
        <f>SUMPRODUCT($A65:$C65,'Pollutant Annual Calibration'!$U$60:$W$60)</f>
        <v>-1.8355279689454725E-3</v>
      </c>
      <c r="Z65" s="75">
        <f>SUMPRODUCT($A65:$C65,'Pollutant Annual Calibration'!$U$61:$W$61)</f>
        <v>1.3506513066423266E-5</v>
      </c>
      <c r="AA65" s="133">
        <f>SUMPRODUCT($A65:$D65,'Pollutant Annual Calibration'!$AD$59:$AG$59)</f>
        <v>4.4422355663732205E-2</v>
      </c>
      <c r="AB65" s="112">
        <f>SUMPRODUCT($A65:$D65,'Pollutant Annual Calibration'!$AD$60:$AG$60)</f>
        <v>-9.1614666888606422E-4</v>
      </c>
      <c r="AC65" s="112">
        <f>SUMPRODUCT($A65:$D65,'Pollutant Annual Calibration'!$AD$61:$AG$61)</f>
        <v>-2.5659398541332673E-6</v>
      </c>
      <c r="AD65" s="134">
        <f>SUMPRODUCT($A65:$D65,'Pollutant Annual Calibration'!$AD$62:$AG$62)</f>
        <v>9.0917031156896653E-8</v>
      </c>
      <c r="AE65" s="81" t="e">
        <f>SUMPRODUCT(A65:E65,'Pollutant Annual Calibration'!$BG$59:$BK$59)</f>
        <v>#DIV/0!</v>
      </c>
      <c r="AF65" s="81" t="e">
        <f>SUMPRODUCT(A65:E65,'Pollutant Annual Calibration'!$BG$60:$BK$60)</f>
        <v>#DIV/0!</v>
      </c>
      <c r="AG65" s="81" t="e">
        <f>SUMPRODUCT(A65:E65,'Pollutant Annual Calibration'!$BG$61:$BK$61)</f>
        <v>#DIV/0!</v>
      </c>
      <c r="AH65" s="81" t="e">
        <f>SUMPRODUCT(A65:E65,'Pollutant Annual Calibration'!$BG$62:$BK$62)</f>
        <v>#DIV/0!</v>
      </c>
      <c r="AI65" s="135" t="e">
        <f>SUMPRODUCT(A65:E65,'Pollutant Annual Calibration'!$BG$63:$BK$63)</f>
        <v>#DIV/0!</v>
      </c>
    </row>
    <row r="66" spans="1:35" ht="18" customHeight="1" x14ac:dyDescent="0.2">
      <c r="A66" s="124">
        <v>1</v>
      </c>
      <c r="B66" s="125">
        <f t="shared" si="0"/>
        <v>42.279999999999994</v>
      </c>
      <c r="C66" s="126">
        <f t="shared" si="1"/>
        <v>1787.5983999999994</v>
      </c>
      <c r="D66" s="127">
        <f t="shared" si="2"/>
        <v>75579.660351999963</v>
      </c>
      <c r="E66" s="128">
        <f t="shared" si="3"/>
        <v>3195508.0396825578</v>
      </c>
      <c r="F66" s="129">
        <f>'Pollutant Annual Calibration'!$K$27+'Pollutant Annual Calibration'!$K$28*'Chart Data Pollutant'!B66</f>
        <v>42.358986582146862</v>
      </c>
      <c r="G66" s="72">
        <f t="shared" si="4"/>
        <v>42.150105352782994</v>
      </c>
      <c r="H66" s="108">
        <f t="shared" si="10"/>
        <v>42.56786781151073</v>
      </c>
      <c r="I66" s="90"/>
      <c r="J66" s="130">
        <f>'Pollutant Annual Calibration'!$U$30+'Chart Data Pollutant'!B66*'Pollutant Annual Calibration'!$U$31+'Chart Data Pollutant'!B66^2*'Pollutant Annual Calibration'!$U$32</f>
        <v>42.358539098271784</v>
      </c>
      <c r="K66" s="75">
        <f t="shared" si="11"/>
        <v>41.986554041240296</v>
      </c>
      <c r="L66" s="110">
        <f t="shared" si="5"/>
        <v>42.730524155303272</v>
      </c>
      <c r="M66" s="91"/>
      <c r="N66" s="111">
        <f>'Pollutant Annual Calibration'!$AD$30+B66*'Pollutant Annual Calibration'!$AD$31+B66^2*'Pollutant Annual Calibration'!$AD$32+B66^3*'Pollutant Annual Calibration'!$AD$33</f>
        <v>42.379846369316752</v>
      </c>
      <c r="O66" s="131">
        <f t="shared" si="6"/>
        <v>42.065519169296273</v>
      </c>
      <c r="P66" s="112">
        <f t="shared" si="7"/>
        <v>42.694173569337231</v>
      </c>
      <c r="Q66" s="92"/>
      <c r="R66" s="132">
        <f>SUMPRODUCT(A66:E66,'Pollutant Annual Calibration'!$BI$43:$BM$43)</f>
        <v>42.323467980631364</v>
      </c>
      <c r="S66" s="81" t="e">
        <f t="shared" si="8"/>
        <v>#DIV/0!</v>
      </c>
      <c r="T66" s="114" t="e">
        <f t="shared" si="9"/>
        <v>#DIV/0!</v>
      </c>
      <c r="U66" s="81"/>
      <c r="V66" s="71">
        <f>SUMPRODUCT($A66:$B66,'Pollutant Annual Calibration'!$K$52:$L$52)</f>
        <v>1.0817635643500592E-2</v>
      </c>
      <c r="W66" s="90">
        <f>SUMPRODUCT($A66:$B66,'Pollutant Annual Calibration'!$K$53:$L$53)</f>
        <v>-1.5396466576501027E-4</v>
      </c>
      <c r="X66" s="74">
        <f>SUMPRODUCT($A66:$C66,'Pollutant Annual Calibration'!$U$59:$W$59)</f>
        <v>5.1236538424169531E-2</v>
      </c>
      <c r="Y66" s="75">
        <f>SUMPRODUCT($A66:$C66,'Pollutant Annual Calibration'!$U$60:$W$60)</f>
        <v>-1.4837509378505323E-3</v>
      </c>
      <c r="Z66" s="75">
        <f>SUMPRODUCT($A66:$C66,'Pollutant Annual Calibration'!$U$61:$W$61)</f>
        <v>1.0612499271542443E-5</v>
      </c>
      <c r="AA66" s="133">
        <f>SUMPRODUCT($A66:$D66,'Pollutant Annual Calibration'!$AD$59:$AG$59)</f>
        <v>-5.9726389781513234E-2</v>
      </c>
      <c r="AB66" s="112">
        <f>SUMPRODUCT($A66:$D66,'Pollutant Annual Calibration'!$AD$60:$AG$60)</f>
        <v>4.5293803940019695E-3</v>
      </c>
      <c r="AC66" s="112">
        <f>SUMPRODUCT($A66:$D66,'Pollutant Annual Calibration'!$AD$61:$AG$61)</f>
        <v>-9.4507944477125599E-5</v>
      </c>
      <c r="AD66" s="134">
        <f>SUMPRODUCT($A66:$D66,'Pollutant Annual Calibration'!$AD$62:$AG$62)</f>
        <v>5.9463472730524915E-7</v>
      </c>
      <c r="AE66" s="81" t="e">
        <f>SUMPRODUCT(A66:E66,'Pollutant Annual Calibration'!$BG$59:$BK$59)</f>
        <v>#DIV/0!</v>
      </c>
      <c r="AF66" s="81" t="e">
        <f>SUMPRODUCT(A66:E66,'Pollutant Annual Calibration'!$BG$60:$BK$60)</f>
        <v>#DIV/0!</v>
      </c>
      <c r="AG66" s="81" t="e">
        <f>SUMPRODUCT(A66:E66,'Pollutant Annual Calibration'!$BG$61:$BK$61)</f>
        <v>#DIV/0!</v>
      </c>
      <c r="AH66" s="81" t="e">
        <f>SUMPRODUCT(A66:E66,'Pollutant Annual Calibration'!$BG$62:$BK$62)</f>
        <v>#DIV/0!</v>
      </c>
      <c r="AI66" s="135" t="e">
        <f>SUMPRODUCT(A66:E66,'Pollutant Annual Calibration'!$BG$63:$BK$63)</f>
        <v>#DIV/0!</v>
      </c>
    </row>
    <row r="67" spans="1:35" ht="18" customHeight="1" x14ac:dyDescent="0.2">
      <c r="A67" s="124">
        <v>1</v>
      </c>
      <c r="B67" s="125">
        <f t="shared" si="0"/>
        <v>43.039999999999992</v>
      </c>
      <c r="C67" s="126">
        <f t="shared" si="1"/>
        <v>1852.4415999999994</v>
      </c>
      <c r="D67" s="127">
        <f t="shared" si="2"/>
        <v>79729.086463999964</v>
      </c>
      <c r="E67" s="128">
        <f t="shared" si="3"/>
        <v>3431539.8814105578</v>
      </c>
      <c r="F67" s="129">
        <f>'Pollutant Annual Calibration'!$K$27+'Pollutant Annual Calibration'!$K$28*'Chart Data Pollutant'!B67</f>
        <v>43.125644657532966</v>
      </c>
      <c r="G67" s="72">
        <f t="shared" si="4"/>
        <v>42.922388266971403</v>
      </c>
      <c r="H67" s="108">
        <f t="shared" si="10"/>
        <v>43.328901048094529</v>
      </c>
      <c r="I67" s="90"/>
      <c r="J67" s="130">
        <f>'Pollutant Annual Calibration'!$U$30+'Chart Data Pollutant'!B67*'Pollutant Annual Calibration'!$U$31+'Chart Data Pollutant'!B67^2*'Pollutant Annual Calibration'!$U$32</f>
        <v>43.125313786639907</v>
      </c>
      <c r="K67" s="75">
        <f t="shared" si="11"/>
        <v>42.773865022885253</v>
      </c>
      <c r="L67" s="110">
        <f t="shared" si="5"/>
        <v>43.476762550394561</v>
      </c>
      <c r="M67" s="91"/>
      <c r="N67" s="111">
        <f>'Pollutant Annual Calibration'!$AD$30+B67*'Pollutant Annual Calibration'!$AD$31+B67^2*'Pollutant Annual Calibration'!$AD$32+B67^3*'Pollutant Annual Calibration'!$AD$33</f>
        <v>43.162245450514497</v>
      </c>
      <c r="O67" s="131">
        <f t="shared" si="6"/>
        <v>42.851953680701889</v>
      </c>
      <c r="P67" s="112">
        <f t="shared" si="7"/>
        <v>43.472537220327105</v>
      </c>
      <c r="Q67" s="92"/>
      <c r="R67" s="132">
        <f>SUMPRODUCT(A67:E67,'Pollutant Annual Calibration'!$BI$43:$BM$43)</f>
        <v>43.094518254600665</v>
      </c>
      <c r="S67" s="81" t="e">
        <f t="shared" si="8"/>
        <v>#DIV/0!</v>
      </c>
      <c r="T67" s="114" t="e">
        <f t="shared" si="9"/>
        <v>#DIV/0!</v>
      </c>
      <c r="U67" s="81"/>
      <c r="V67" s="71">
        <f>SUMPRODUCT($A67:$B67,'Pollutant Annual Calibration'!$K$52:$L$52)</f>
        <v>1.0414980706982584E-2</v>
      </c>
      <c r="W67" s="90">
        <f>SUMPRODUCT($A67:$B67,'Pollutant Annual Calibration'!$K$53:$L$53)</f>
        <v>-1.4720871045430548E-4</v>
      </c>
      <c r="X67" s="74">
        <f>SUMPRODUCT($A67:$C67,'Pollutant Annual Calibration'!$U$59:$W$59)</f>
        <v>4.1508673430403098E-2</v>
      </c>
      <c r="Y67" s="75">
        <f>SUMPRODUCT($A67:$C67,'Pollutant Annual Calibration'!$U$60:$W$60)</f>
        <v>-1.1471350398780077E-3</v>
      </c>
      <c r="Z67" s="75">
        <f>SUMPRODUCT($A67:$C67,'Pollutant Annual Calibration'!$U$61:$W$61)</f>
        <v>7.8469130680002962E-6</v>
      </c>
      <c r="AA67" s="133">
        <f>SUMPRODUCT($A67:$D67,'Pollutant Annual Calibration'!$AD$59:$AG$59)</f>
        <v>-0.15082218107696121</v>
      </c>
      <c r="AB67" s="112">
        <f>SUMPRODUCT($A67:$D67,'Pollutant Annual Calibration'!$AD$60:$AG$60)</f>
        <v>9.2753610678010245E-3</v>
      </c>
      <c r="AC67" s="112">
        <f>SUMPRODUCT($A67:$D67,'Pollutant Annual Calibration'!$AD$61:$AG$61)</f>
        <v>-1.7435722573141965E-4</v>
      </c>
      <c r="AD67" s="134">
        <f>SUMPRODUCT($A67:$D67,'Pollutant Annual Calibration'!$AD$62:$AG$62)</f>
        <v>1.0306740014144085E-6</v>
      </c>
      <c r="AE67" s="81" t="e">
        <f>SUMPRODUCT(A67:E67,'Pollutant Annual Calibration'!$BG$59:$BK$59)</f>
        <v>#DIV/0!</v>
      </c>
      <c r="AF67" s="81" t="e">
        <f>SUMPRODUCT(A67:E67,'Pollutant Annual Calibration'!$BG$60:$BK$60)</f>
        <v>#DIV/0!</v>
      </c>
      <c r="AG67" s="81" t="e">
        <f>SUMPRODUCT(A67:E67,'Pollutant Annual Calibration'!$BG$61:$BK$61)</f>
        <v>#DIV/0!</v>
      </c>
      <c r="AH67" s="81" t="e">
        <f>SUMPRODUCT(A67:E67,'Pollutant Annual Calibration'!$BG$62:$BK$62)</f>
        <v>#DIV/0!</v>
      </c>
      <c r="AI67" s="135" t="e">
        <f>SUMPRODUCT(A67:E67,'Pollutant Annual Calibration'!$BG$63:$BK$63)</f>
        <v>#DIV/0!</v>
      </c>
    </row>
    <row r="68" spans="1:35" ht="18" customHeight="1" x14ac:dyDescent="0.2">
      <c r="A68" s="124">
        <v>1</v>
      </c>
      <c r="B68" s="125">
        <f t="shared" si="0"/>
        <v>43.79999999999999</v>
      </c>
      <c r="C68" s="126">
        <f t="shared" si="1"/>
        <v>1918.4399999999991</v>
      </c>
      <c r="D68" s="127">
        <f t="shared" si="2"/>
        <v>84027.671999999948</v>
      </c>
      <c r="E68" s="128">
        <f t="shared" si="3"/>
        <v>3680412.0335999969</v>
      </c>
      <c r="F68" s="129">
        <f>'Pollutant Annual Calibration'!$K$27+'Pollutant Annual Calibration'!$K$28*'Chart Data Pollutant'!B68</f>
        <v>43.89230273291907</v>
      </c>
      <c r="G68" s="72">
        <f t="shared" si="4"/>
        <v>43.694568170380393</v>
      </c>
      <c r="H68" s="108">
        <f t="shared" si="10"/>
        <v>44.090037295457748</v>
      </c>
      <c r="I68" s="90"/>
      <c r="J68" s="130">
        <f>'Pollutant Annual Calibration'!$U$30+'Chart Data Pollutant'!B68*'Pollutant Annual Calibration'!$U$31+'Chart Data Pollutant'!B68^2*'Pollutant Annual Calibration'!$U$32</f>
        <v>43.892083059763898</v>
      </c>
      <c r="K68" s="75">
        <f t="shared" si="11"/>
        <v>43.557849488492508</v>
      </c>
      <c r="L68" s="110">
        <f t="shared" si="5"/>
        <v>44.226316631035289</v>
      </c>
      <c r="M68" s="91"/>
      <c r="N68" s="111">
        <f>'Pollutant Annual Calibration'!$AD$30+B68*'Pollutant Annual Calibration'!$AD$31+B68^2*'Pollutant Annual Calibration'!$AD$32+B68^3*'Pollutant Annual Calibration'!$AD$33</f>
        <v>43.94232474052459</v>
      </c>
      <c r="O68" s="131">
        <f t="shared" si="6"/>
        <v>43.6293276138734</v>
      </c>
      <c r="P68" s="112">
        <f t="shared" si="7"/>
        <v>44.25532186717578</v>
      </c>
      <c r="Q68" s="92"/>
      <c r="R68" s="132">
        <f>SUMPRODUCT(A68:E68,'Pollutant Annual Calibration'!$BI$43:$BM$43)</f>
        <v>43.867475786058719</v>
      </c>
      <c r="S68" s="81" t="e">
        <f t="shared" si="8"/>
        <v>#DIV/0!</v>
      </c>
      <c r="T68" s="114" t="e">
        <f t="shared" si="9"/>
        <v>#DIV/0!</v>
      </c>
      <c r="U68" s="81"/>
      <c r="V68" s="71">
        <f>SUMPRODUCT($A68:$B68,'Pollutant Annual Calibration'!$K$52:$L$52)</f>
        <v>1.0012325770464577E-2</v>
      </c>
      <c r="W68" s="90">
        <f>SUMPRODUCT($A68:$B68,'Pollutant Annual Calibration'!$K$53:$L$53)</f>
        <v>-1.4045275514360065E-4</v>
      </c>
      <c r="X68" s="74">
        <f>SUMPRODUCT($A68:$C68,'Pollutant Annual Calibration'!$U$59:$W$59)</f>
        <v>3.2204503747416902E-2</v>
      </c>
      <c r="Y68" s="75">
        <f>SUMPRODUCT($A68:$C68,'Pollutant Annual Calibration'!$U$60:$W$60)</f>
        <v>-8.2568027502787772E-4</v>
      </c>
      <c r="Z68" s="75">
        <f>SUMPRODUCT($A68:$C68,'Pollutant Annual Calibration'!$U$61:$W$61)</f>
        <v>5.2097544557966888E-6</v>
      </c>
      <c r="AA68" s="133">
        <f>SUMPRODUCT($A68:$D68,'Pollutant Annual Calibration'!$AD$59:$AG$59)</f>
        <v>-0.22944158653152869</v>
      </c>
      <c r="AB68" s="112">
        <f>SUMPRODUCT($A68:$D68,'Pollutant Annual Calibration'!$AD$60:$AG$60)</f>
        <v>1.3353039850283133E-2</v>
      </c>
      <c r="AC68" s="112">
        <f>SUMPRODUCT($A68:$D68,'Pollutant Annual Calibration'!$AD$61:$AG$61)</f>
        <v>-2.4265999411691649E-4</v>
      </c>
      <c r="AD68" s="134">
        <f>SUMPRODUCT($A68:$D68,'Pollutant Annual Calibration'!$AD$62:$AG$62)</f>
        <v>1.4021246019678879E-6</v>
      </c>
      <c r="AE68" s="81" t="e">
        <f>SUMPRODUCT(A68:E68,'Pollutant Annual Calibration'!$BG$59:$BK$59)</f>
        <v>#DIV/0!</v>
      </c>
      <c r="AF68" s="81" t="e">
        <f>SUMPRODUCT(A68:E68,'Pollutant Annual Calibration'!$BG$60:$BK$60)</f>
        <v>#DIV/0!</v>
      </c>
      <c r="AG68" s="81" t="e">
        <f>SUMPRODUCT(A68:E68,'Pollutant Annual Calibration'!$BG$61:$BK$61)</f>
        <v>#DIV/0!</v>
      </c>
      <c r="AH68" s="81" t="e">
        <f>SUMPRODUCT(A68:E68,'Pollutant Annual Calibration'!$BG$62:$BK$62)</f>
        <v>#DIV/0!</v>
      </c>
      <c r="AI68" s="135" t="e">
        <f>SUMPRODUCT(A68:E68,'Pollutant Annual Calibration'!$BG$63:$BK$63)</f>
        <v>#DIV/0!</v>
      </c>
    </row>
    <row r="69" spans="1:35" ht="18" customHeight="1" x14ac:dyDescent="0.2">
      <c r="A69" s="124">
        <v>1</v>
      </c>
      <c r="B69" s="125">
        <f t="shared" si="0"/>
        <v>44.559999999999988</v>
      </c>
      <c r="C69" s="126">
        <f t="shared" si="1"/>
        <v>1985.593599999999</v>
      </c>
      <c r="D69" s="127">
        <f t="shared" si="2"/>
        <v>88478.05081599993</v>
      </c>
      <c r="E69" s="128">
        <f t="shared" si="3"/>
        <v>3942581.9443609561</v>
      </c>
      <c r="F69" s="129">
        <f>'Pollutant Annual Calibration'!$K$27+'Pollutant Annual Calibration'!$K$28*'Chart Data Pollutant'!B69</f>
        <v>44.658960808305167</v>
      </c>
      <c r="G69" s="72">
        <f t="shared" si="4"/>
        <v>44.466636190184396</v>
      </c>
      <c r="H69" s="108">
        <f t="shared" si="10"/>
        <v>44.851285426425939</v>
      </c>
      <c r="I69" s="90"/>
      <c r="J69" s="130">
        <f>'Pollutant Annual Calibration'!$U$30+'Chart Data Pollutant'!B69*'Pollutant Annual Calibration'!$U$31+'Chart Data Pollutant'!B69^2*'Pollutant Annual Calibration'!$U$32</f>
        <v>44.658846917643764</v>
      </c>
      <c r="K69" s="75">
        <f t="shared" si="11"/>
        <v>44.338500179392156</v>
      </c>
      <c r="L69" s="110">
        <f t="shared" si="5"/>
        <v>44.979193655895372</v>
      </c>
      <c r="M69" s="91"/>
      <c r="N69" s="111">
        <f>'Pollutant Annual Calibration'!$AD$30+B69*'Pollutant Annual Calibration'!$AD$31+B69^2*'Pollutant Annual Calibration'!$AD$32+B69^3*'Pollutant Annual Calibration'!$AD$33</f>
        <v>44.720194952869534</v>
      </c>
      <c r="O69" s="131">
        <f t="shared" si="6"/>
        <v>44.400533705227488</v>
      </c>
      <c r="P69" s="112">
        <f t="shared" si="7"/>
        <v>45.039856200511579</v>
      </c>
      <c r="Q69" s="92"/>
      <c r="R69" s="132">
        <f>SUMPRODUCT(A69:E69,'Pollutant Annual Calibration'!$BI$43:$BM$43)</f>
        <v>44.641933158636334</v>
      </c>
      <c r="S69" s="81" t="e">
        <f t="shared" si="8"/>
        <v>#DIV/0!</v>
      </c>
      <c r="T69" s="114" t="e">
        <f t="shared" si="9"/>
        <v>#DIV/0!</v>
      </c>
      <c r="U69" s="81"/>
      <c r="V69" s="71">
        <f>SUMPRODUCT($A69:$B69,'Pollutant Annual Calibration'!$K$52:$L$52)</f>
        <v>9.6096708339465688E-3</v>
      </c>
      <c r="W69" s="90">
        <f>SUMPRODUCT($A69:$B69,'Pollutant Annual Calibration'!$K$53:$L$53)</f>
        <v>-1.3369679983289581E-4</v>
      </c>
      <c r="X69" s="74">
        <f>SUMPRODUCT($A69:$C69,'Pollutant Annual Calibration'!$U$59:$W$59)</f>
        <v>2.3324029375211719E-2</v>
      </c>
      <c r="Y69" s="75">
        <f>SUMPRODUCT($A69:$C69,'Pollutant Annual Calibration'!$U$60:$W$60)</f>
        <v>-5.1938664330013207E-4</v>
      </c>
      <c r="Z69" s="75">
        <f>SUMPRODUCT($A69:$C69,'Pollutant Annual Calibration'!$U$61:$W$61)</f>
        <v>2.701023434931838E-6</v>
      </c>
      <c r="AA69" s="133">
        <f>SUMPRODUCT($A69:$D69,'Pollutant Annual Calibration'!$AD$59:$AG$59)</f>
        <v>-0.29616117445415213</v>
      </c>
      <c r="AB69" s="112">
        <f>SUMPRODUCT($A69:$D69,'Pollutant Annual Calibration'!$AD$60:$AG$60)</f>
        <v>1.6793661239223656E-2</v>
      </c>
      <c r="AC69" s="112">
        <f>SUMPRODUCT($A69:$D69,'Pollutant Annual Calibration'!$AD$61:$AG$61)</f>
        <v>-2.9996246013351546E-4</v>
      </c>
      <c r="AD69" s="134">
        <f>SUMPRODUCT($A69:$D69,'Pollutant Annual Calibration'!$AD$62:$AG$62)</f>
        <v>1.7120762774491328E-6</v>
      </c>
      <c r="AE69" s="81" t="e">
        <f>SUMPRODUCT(A69:E69,'Pollutant Annual Calibration'!$BG$59:$BK$59)</f>
        <v>#DIV/0!</v>
      </c>
      <c r="AF69" s="81" t="e">
        <f>SUMPRODUCT(A69:E69,'Pollutant Annual Calibration'!$BG$60:$BK$60)</f>
        <v>#DIV/0!</v>
      </c>
      <c r="AG69" s="81" t="e">
        <f>SUMPRODUCT(A69:E69,'Pollutant Annual Calibration'!$BG$61:$BK$61)</f>
        <v>#DIV/0!</v>
      </c>
      <c r="AH69" s="81" t="e">
        <f>SUMPRODUCT(A69:E69,'Pollutant Annual Calibration'!$BG$62:$BK$62)</f>
        <v>#DIV/0!</v>
      </c>
      <c r="AI69" s="135" t="e">
        <f>SUMPRODUCT(A69:E69,'Pollutant Annual Calibration'!$BG$63:$BK$63)</f>
        <v>#DIV/0!</v>
      </c>
    </row>
    <row r="70" spans="1:35" ht="18" customHeight="1" x14ac:dyDescent="0.2">
      <c r="A70" s="124">
        <v>1</v>
      </c>
      <c r="B70" s="125">
        <f t="shared" si="0"/>
        <v>45.319999999999986</v>
      </c>
      <c r="C70" s="126">
        <f t="shared" si="1"/>
        <v>2053.9023999999986</v>
      </c>
      <c r="D70" s="127">
        <f t="shared" si="2"/>
        <v>93082.856767999911</v>
      </c>
      <c r="E70" s="128">
        <f t="shared" si="3"/>
        <v>4218515.0687257545</v>
      </c>
      <c r="F70" s="129">
        <f>'Pollutant Annual Calibration'!$K$27+'Pollutant Annual Calibration'!$K$28*'Chart Data Pollutant'!B70</f>
        <v>45.425618883691271</v>
      </c>
      <c r="G70" s="72">
        <f t="shared" si="4"/>
        <v>45.238582617574416</v>
      </c>
      <c r="H70" s="108">
        <f t="shared" si="10"/>
        <v>45.612655149808127</v>
      </c>
      <c r="I70" s="90"/>
      <c r="J70" s="130">
        <f>'Pollutant Annual Calibration'!$U$30+'Chart Data Pollutant'!B70*'Pollutant Annual Calibration'!$U$31+'Chart Data Pollutant'!B70^2*'Pollutant Annual Calibration'!$U$32</f>
        <v>45.425605360279498</v>
      </c>
      <c r="K70" s="75">
        <f t="shared" si="11"/>
        <v>45.115889069633639</v>
      </c>
      <c r="L70" s="110">
        <f t="shared" si="5"/>
        <v>45.735321650925357</v>
      </c>
      <c r="M70" s="91"/>
      <c r="N70" s="111">
        <f>'Pollutant Annual Calibration'!$AD$30+B70*'Pollutant Annual Calibration'!$AD$31+B70^2*'Pollutant Annual Calibration'!$AD$32+B70^3*'Pollutant Annual Calibration'!$AD$33</f>
        <v>45.495966801071809</v>
      </c>
      <c r="O70" s="131">
        <f t="shared" si="6"/>
        <v>45.167941019323891</v>
      </c>
      <c r="P70" s="112">
        <f t="shared" si="7"/>
        <v>45.823992582819727</v>
      </c>
      <c r="Q70" s="92"/>
      <c r="R70" s="132">
        <f>SUMPRODUCT(A70:E70,'Pollutant Annual Calibration'!$BI$43:$BM$43)</f>
        <v>45.417507818364726</v>
      </c>
      <c r="S70" s="81" t="e">
        <f t="shared" si="8"/>
        <v>#DIV/0!</v>
      </c>
      <c r="T70" s="114" t="e">
        <f t="shared" si="9"/>
        <v>#DIV/0!</v>
      </c>
      <c r="U70" s="81"/>
      <c r="V70" s="71">
        <f>SUMPRODUCT($A70:$B70,'Pollutant Annual Calibration'!$K$52:$L$52)</f>
        <v>9.207015897428561E-3</v>
      </c>
      <c r="W70" s="90">
        <f>SUMPRODUCT($A70:$B70,'Pollutant Annual Calibration'!$K$53:$L$53)</f>
        <v>-1.2694084452219098E-4</v>
      </c>
      <c r="X70" s="74">
        <f>SUMPRODUCT($A70:$C70,'Pollutant Annual Calibration'!$U$59:$W$59)</f>
        <v>1.4867250313787106E-2</v>
      </c>
      <c r="Y70" s="75">
        <f>SUMPRODUCT($A70:$C70,'Pollutant Annual Calibration'!$U$60:$W$60)</f>
        <v>-2.2825414469479499E-4</v>
      </c>
      <c r="Z70" s="75">
        <f>SUMPRODUCT($A70:$C70,'Pollutant Annual Calibration'!$U$61:$W$61)</f>
        <v>3.2072000540560829E-7</v>
      </c>
      <c r="AA70" s="133">
        <f>SUMPRODUCT($A70:$D70,'Pollutant Annual Calibration'!$AD$59:$AG$59)</f>
        <v>-0.35155751315375028</v>
      </c>
      <c r="AB70" s="112">
        <f>SUMPRODUCT($A70:$D70,'Pollutant Annual Calibration'!$AD$60:$AG$60)</f>
        <v>1.9628469732396736E-2</v>
      </c>
      <c r="AC70" s="112">
        <f>SUMPRODUCT($A70:$D70,'Pollutant Annual Calibration'!$AD$61:$AG$61)</f>
        <v>-3.4681083428111589E-4</v>
      </c>
      <c r="AD70" s="134">
        <f>SUMPRODUCT($A70:$D70,'Pollutant Annual Calibration'!$AD$62:$AG$62)</f>
        <v>1.9636187763417241E-6</v>
      </c>
      <c r="AE70" s="81" t="e">
        <f>SUMPRODUCT(A70:E70,'Pollutant Annual Calibration'!$BG$59:$BK$59)</f>
        <v>#DIV/0!</v>
      </c>
      <c r="AF70" s="81" t="e">
        <f>SUMPRODUCT(A70:E70,'Pollutant Annual Calibration'!$BG$60:$BK$60)</f>
        <v>#DIV/0!</v>
      </c>
      <c r="AG70" s="81" t="e">
        <f>SUMPRODUCT(A70:E70,'Pollutant Annual Calibration'!$BG$61:$BK$61)</f>
        <v>#DIV/0!</v>
      </c>
      <c r="AH70" s="81" t="e">
        <f>SUMPRODUCT(A70:E70,'Pollutant Annual Calibration'!$BG$62:$BK$62)</f>
        <v>#DIV/0!</v>
      </c>
      <c r="AI70" s="135" t="e">
        <f>SUMPRODUCT(A70:E70,'Pollutant Annual Calibration'!$BG$63:$BK$63)</f>
        <v>#DIV/0!</v>
      </c>
    </row>
    <row r="71" spans="1:35" ht="18" customHeight="1" x14ac:dyDescent="0.2">
      <c r="A71" s="124">
        <v>1</v>
      </c>
      <c r="B71" s="125">
        <f t="shared" si="0"/>
        <v>46.079999999999984</v>
      </c>
      <c r="C71" s="126">
        <f t="shared" si="1"/>
        <v>2123.3663999999985</v>
      </c>
      <c r="D71" s="127">
        <f t="shared" si="2"/>
        <v>97844.723711999904</v>
      </c>
      <c r="E71" s="128">
        <f t="shared" si="3"/>
        <v>4508684.8686489537</v>
      </c>
      <c r="F71" s="129">
        <f>'Pollutant Annual Calibration'!$K$27+'Pollutant Annual Calibration'!$K$28*'Chart Data Pollutant'!B71</f>
        <v>46.192276959077375</v>
      </c>
      <c r="G71" s="72">
        <f t="shared" si="4"/>
        <v>46.010396845966405</v>
      </c>
      <c r="H71" s="108">
        <f t="shared" si="10"/>
        <v>46.374157072188346</v>
      </c>
      <c r="I71" s="90"/>
      <c r="J71" s="130">
        <f>'Pollutant Annual Calibration'!$U$30+'Chart Data Pollutant'!B71*'Pollutant Annual Calibration'!$U$31+'Chart Data Pollutant'!B71^2*'Pollutant Annual Calibration'!$U$32</f>
        <v>46.192358387671106</v>
      </c>
      <c r="K71" s="75">
        <f t="shared" si="11"/>
        <v>45.890177824178913</v>
      </c>
      <c r="L71" s="110">
        <f t="shared" si="5"/>
        <v>46.4945389511633</v>
      </c>
      <c r="M71" s="91"/>
      <c r="N71" s="111">
        <f>'Pollutant Annual Calibration'!$AD$30+B71*'Pollutant Annual Calibration'!$AD$31+B71^2*'Pollutant Annual Calibration'!$AD$32+B71^3*'Pollutant Annual Calibration'!$AD$33</f>
        <v>46.269750998653898</v>
      </c>
      <c r="O71" s="131">
        <f t="shared" si="6"/>
        <v>45.933298928189949</v>
      </c>
      <c r="P71" s="112">
        <f t="shared" si="7"/>
        <v>46.606203069117846</v>
      </c>
      <c r="Q71" s="92"/>
      <c r="R71" s="132">
        <f>SUMPRODUCT(A71:E71,'Pollutant Annual Calibration'!$BI$43:$BM$43)</f>
        <v>46.193842073675711</v>
      </c>
      <c r="S71" s="81" t="e">
        <f t="shared" si="8"/>
        <v>#DIV/0!</v>
      </c>
      <c r="T71" s="114" t="e">
        <f t="shared" si="9"/>
        <v>#DIV/0!</v>
      </c>
      <c r="U71" s="81"/>
      <c r="V71" s="71">
        <f>SUMPRODUCT($A71:$B71,'Pollutant Annual Calibration'!$K$52:$L$52)</f>
        <v>8.8043609609105566E-3</v>
      </c>
      <c r="W71" s="90">
        <f>SUMPRODUCT($A71:$B71,'Pollutant Annual Calibration'!$K$53:$L$53)</f>
        <v>-1.201848892114862E-4</v>
      </c>
      <c r="X71" s="74">
        <f>SUMPRODUCT($A71:$C71,'Pollutant Annual Calibration'!$U$59:$W$59)</f>
        <v>6.8341665631433957E-3</v>
      </c>
      <c r="Y71" s="75">
        <f>SUMPRODUCT($A71:$C71,'Pollutant Annual Calibration'!$U$60:$W$60)</f>
        <v>4.7717220788140446E-5</v>
      </c>
      <c r="Z71" s="75">
        <f>SUMPRODUCT($A71:$C71,'Pollutant Annual Calibration'!$U$61:$W$61)</f>
        <v>-1.9311558327819462E-6</v>
      </c>
      <c r="AA71" s="133">
        <f>SUMPRODUCT($A71:$D71,'Pollutant Annual Calibration'!$AD$59:$AG$59)</f>
        <v>-0.39620717093923474</v>
      </c>
      <c r="AB71" s="112">
        <f>SUMPRODUCT($A71:$D71,'Pollutant Annual Calibration'!$AD$60:$AG$60)</f>
        <v>2.1888709827575292E-2</v>
      </c>
      <c r="AC71" s="112">
        <f>SUMPRODUCT($A71:$D71,'Pollutant Annual Calibration'!$AD$61:$AG$61)</f>
        <v>-3.8375132705958589E-4</v>
      </c>
      <c r="AD71" s="134">
        <f>SUMPRODUCT($A71:$D71,'Pollutant Annual Calibration'!$AD$62:$AG$62)</f>
        <v>2.1598418471291072E-6</v>
      </c>
      <c r="AE71" s="81" t="e">
        <f>SUMPRODUCT(A71:E71,'Pollutant Annual Calibration'!$BG$59:$BK$59)</f>
        <v>#DIV/0!</v>
      </c>
      <c r="AF71" s="81" t="e">
        <f>SUMPRODUCT(A71:E71,'Pollutant Annual Calibration'!$BG$60:$BK$60)</f>
        <v>#DIV/0!</v>
      </c>
      <c r="AG71" s="81" t="e">
        <f>SUMPRODUCT(A71:E71,'Pollutant Annual Calibration'!$BG$61:$BK$61)</f>
        <v>#DIV/0!</v>
      </c>
      <c r="AH71" s="81" t="e">
        <f>SUMPRODUCT(A71:E71,'Pollutant Annual Calibration'!$BG$62:$BK$62)</f>
        <v>#DIV/0!</v>
      </c>
      <c r="AI71" s="135" t="e">
        <f>SUMPRODUCT(A71:E71,'Pollutant Annual Calibration'!$BG$63:$BK$63)</f>
        <v>#DIV/0!</v>
      </c>
    </row>
    <row r="72" spans="1:35" ht="18" customHeight="1" x14ac:dyDescent="0.2">
      <c r="A72" s="124">
        <v>1</v>
      </c>
      <c r="B72" s="125">
        <f t="shared" si="0"/>
        <v>46.839999999999982</v>
      </c>
      <c r="C72" s="126">
        <f t="shared" si="1"/>
        <v>2193.9855999999982</v>
      </c>
      <c r="D72" s="127">
        <f t="shared" si="2"/>
        <v>102766.28550399987</v>
      </c>
      <c r="E72" s="128">
        <f t="shared" si="3"/>
        <v>4813572.8130073519</v>
      </c>
      <c r="F72" s="129">
        <f>'Pollutant Annual Calibration'!$K$27+'Pollutant Annual Calibration'!$K$28*'Chart Data Pollutant'!B72</f>
        <v>46.958935034463472</v>
      </c>
      <c r="G72" s="72">
        <f t="shared" si="4"/>
        <v>46.782067313150968</v>
      </c>
      <c r="H72" s="108">
        <f t="shared" si="10"/>
        <v>47.135802755775977</v>
      </c>
      <c r="I72" s="90"/>
      <c r="J72" s="130">
        <f>'Pollutant Annual Calibration'!$U$30+'Chart Data Pollutant'!B72*'Pollutant Annual Calibration'!$U$31+'Chart Data Pollutant'!B72^2*'Pollutant Annual Calibration'!$U$32</f>
        <v>46.959105999818583</v>
      </c>
      <c r="K72" s="75">
        <f t="shared" si="11"/>
        <v>46.661616810682403</v>
      </c>
      <c r="L72" s="110">
        <f t="shared" si="5"/>
        <v>47.256595188954762</v>
      </c>
      <c r="M72" s="91"/>
      <c r="N72" s="111">
        <f>'Pollutant Annual Calibration'!$AD$30+B72*'Pollutant Annual Calibration'!$AD$31+B72^2*'Pollutant Annual Calibration'!$AD$32+B72^3*'Pollutant Annual Calibration'!$AD$33</f>
        <v>47.041658259138309</v>
      </c>
      <c r="O72" s="131">
        <f t="shared" si="6"/>
        <v>46.697811067340872</v>
      </c>
      <c r="P72" s="112">
        <f t="shared" si="7"/>
        <v>47.385505450935746</v>
      </c>
      <c r="Q72" s="92"/>
      <c r="R72" s="132">
        <f>SUMPRODUCT(A72:E72,'Pollutant Annual Calibration'!$BI$43:$BM$43)</f>
        <v>46.970603095401493</v>
      </c>
      <c r="S72" s="81" t="e">
        <f t="shared" si="8"/>
        <v>#DIV/0!</v>
      </c>
      <c r="T72" s="114" t="e">
        <f t="shared" si="9"/>
        <v>#DIV/0!</v>
      </c>
      <c r="U72" s="81"/>
      <c r="V72" s="71">
        <f>SUMPRODUCT($A72:$B72,'Pollutant Annual Calibration'!$K$52:$L$52)</f>
        <v>8.4017060243925488E-3</v>
      </c>
      <c r="W72" s="90">
        <f>SUMPRODUCT($A72:$B72,'Pollutant Annual Calibration'!$K$53:$L$53)</f>
        <v>-1.1342893390078136E-4</v>
      </c>
      <c r="X72" s="74">
        <f>SUMPRODUCT($A72:$C72,'Pollutant Annual Calibration'!$U$59:$W$59)</f>
        <v>-7.7522187671996701E-4</v>
      </c>
      <c r="Y72" s="75">
        <f>SUMPRODUCT($A72:$C72,'Pollutant Annual Calibration'!$U$60:$W$60)</f>
        <v>3.0852745314869506E-4</v>
      </c>
      <c r="Z72" s="75">
        <f>SUMPRODUCT($A72:$C72,'Pollutant Annual Calibration'!$U$61:$W$61)</f>
        <v>-4.054604079630961E-6</v>
      </c>
      <c r="AA72" s="133">
        <f>SUMPRODUCT($A72:$D72,'Pollutant Annual Calibration'!$AD$59:$AG$59)</f>
        <v>-0.43068671611954557</v>
      </c>
      <c r="AB72" s="112">
        <f>SUMPRODUCT($A72:$D72,'Pollutant Annual Calibration'!$AD$60:$AG$60)</f>
        <v>2.3605626022535242E-2</v>
      </c>
      <c r="AC72" s="112">
        <f>SUMPRODUCT($A72:$D72,'Pollutant Annual Calibration'!$AD$61:$AG$61)</f>
        <v>-4.1133014896885256E-4</v>
      </c>
      <c r="AD72" s="134">
        <f>SUMPRODUCT($A72:$D72,'Pollutant Annual Calibration'!$AD$62:$AG$62)</f>
        <v>2.303835238294687E-6</v>
      </c>
      <c r="AE72" s="81" t="e">
        <f>SUMPRODUCT(A72:E72,'Pollutant Annual Calibration'!$BG$59:$BK$59)</f>
        <v>#DIV/0!</v>
      </c>
      <c r="AF72" s="81" t="e">
        <f>SUMPRODUCT(A72:E72,'Pollutant Annual Calibration'!$BG$60:$BK$60)</f>
        <v>#DIV/0!</v>
      </c>
      <c r="AG72" s="81" t="e">
        <f>SUMPRODUCT(A72:E72,'Pollutant Annual Calibration'!$BG$61:$BK$61)</f>
        <v>#DIV/0!</v>
      </c>
      <c r="AH72" s="81" t="e">
        <f>SUMPRODUCT(A72:E72,'Pollutant Annual Calibration'!$BG$62:$BK$62)</f>
        <v>#DIV/0!</v>
      </c>
      <c r="AI72" s="135" t="e">
        <f>SUMPRODUCT(A72:E72,'Pollutant Annual Calibration'!$BG$63:$BK$63)</f>
        <v>#DIV/0!</v>
      </c>
    </row>
    <row r="73" spans="1:35" ht="18" customHeight="1" x14ac:dyDescent="0.2">
      <c r="A73" s="124">
        <v>1</v>
      </c>
      <c r="B73" s="125">
        <f t="shared" si="0"/>
        <v>47.59999999999998</v>
      </c>
      <c r="C73" s="126">
        <f t="shared" si="1"/>
        <v>2265.7599999999979</v>
      </c>
      <c r="D73" s="127">
        <f t="shared" si="2"/>
        <v>107850.17599999986</v>
      </c>
      <c r="E73" s="128">
        <f t="shared" si="3"/>
        <v>5133668.3775999909</v>
      </c>
      <c r="F73" s="129">
        <f>'Pollutant Annual Calibration'!$K$27+'Pollutant Annual Calibration'!$K$28*'Chart Data Pollutant'!B73</f>
        <v>47.725593109849576</v>
      </c>
      <c r="G73" s="72">
        <f t="shared" si="4"/>
        <v>47.553581451134271</v>
      </c>
      <c r="H73" s="108">
        <f t="shared" si="10"/>
        <v>47.897604768564882</v>
      </c>
      <c r="I73" s="90"/>
      <c r="J73" s="130">
        <f>'Pollutant Annual Calibration'!$U$30+'Chart Data Pollutant'!B73*'Pollutant Annual Calibration'!$U$31+'Chart Data Pollutant'!B73^2*'Pollutant Annual Calibration'!$U$32</f>
        <v>47.725848196721934</v>
      </c>
      <c r="K73" s="75">
        <f t="shared" si="11"/>
        <v>47.43053161696924</v>
      </c>
      <c r="L73" s="110">
        <f t="shared" si="5"/>
        <v>48.021164776474627</v>
      </c>
      <c r="M73" s="91"/>
      <c r="N73" s="111">
        <f>'Pollutant Annual Calibration'!$AD$30+B73*'Pollutant Annual Calibration'!$AD$31+B73^2*'Pollutant Annual Calibration'!$AD$32+B73^3*'Pollutant Annual Calibration'!$AD$33</f>
        <v>47.811799296047518</v>
      </c>
      <c r="O73" s="131">
        <f t="shared" si="6"/>
        <v>47.462259203064093</v>
      </c>
      <c r="P73" s="112">
        <f t="shared" si="7"/>
        <v>48.161339389030942</v>
      </c>
      <c r="Q73" s="92"/>
      <c r="R73" s="132">
        <f>SUMPRODUCT(A73:E73,'Pollutant Annual Calibration'!$BI$43:$BM$43)</f>
        <v>47.747482916774786</v>
      </c>
      <c r="S73" s="81" t="e">
        <f t="shared" si="8"/>
        <v>#DIV/0!</v>
      </c>
      <c r="T73" s="114" t="e">
        <f t="shared" si="9"/>
        <v>#DIV/0!</v>
      </c>
      <c r="U73" s="81"/>
      <c r="V73" s="71">
        <f>SUMPRODUCT($A73:$B73,'Pollutant Annual Calibration'!$K$52:$L$52)</f>
        <v>7.9990510878745411E-3</v>
      </c>
      <c r="W73" s="90">
        <f>SUMPRODUCT($A73:$B73,'Pollutant Annual Calibration'!$K$53:$L$53)</f>
        <v>-1.0667297859007652E-4</v>
      </c>
      <c r="X73" s="74">
        <f>SUMPRODUCT($A73:$C73,'Pollutant Annual Calibration'!$U$59:$W$59)</f>
        <v>-7.960915005802649E-3</v>
      </c>
      <c r="Y73" s="75">
        <f>SUMPRODUCT($A73:$C73,'Pollutant Annual Calibration'!$U$60:$W$60)</f>
        <v>5.5417655238683763E-4</v>
      </c>
      <c r="Z73" s="75">
        <f>SUMPRODUCT($A73:$C73,'Pollutant Annual Calibration'!$U$61:$W$61)</f>
        <v>-6.0496247351412191E-6</v>
      </c>
      <c r="AA73" s="133">
        <f>SUMPRODUCT($A73:$D73,'Pollutant Annual Calibration'!$AD$59:$AG$59)</f>
        <v>-0.4555727170035766</v>
      </c>
      <c r="AB73" s="112">
        <f>SUMPRODUCT($A73:$D73,'Pollutant Annual Calibration'!$AD$60:$AG$60)</f>
        <v>2.4810462815048506E-2</v>
      </c>
      <c r="AC73" s="112">
        <f>SUMPRODUCT($A73:$D73,'Pollutant Annual Calibration'!$AD$61:$AG$61)</f>
        <v>-4.3009351050881522E-4</v>
      </c>
      <c r="AD73" s="134">
        <f>SUMPRODUCT($A73:$D73,'Pollutant Annual Calibration'!$AD$62:$AG$62)</f>
        <v>2.3986886983221663E-6</v>
      </c>
      <c r="AE73" s="81" t="e">
        <f>SUMPRODUCT(A73:E73,'Pollutant Annual Calibration'!$BG$59:$BK$59)</f>
        <v>#DIV/0!</v>
      </c>
      <c r="AF73" s="81" t="e">
        <f>SUMPRODUCT(A73:E73,'Pollutant Annual Calibration'!$BG$60:$BK$60)</f>
        <v>#DIV/0!</v>
      </c>
      <c r="AG73" s="81" t="e">
        <f>SUMPRODUCT(A73:E73,'Pollutant Annual Calibration'!$BG$61:$BK$61)</f>
        <v>#DIV/0!</v>
      </c>
      <c r="AH73" s="81" t="e">
        <f>SUMPRODUCT(A73:E73,'Pollutant Annual Calibration'!$BG$62:$BK$62)</f>
        <v>#DIV/0!</v>
      </c>
      <c r="AI73" s="135" t="e">
        <f>SUMPRODUCT(A73:E73,'Pollutant Annual Calibration'!$BG$63:$BK$63)</f>
        <v>#DIV/0!</v>
      </c>
    </row>
    <row r="74" spans="1:35" ht="18" customHeight="1" x14ac:dyDescent="0.2">
      <c r="A74" s="124">
        <v>1</v>
      </c>
      <c r="B74" s="125">
        <f t="shared" si="0"/>
        <v>48.359999999999978</v>
      </c>
      <c r="C74" s="126">
        <f t="shared" si="1"/>
        <v>2338.6895999999979</v>
      </c>
      <c r="D74" s="127">
        <f t="shared" si="2"/>
        <v>113099.02905599984</v>
      </c>
      <c r="E74" s="128">
        <f t="shared" si="3"/>
        <v>5469469.0451481501</v>
      </c>
      <c r="F74" s="129">
        <f>'Pollutant Annual Calibration'!$K$27+'Pollutant Annual Calibration'!$K$28*'Chart Data Pollutant'!B74</f>
        <v>48.492251185235681</v>
      </c>
      <c r="G74" s="72">
        <f t="shared" si="4"/>
        <v>48.324925648570193</v>
      </c>
      <c r="H74" s="108">
        <f t="shared" si="10"/>
        <v>48.659576721901168</v>
      </c>
      <c r="I74" s="90"/>
      <c r="J74" s="130">
        <f>'Pollutant Annual Calibration'!$U$30+'Chart Data Pollutant'!B74*'Pollutant Annual Calibration'!$U$31+'Chart Data Pollutant'!B74^2*'Pollutant Annual Calibration'!$U$32</f>
        <v>48.492584978381153</v>
      </c>
      <c r="K74" s="75">
        <f t="shared" si="11"/>
        <v>48.19729987271031</v>
      </c>
      <c r="L74" s="110">
        <f t="shared" si="5"/>
        <v>48.787870084051995</v>
      </c>
      <c r="M74" s="91"/>
      <c r="N74" s="111">
        <f>'Pollutant Annual Calibration'!$AD$30+B74*'Pollutant Annual Calibration'!$AD$31+B74^2*'Pollutant Annual Calibration'!$AD$32+B74^3*'Pollutant Annual Calibration'!$AD$33</f>
        <v>48.580284822904026</v>
      </c>
      <c r="O74" s="131">
        <f t="shared" si="6"/>
        <v>48.227117372170056</v>
      </c>
      <c r="P74" s="112">
        <f t="shared" si="7"/>
        <v>48.933452273637997</v>
      </c>
      <c r="Q74" s="92"/>
      <c r="R74" s="132">
        <f>SUMPRODUCT(A74:E74,'Pollutant Annual Calibration'!$BI$43:$BM$43)</f>
        <v>48.52419843342885</v>
      </c>
      <c r="S74" s="81" t="e">
        <f t="shared" si="8"/>
        <v>#DIV/0!</v>
      </c>
      <c r="T74" s="114" t="e">
        <f t="shared" si="9"/>
        <v>#DIV/0!</v>
      </c>
      <c r="U74" s="81"/>
      <c r="V74" s="71">
        <f>SUMPRODUCT($A74:$B74,'Pollutant Annual Calibration'!$K$52:$L$52)</f>
        <v>7.5963961513565333E-3</v>
      </c>
      <c r="W74" s="90">
        <f>SUMPRODUCT($A74:$B74,'Pollutant Annual Calibration'!$K$53:$L$53)</f>
        <v>-9.9917023279371688E-5</v>
      </c>
      <c r="X74" s="74">
        <f>SUMPRODUCT($A74:$C74,'Pollutant Annual Calibration'!$U$59:$W$59)</f>
        <v>-1.472291282410465E-2</v>
      </c>
      <c r="Y74" s="75">
        <f>SUMPRODUCT($A74:$C74,'Pollutant Annual Calibration'!$U$60:$W$60)</f>
        <v>7.8466451850257857E-4</v>
      </c>
      <c r="Z74" s="75">
        <f>SUMPRODUCT($A74:$C74,'Pollutant Annual Calibration'!$U$61:$W$61)</f>
        <v>-7.9162177993128292E-6</v>
      </c>
      <c r="AA74" s="133">
        <f>SUMPRODUCT($A74:$D74,'Pollutant Annual Calibration'!$AD$59:$AG$59)</f>
        <v>-0.47144174190024302</v>
      </c>
      <c r="AB74" s="112">
        <f>SUMPRODUCT($A74:$D74,'Pollutant Annual Calibration'!$AD$60:$AG$60)</f>
        <v>2.553446470289078E-2</v>
      </c>
      <c r="AC74" s="112">
        <f>SUMPRODUCT($A74:$D74,'Pollutant Annual Calibration'!$AD$61:$AG$61)</f>
        <v>-4.4058762217934547E-4</v>
      </c>
      <c r="AD74" s="134">
        <f>SUMPRODUCT($A74:$D74,'Pollutant Annual Calibration'!$AD$62:$AG$62)</f>
        <v>2.4474919756949228E-6</v>
      </c>
      <c r="AE74" s="81" t="e">
        <f>SUMPRODUCT(A74:E74,'Pollutant Annual Calibration'!$BG$59:$BK$59)</f>
        <v>#DIV/0!</v>
      </c>
      <c r="AF74" s="81" t="e">
        <f>SUMPRODUCT(A74:E74,'Pollutant Annual Calibration'!$BG$60:$BK$60)</f>
        <v>#DIV/0!</v>
      </c>
      <c r="AG74" s="81" t="e">
        <f>SUMPRODUCT(A74:E74,'Pollutant Annual Calibration'!$BG$61:$BK$61)</f>
        <v>#DIV/0!</v>
      </c>
      <c r="AH74" s="81" t="e">
        <f>SUMPRODUCT(A74:E74,'Pollutant Annual Calibration'!$BG$62:$BK$62)</f>
        <v>#DIV/0!</v>
      </c>
      <c r="AI74" s="135" t="e">
        <f>SUMPRODUCT(A74:E74,'Pollutant Annual Calibration'!$BG$63:$BK$63)</f>
        <v>#DIV/0!</v>
      </c>
    </row>
    <row r="75" spans="1:35" ht="18" customHeight="1" x14ac:dyDescent="0.2">
      <c r="A75" s="124">
        <v>1</v>
      </c>
      <c r="B75" s="125">
        <f t="shared" si="0"/>
        <v>49.119999999999976</v>
      </c>
      <c r="C75" s="126">
        <f t="shared" si="1"/>
        <v>2412.7743999999975</v>
      </c>
      <c r="D75" s="127">
        <f t="shared" si="2"/>
        <v>118515.47852799982</v>
      </c>
      <c r="E75" s="128">
        <f t="shared" si="3"/>
        <v>5821480.3052953482</v>
      </c>
      <c r="F75" s="129">
        <f>'Pollutant Annual Calibration'!$K$27+'Pollutant Annual Calibration'!$K$28*'Chart Data Pollutant'!B75</f>
        <v>49.258909260621785</v>
      </c>
      <c r="G75" s="72">
        <f t="shared" si="4"/>
        <v>49.096085231985064</v>
      </c>
      <c r="H75" s="108">
        <f t="shared" si="10"/>
        <v>49.421733289258505</v>
      </c>
      <c r="I75" s="90"/>
      <c r="J75" s="130">
        <f>'Pollutant Annual Calibration'!$U$30+'Chart Data Pollutant'!B75*'Pollutant Annual Calibration'!$U$31+'Chart Data Pollutant'!B75^2*'Pollutant Annual Calibration'!$U$32</f>
        <v>49.25931634479624</v>
      </c>
      <c r="K75" s="75">
        <f t="shared" si="11"/>
        <v>48.962323856936578</v>
      </c>
      <c r="L75" s="110">
        <f t="shared" si="5"/>
        <v>49.556308832655901</v>
      </c>
      <c r="M75" s="91"/>
      <c r="N75" s="111">
        <f>'Pollutant Annual Calibration'!$AD$30+B75*'Pollutant Annual Calibration'!$AD$31+B75^2*'Pollutant Annual Calibration'!$AD$32+B75^3*'Pollutant Annual Calibration'!$AD$33</f>
        <v>49.347225553230302</v>
      </c>
      <c r="O75" s="131">
        <f t="shared" si="6"/>
        <v>48.992639221574336</v>
      </c>
      <c r="P75" s="112">
        <f t="shared" si="7"/>
        <v>49.701811884886268</v>
      </c>
      <c r="Q75" s="92"/>
      <c r="R75" s="132">
        <f>SUMPRODUCT(A75:E75,'Pollutant Annual Calibration'!$BI$43:$BM$43)</f>
        <v>49.300491403397395</v>
      </c>
      <c r="S75" s="81" t="e">
        <f t="shared" si="8"/>
        <v>#DIV/0!</v>
      </c>
      <c r="T75" s="114" t="e">
        <f t="shared" si="9"/>
        <v>#DIV/0!</v>
      </c>
      <c r="U75" s="81"/>
      <c r="V75" s="71">
        <f>SUMPRODUCT($A75:$B75,'Pollutant Annual Calibration'!$K$52:$L$52)</f>
        <v>7.1937412148385255E-3</v>
      </c>
      <c r="W75" s="90">
        <f>SUMPRODUCT($A75:$B75,'Pollutant Annual Calibration'!$K$53:$L$53)</f>
        <v>-9.3161067968666907E-5</v>
      </c>
      <c r="X75" s="74">
        <f>SUMPRODUCT($A75:$C75,'Pollutant Annual Calibration'!$U$59:$W$59)</f>
        <v>-2.1061215331626082E-2</v>
      </c>
      <c r="Y75" s="75">
        <f>SUMPRODUCT($A75:$C75,'Pollutant Annual Calibration'!$U$60:$W$60)</f>
        <v>9.9999135149594215E-4</v>
      </c>
      <c r="Z75" s="75">
        <f>SUMPRODUCT($A75:$C75,'Pollutant Annual Calibration'!$U$61:$W$61)</f>
        <v>-9.654383272145791E-6</v>
      </c>
      <c r="AA75" s="133">
        <f>SUMPRODUCT($A75:$D75,'Pollutant Annual Calibration'!$AD$59:$AG$59)</f>
        <v>-0.47887035911852038</v>
      </c>
      <c r="AB75" s="112">
        <f>SUMPRODUCT($A75:$D75,'Pollutant Annual Calibration'!$AD$60:$AG$60)</f>
        <v>2.5808876183835094E-2</v>
      </c>
      <c r="AC75" s="112">
        <f>SUMPRODUCT($A75:$D75,'Pollutant Annual Calibration'!$AD$61:$AG$61)</f>
        <v>-4.433586944803565E-4</v>
      </c>
      <c r="AD75" s="134">
        <f>SUMPRODUCT($A75:$D75,'Pollutant Annual Calibration'!$AD$62:$AG$62)</f>
        <v>2.4533348188965646E-6</v>
      </c>
      <c r="AE75" s="81" t="e">
        <f>SUMPRODUCT(A75:E75,'Pollutant Annual Calibration'!$BG$59:$BK$59)</f>
        <v>#DIV/0!</v>
      </c>
      <c r="AF75" s="81" t="e">
        <f>SUMPRODUCT(A75:E75,'Pollutant Annual Calibration'!$BG$60:$BK$60)</f>
        <v>#DIV/0!</v>
      </c>
      <c r="AG75" s="81" t="e">
        <f>SUMPRODUCT(A75:E75,'Pollutant Annual Calibration'!$BG$61:$BK$61)</f>
        <v>#DIV/0!</v>
      </c>
      <c r="AH75" s="81" t="e">
        <f>SUMPRODUCT(A75:E75,'Pollutant Annual Calibration'!$BG$62:$BK$62)</f>
        <v>#DIV/0!</v>
      </c>
      <c r="AI75" s="135" t="e">
        <f>SUMPRODUCT(A75:E75,'Pollutant Annual Calibration'!$BG$63:$BK$63)</f>
        <v>#DIV/0!</v>
      </c>
    </row>
    <row r="76" spans="1:35" ht="18" customHeight="1" x14ac:dyDescent="0.2">
      <c r="A76" s="124">
        <v>1</v>
      </c>
      <c r="B76" s="125">
        <f t="shared" si="0"/>
        <v>49.879999999999974</v>
      </c>
      <c r="C76" s="126">
        <f t="shared" si="1"/>
        <v>2488.0143999999973</v>
      </c>
      <c r="D76" s="127">
        <f t="shared" si="2"/>
        <v>124102.1582719998</v>
      </c>
      <c r="E76" s="128">
        <f t="shared" si="3"/>
        <v>6190215.6546073463</v>
      </c>
      <c r="F76" s="129">
        <f>'Pollutant Annual Calibration'!$K$27+'Pollutant Annual Calibration'!$K$28*'Chart Data Pollutant'!B76</f>
        <v>50.025567336007882</v>
      </c>
      <c r="G76" s="72">
        <f t="shared" si="4"/>
        <v>49.867044473375131</v>
      </c>
      <c r="H76" s="108">
        <f t="shared" si="10"/>
        <v>50.184090198640632</v>
      </c>
      <c r="I76" s="90"/>
      <c r="J76" s="130">
        <f>'Pollutant Annual Calibration'!$U$30+'Chart Data Pollutant'!B76*'Pollutant Annual Calibration'!$U$31+'Chart Data Pollutant'!B76^2*'Pollutant Annual Calibration'!$U$32</f>
        <v>50.026042295967201</v>
      </c>
      <c r="K76" s="75">
        <f t="shared" si="11"/>
        <v>49.72600466437558</v>
      </c>
      <c r="L76" s="110">
        <f t="shared" si="5"/>
        <v>50.326079927558823</v>
      </c>
      <c r="M76" s="91"/>
      <c r="N76" s="111">
        <f>'Pollutant Annual Calibration'!$AD$30+B76*'Pollutant Annual Calibration'!$AD$31+B76^2*'Pollutant Annual Calibration'!$AD$32+B76^3*'Pollutant Annual Calibration'!$AD$33</f>
        <v>50.112732200548848</v>
      </c>
      <c r="O76" s="131">
        <f t="shared" si="6"/>
        <v>49.758919584811423</v>
      </c>
      <c r="P76" s="112">
        <f t="shared" si="7"/>
        <v>50.466544816286273</v>
      </c>
      <c r="Q76" s="92"/>
      <c r="R76" s="132">
        <f>SUMPRODUCT(A76:E76,'Pollutant Annual Calibration'!$BI$43:$BM$43)</f>
        <v>50.07612844711457</v>
      </c>
      <c r="S76" s="81" t="e">
        <f t="shared" si="8"/>
        <v>#DIV/0!</v>
      </c>
      <c r="T76" s="114" t="e">
        <f t="shared" si="9"/>
        <v>#DIV/0!</v>
      </c>
      <c r="U76" s="81"/>
      <c r="V76" s="71">
        <f>SUMPRODUCT($A76:$B76,'Pollutant Annual Calibration'!$K$52:$L$52)</f>
        <v>6.7910862783205177E-3</v>
      </c>
      <c r="W76" s="90">
        <f>SUMPRODUCT($A76:$B76,'Pollutant Annual Calibration'!$K$53:$L$53)</f>
        <v>-8.6405112657962071E-5</v>
      </c>
      <c r="X76" s="74">
        <f>SUMPRODUCT($A76:$C76,'Pollutant Annual Calibration'!$U$59:$W$59)</f>
        <v>-2.6975822528366833E-2</v>
      </c>
      <c r="Y76" s="75">
        <f>SUMPRODUCT($A76:$C76,'Pollutant Annual Calibration'!$U$60:$W$60)</f>
        <v>1.2001570513668902E-3</v>
      </c>
      <c r="Z76" s="75">
        <f>SUMPRODUCT($A76:$C76,'Pollutant Annual Calibration'!$U$61:$W$61)</f>
        <v>-1.1264121153640213E-5</v>
      </c>
      <c r="AA76" s="133">
        <f>SUMPRODUCT($A76:$D76,'Pollutant Annual Calibration'!$AD$59:$AG$59)</f>
        <v>-0.47843513696725282</v>
      </c>
      <c r="AB76" s="112">
        <f>SUMPRODUCT($A76:$D76,'Pollutant Annual Calibration'!$AD$60:$AG$60)</f>
        <v>2.5664941755657367E-2</v>
      </c>
      <c r="AC76" s="112">
        <f>SUMPRODUCT($A76:$D76,'Pollutant Annual Calibration'!$AD$61:$AG$61)</f>
        <v>-4.3895293791173032E-4</v>
      </c>
      <c r="AD76" s="134">
        <f>SUMPRODUCT($A76:$D76,'Pollutant Annual Calibration'!$AD$62:$AG$62)</f>
        <v>2.419306976410361E-6</v>
      </c>
      <c r="AE76" s="81" t="e">
        <f>SUMPRODUCT(A76:E76,'Pollutant Annual Calibration'!$BG$59:$BK$59)</f>
        <v>#DIV/0!</v>
      </c>
      <c r="AF76" s="81" t="e">
        <f>SUMPRODUCT(A76:E76,'Pollutant Annual Calibration'!$BG$60:$BK$60)</f>
        <v>#DIV/0!</v>
      </c>
      <c r="AG76" s="81" t="e">
        <f>SUMPRODUCT(A76:E76,'Pollutant Annual Calibration'!$BG$61:$BK$61)</f>
        <v>#DIV/0!</v>
      </c>
      <c r="AH76" s="81" t="e">
        <f>SUMPRODUCT(A76:E76,'Pollutant Annual Calibration'!$BG$62:$BK$62)</f>
        <v>#DIV/0!</v>
      </c>
      <c r="AI76" s="135" t="e">
        <f>SUMPRODUCT(A76:E76,'Pollutant Annual Calibration'!$BG$63:$BK$63)</f>
        <v>#DIV/0!</v>
      </c>
    </row>
    <row r="77" spans="1:35" ht="18" customHeight="1" x14ac:dyDescent="0.2">
      <c r="A77" s="124">
        <v>1</v>
      </c>
      <c r="B77" s="125">
        <f t="shared" si="0"/>
        <v>50.639999999999972</v>
      </c>
      <c r="C77" s="126">
        <f t="shared" si="1"/>
        <v>2564.4095999999972</v>
      </c>
      <c r="D77" s="127">
        <f t="shared" si="2"/>
        <v>129861.70214399979</v>
      </c>
      <c r="E77" s="128">
        <f t="shared" si="3"/>
        <v>6576196.5965721458</v>
      </c>
      <c r="F77" s="129">
        <f>'Pollutant Annual Calibration'!$K$27+'Pollutant Annual Calibration'!$K$28*'Chart Data Pollutant'!B77</f>
        <v>50.792225411393986</v>
      </c>
      <c r="G77" s="72">
        <f t="shared" si="4"/>
        <v>50.637786633077894</v>
      </c>
      <c r="H77" s="108">
        <f t="shared" si="10"/>
        <v>50.946664189710077</v>
      </c>
      <c r="I77" s="90"/>
      <c r="J77" s="130">
        <f>'Pollutant Annual Calibration'!$U$30+'Chart Data Pollutant'!B77*'Pollutant Annual Calibration'!$U$31+'Chart Data Pollutant'!B77^2*'Pollutant Annual Calibration'!$U$32</f>
        <v>50.792762831894038</v>
      </c>
      <c r="K77" s="75">
        <f t="shared" si="11"/>
        <v>50.488721936644566</v>
      </c>
      <c r="L77" s="110">
        <f t="shared" si="5"/>
        <v>51.096803727143509</v>
      </c>
      <c r="M77" s="91"/>
      <c r="N77" s="111">
        <f>'Pollutant Annual Calibration'!$AD$30+B77*'Pollutant Annual Calibration'!$AD$31+B77^2*'Pollutant Annual Calibration'!$AD$32+B77^3*'Pollutant Annual Calibration'!$AD$33</f>
        <v>50.876915478382152</v>
      </c>
      <c r="O77" s="131">
        <f t="shared" si="6"/>
        <v>50.525936220243302</v>
      </c>
      <c r="P77" s="112">
        <f t="shared" si="7"/>
        <v>51.227894736521002</v>
      </c>
      <c r="Q77" s="92"/>
      <c r="R77" s="132">
        <f>SUMPRODUCT(A77:E77,'Pollutant Annual Calibration'!$BI$43:$BM$43)</f>
        <v>50.850901047415142</v>
      </c>
      <c r="S77" s="81" t="e">
        <f t="shared" si="8"/>
        <v>#DIV/0!</v>
      </c>
      <c r="T77" s="114" t="e">
        <f t="shared" si="9"/>
        <v>#DIV/0!</v>
      </c>
      <c r="U77" s="81"/>
      <c r="V77" s="71">
        <f>SUMPRODUCT($A77:$B77,'Pollutant Annual Calibration'!$K$52:$L$52)</f>
        <v>6.3884313418025099E-3</v>
      </c>
      <c r="W77" s="90">
        <f>SUMPRODUCT($A77:$B77,'Pollutant Annual Calibration'!$K$53:$L$53)</f>
        <v>-7.9649157347257235E-5</v>
      </c>
      <c r="X77" s="74">
        <f>SUMPRODUCT($A77:$C77,'Pollutant Annual Calibration'!$U$59:$W$59)</f>
        <v>-3.2466734414327347E-2</v>
      </c>
      <c r="Y77" s="75">
        <f>SUMPRODUCT($A77:$C77,'Pollutant Annual Calibration'!$U$60:$W$60)</f>
        <v>1.3851616181154366E-3</v>
      </c>
      <c r="Z77" s="75">
        <f>SUMPRODUCT($A77:$C77,'Pollutant Annual Calibration'!$U$61:$W$61)</f>
        <v>-1.2745431443795825E-5</v>
      </c>
      <c r="AA77" s="133">
        <f>SUMPRODUCT($A77:$D77,'Pollutant Annual Calibration'!$AD$59:$AG$59)</f>
        <v>-0.47071264375542299</v>
      </c>
      <c r="AB77" s="112">
        <f>SUMPRODUCT($A77:$D77,'Pollutant Annual Calibration'!$AD$60:$AG$60)</f>
        <v>2.5133905916129295E-2</v>
      </c>
      <c r="AC77" s="112">
        <f>SUMPRODUCT($A77:$D77,'Pollutant Annual Calibration'!$AD$61:$AG$61)</f>
        <v>-4.2791656297338013E-4</v>
      </c>
      <c r="AD77" s="134">
        <f>SUMPRODUCT($A77:$D77,'Pollutant Annual Calibration'!$AD$62:$AG$62)</f>
        <v>2.3484981967200689E-6</v>
      </c>
      <c r="AE77" s="81" t="e">
        <f>SUMPRODUCT(A77:E77,'Pollutant Annual Calibration'!$BG$59:$BK$59)</f>
        <v>#DIV/0!</v>
      </c>
      <c r="AF77" s="81" t="e">
        <f>SUMPRODUCT(A77:E77,'Pollutant Annual Calibration'!$BG$60:$BK$60)</f>
        <v>#DIV/0!</v>
      </c>
      <c r="AG77" s="81" t="e">
        <f>SUMPRODUCT(A77:E77,'Pollutant Annual Calibration'!$BG$61:$BK$61)</f>
        <v>#DIV/0!</v>
      </c>
      <c r="AH77" s="81" t="e">
        <f>SUMPRODUCT(A77:E77,'Pollutant Annual Calibration'!$BG$62:$BK$62)</f>
        <v>#DIV/0!</v>
      </c>
      <c r="AI77" s="135" t="e">
        <f>SUMPRODUCT(A77:E77,'Pollutant Annual Calibration'!$BG$63:$BK$63)</f>
        <v>#DIV/0!</v>
      </c>
    </row>
    <row r="78" spans="1:35" ht="18" customHeight="1" x14ac:dyDescent="0.2">
      <c r="A78" s="124">
        <v>1</v>
      </c>
      <c r="B78" s="125">
        <f t="shared" si="0"/>
        <v>51.39999999999997</v>
      </c>
      <c r="C78" s="126">
        <f t="shared" si="1"/>
        <v>2641.9599999999969</v>
      </c>
      <c r="D78" s="127">
        <f t="shared" si="2"/>
        <v>135796.74399999977</v>
      </c>
      <c r="E78" s="128">
        <f t="shared" si="3"/>
        <v>6979952.641599983</v>
      </c>
      <c r="F78" s="129">
        <f>'Pollutant Annual Calibration'!$K$27+'Pollutant Annual Calibration'!$K$28*'Chart Data Pollutant'!B78</f>
        <v>51.55888348678009</v>
      </c>
      <c r="G78" s="72">
        <f t="shared" si="4"/>
        <v>51.408294047864402</v>
      </c>
      <c r="H78" s="108">
        <f t="shared" si="10"/>
        <v>51.709472925695778</v>
      </c>
      <c r="I78" s="90"/>
      <c r="J78" s="130">
        <f>'Pollutant Annual Calibration'!$U$30+'Chart Data Pollutant'!B78*'Pollutant Annual Calibration'!$U$31+'Chart Data Pollutant'!B78^2*'Pollutant Annual Calibration'!$U$32</f>
        <v>51.559477952576742</v>
      </c>
      <c r="K78" s="75">
        <f t="shared" si="11"/>
        <v>51.250820668875669</v>
      </c>
      <c r="L78" s="110">
        <f t="shared" si="5"/>
        <v>51.868135236277816</v>
      </c>
      <c r="M78" s="91"/>
      <c r="N78" s="111">
        <f>'Pollutant Annual Calibration'!$AD$30+B78*'Pollutant Annual Calibration'!$AD$31+B78^2*'Pollutant Annual Calibration'!$AD$32+B78^3*'Pollutant Annual Calibration'!$AD$33</f>
        <v>51.639886100252717</v>
      </c>
      <c r="O78" s="131">
        <f t="shared" si="6"/>
        <v>51.29357760123731</v>
      </c>
      <c r="P78" s="112">
        <f t="shared" si="7"/>
        <v>51.986194599268124</v>
      </c>
      <c r="Q78" s="92"/>
      <c r="R78" s="132">
        <f>SUMPRODUCT(A78:E78,'Pollutant Annual Calibration'!$BI$43:$BM$43)</f>
        <v>51.624625549534237</v>
      </c>
      <c r="S78" s="81" t="e">
        <f t="shared" si="8"/>
        <v>#DIV/0!</v>
      </c>
      <c r="T78" s="114" t="e">
        <f t="shared" si="9"/>
        <v>#DIV/0!</v>
      </c>
      <c r="U78" s="81"/>
      <c r="V78" s="71">
        <f>SUMPRODUCT($A78:$B78,'Pollutant Annual Calibration'!$K$52:$L$52)</f>
        <v>5.9857764052845056E-3</v>
      </c>
      <c r="W78" s="90">
        <f>SUMPRODUCT($A78:$B78,'Pollutant Annual Calibration'!$K$53:$L$53)</f>
        <v>-7.2893202036552454E-5</v>
      </c>
      <c r="X78" s="74">
        <f>SUMPRODUCT($A78:$C78,'Pollutant Annual Calibration'!$U$59:$W$59)</f>
        <v>-3.7533950989506959E-2</v>
      </c>
      <c r="Y78" s="75">
        <f>SUMPRODUCT($A78:$C78,'Pollutant Annual Calibration'!$U$60:$W$60)</f>
        <v>1.5550050517416023E-3</v>
      </c>
      <c r="Z78" s="75">
        <f>SUMPRODUCT($A78:$C78,'Pollutant Annual Calibration'!$U$61:$W$61)</f>
        <v>-1.4098314142612842E-5</v>
      </c>
      <c r="AA78" s="133">
        <f>SUMPRODUCT($A78:$D78,'Pollutant Annual Calibration'!$AD$59:$AG$59)</f>
        <v>-0.45627944779191765</v>
      </c>
      <c r="AB78" s="112">
        <f>SUMPRODUCT($A78:$D78,'Pollutant Annual Calibration'!$AD$60:$AG$60)</f>
        <v>2.4247013163026354E-2</v>
      </c>
      <c r="AC78" s="112">
        <f>SUMPRODUCT($A78:$D78,'Pollutant Annual Calibration'!$AD$61:$AG$61)</f>
        <v>-4.1079578016519833E-4</v>
      </c>
      <c r="AD78" s="134">
        <f>SUMPRODUCT($A78:$D78,'Pollutant Annual Calibration'!$AD$62:$AG$62)</f>
        <v>2.2439982283091475E-6</v>
      </c>
      <c r="AE78" s="81" t="e">
        <f>SUMPRODUCT(A78:E78,'Pollutant Annual Calibration'!$BG$59:$BK$59)</f>
        <v>#DIV/0!</v>
      </c>
      <c r="AF78" s="81" t="e">
        <f>SUMPRODUCT(A78:E78,'Pollutant Annual Calibration'!$BG$60:$BK$60)</f>
        <v>#DIV/0!</v>
      </c>
      <c r="AG78" s="81" t="e">
        <f>SUMPRODUCT(A78:E78,'Pollutant Annual Calibration'!$BG$61:$BK$61)</f>
        <v>#DIV/0!</v>
      </c>
      <c r="AH78" s="81" t="e">
        <f>SUMPRODUCT(A78:E78,'Pollutant Annual Calibration'!$BG$62:$BK$62)</f>
        <v>#DIV/0!</v>
      </c>
      <c r="AI78" s="135" t="e">
        <f>SUMPRODUCT(A78:E78,'Pollutant Annual Calibration'!$BG$63:$BK$63)</f>
        <v>#DIV/0!</v>
      </c>
    </row>
    <row r="79" spans="1:35" ht="18" customHeight="1" x14ac:dyDescent="0.2">
      <c r="A79" s="124">
        <v>1</v>
      </c>
      <c r="B79" s="125">
        <f t="shared" si="0"/>
        <v>52.159999999999968</v>
      </c>
      <c r="C79" s="126">
        <f t="shared" si="1"/>
        <v>2720.6655999999966</v>
      </c>
      <c r="D79" s="127">
        <f t="shared" si="2"/>
        <v>141909.91769599973</v>
      </c>
      <c r="E79" s="128">
        <f t="shared" si="3"/>
        <v>7402021.3070233418</v>
      </c>
      <c r="F79" s="129">
        <f>'Pollutant Annual Calibration'!$K$27+'Pollutant Annual Calibration'!$K$28*'Chart Data Pollutant'!B79</f>
        <v>52.325541562166187</v>
      </c>
      <c r="G79" s="72">
        <f t="shared" si="4"/>
        <v>52.178548274656819</v>
      </c>
      <c r="H79" s="108">
        <f t="shared" si="10"/>
        <v>52.472534849675554</v>
      </c>
      <c r="I79" s="90"/>
      <c r="J79" s="130">
        <f>'Pollutant Annual Calibration'!$U$30+'Chart Data Pollutant'!B79*'Pollutant Annual Calibration'!$U$31+'Chart Data Pollutant'!B79^2*'Pollutant Annual Calibration'!$U$32</f>
        <v>52.326187658015321</v>
      </c>
      <c r="K79" s="75">
        <f t="shared" si="11"/>
        <v>52.012604587387592</v>
      </c>
      <c r="L79" s="110">
        <f t="shared" si="5"/>
        <v>52.63977072864305</v>
      </c>
      <c r="M79" s="91"/>
      <c r="N79" s="111">
        <f>'Pollutant Annual Calibration'!$AD$30+B79*'Pollutant Annual Calibration'!$AD$31+B79^2*'Pollutant Annual Calibration'!$AD$32+B79^3*'Pollutant Annual Calibration'!$AD$33</f>
        <v>52.40175477968301</v>
      </c>
      <c r="O79" s="131">
        <f t="shared" si="6"/>
        <v>52.061661428665062</v>
      </c>
      <c r="P79" s="112">
        <f t="shared" si="7"/>
        <v>52.741848130700959</v>
      </c>
      <c r="Q79" s="92"/>
      <c r="R79" s="132">
        <f>SUMPRODUCT(A79:E79,'Pollutant Annual Calibration'!$BI$43:$BM$43)</f>
        <v>52.397143161107536</v>
      </c>
      <c r="S79" s="81" t="e">
        <f t="shared" si="8"/>
        <v>#DIV/0!</v>
      </c>
      <c r="T79" s="114" t="e">
        <f t="shared" si="9"/>
        <v>#DIV/0!</v>
      </c>
      <c r="U79" s="81"/>
      <c r="V79" s="71">
        <f>SUMPRODUCT($A79:$B79,'Pollutant Annual Calibration'!$K$52:$L$52)</f>
        <v>5.5831214687664978E-3</v>
      </c>
      <c r="W79" s="90">
        <f>SUMPRODUCT($A79:$B79,'Pollutant Annual Calibration'!$K$53:$L$53)</f>
        <v>-6.6137246725847618E-5</v>
      </c>
      <c r="X79" s="74">
        <f>SUMPRODUCT($A79:$C79,'Pollutant Annual Calibration'!$U$59:$W$59)</f>
        <v>-4.2177472253905779E-2</v>
      </c>
      <c r="Y79" s="75">
        <f>SUMPRODUCT($A79:$C79,'Pollutant Annual Calibration'!$U$60:$W$60)</f>
        <v>1.7096873522453593E-3</v>
      </c>
      <c r="Z79" s="75">
        <f>SUMPRODUCT($A79:$C79,'Pollutant Annual Calibration'!$U$61:$W$61)</f>
        <v>-1.5322769250091211E-5</v>
      </c>
      <c r="AA79" s="133">
        <f>SUMPRODUCT($A79:$D79,'Pollutant Annual Calibration'!$AD$59:$AG$59)</f>
        <v>-0.43571211738568039</v>
      </c>
      <c r="AB79" s="112">
        <f>SUMPRODUCT($A79:$D79,'Pollutant Annual Calibration'!$AD$60:$AG$60)</f>
        <v>2.3035507994120463E-2</v>
      </c>
      <c r="AC79" s="112">
        <f>SUMPRODUCT($A79:$D79,'Pollutant Annual Calibration'!$AD$61:$AG$61)</f>
        <v>-3.8813679998706344E-4</v>
      </c>
      <c r="AD79" s="134">
        <f>SUMPRODUCT($A79:$D79,'Pollutant Annual Calibration'!$AD$62:$AG$62)</f>
        <v>2.108896819660866E-6</v>
      </c>
      <c r="AE79" s="81" t="e">
        <f>SUMPRODUCT(A79:E79,'Pollutant Annual Calibration'!$BG$59:$BK$59)</f>
        <v>#DIV/0!</v>
      </c>
      <c r="AF79" s="81" t="e">
        <f>SUMPRODUCT(A79:E79,'Pollutant Annual Calibration'!$BG$60:$BK$60)</f>
        <v>#DIV/0!</v>
      </c>
      <c r="AG79" s="81" t="e">
        <f>SUMPRODUCT(A79:E79,'Pollutant Annual Calibration'!$BG$61:$BK$61)</f>
        <v>#DIV/0!</v>
      </c>
      <c r="AH79" s="81" t="e">
        <f>SUMPRODUCT(A79:E79,'Pollutant Annual Calibration'!$BG$62:$BK$62)</f>
        <v>#DIV/0!</v>
      </c>
      <c r="AI79" s="135" t="e">
        <f>SUMPRODUCT(A79:E79,'Pollutant Annual Calibration'!$BG$63:$BK$63)</f>
        <v>#DIV/0!</v>
      </c>
    </row>
    <row r="80" spans="1:35" ht="18" customHeight="1" x14ac:dyDescent="0.2">
      <c r="A80" s="124">
        <v>1</v>
      </c>
      <c r="B80" s="125">
        <f t="shared" si="0"/>
        <v>52.919999999999966</v>
      </c>
      <c r="C80" s="126">
        <f t="shared" si="1"/>
        <v>2800.5263999999966</v>
      </c>
      <c r="D80" s="127">
        <f t="shared" si="2"/>
        <v>148203.85708799973</v>
      </c>
      <c r="E80" s="128">
        <f t="shared" si="3"/>
        <v>7842948.117096941</v>
      </c>
      <c r="F80" s="129">
        <f>'Pollutant Annual Calibration'!$K$27+'Pollutant Annual Calibration'!$K$28*'Chart Data Pollutant'!B80</f>
        <v>53.092199637552291</v>
      </c>
      <c r="G80" s="72">
        <f t="shared" si="4"/>
        <v>52.94853029974017</v>
      </c>
      <c r="H80" s="108">
        <f t="shared" si="10"/>
        <v>53.235868975364411</v>
      </c>
      <c r="I80" s="90"/>
      <c r="J80" s="130">
        <f>'Pollutant Annual Calibration'!$U$30+'Chart Data Pollutant'!B80*'Pollutant Annual Calibration'!$U$31+'Chart Data Pollutant'!B80^2*'Pollutant Annual Calibration'!$U$32</f>
        <v>53.092891948209768</v>
      </c>
      <c r="K80" s="75">
        <f t="shared" si="11"/>
        <v>52.774334545321416</v>
      </c>
      <c r="L80" s="110">
        <f t="shared" si="5"/>
        <v>53.411449351098121</v>
      </c>
      <c r="M80" s="91"/>
      <c r="N80" s="111">
        <f>'Pollutant Annual Calibration'!$AD$30+B80*'Pollutant Annual Calibration'!$AD$31+B80^2*'Pollutant Annual Calibration'!$AD$32+B80^3*'Pollutant Annual Calibration'!$AD$33</f>
        <v>53.162632230195513</v>
      </c>
      <c r="O80" s="131">
        <f t="shared" si="6"/>
        <v>52.829947419116266</v>
      </c>
      <c r="P80" s="112">
        <f t="shared" si="7"/>
        <v>53.49531704127476</v>
      </c>
      <c r="Q80" s="92"/>
      <c r="R80" s="132">
        <f>SUMPRODUCT(A80:E80,'Pollutant Annual Calibration'!$BI$43:$BM$43)</f>
        <v>53.168319952171203</v>
      </c>
      <c r="S80" s="81" t="e">
        <f t="shared" si="8"/>
        <v>#DIV/0!</v>
      </c>
      <c r="T80" s="114" t="e">
        <f t="shared" si="9"/>
        <v>#DIV/0!</v>
      </c>
      <c r="U80" s="81"/>
      <c r="V80" s="71">
        <f>SUMPRODUCT($A80:$B80,'Pollutant Annual Calibration'!$K$52:$L$52)</f>
        <v>5.18046653224849E-3</v>
      </c>
      <c r="W80" s="90">
        <f>SUMPRODUCT($A80:$B80,'Pollutant Annual Calibration'!$K$53:$L$53)</f>
        <v>-5.9381291415142783E-5</v>
      </c>
      <c r="X80" s="74">
        <f>SUMPRODUCT($A80:$C80,'Pollutant Annual Calibration'!$U$59:$W$59)</f>
        <v>-4.6397298207524029E-2</v>
      </c>
      <c r="Y80" s="75">
        <f>SUMPRODUCT($A80:$C80,'Pollutant Annual Calibration'!$U$60:$W$60)</f>
        <v>1.8492085196267286E-3</v>
      </c>
      <c r="Z80" s="75">
        <f>SUMPRODUCT($A80:$C80,'Pollutant Annual Calibration'!$U$61:$W$61)</f>
        <v>-1.6418796766230986E-5</v>
      </c>
      <c r="AA80" s="133">
        <f>SUMPRODUCT($A80:$D80,'Pollutant Annual Calibration'!$AD$59:$AG$59)</f>
        <v>-0.40958722084558019</v>
      </c>
      <c r="AB80" s="112">
        <f>SUMPRODUCT($A80:$D80,'Pollutant Annual Calibration'!$AD$60:$AG$60)</f>
        <v>2.1530634907188428E-2</v>
      </c>
      <c r="AC80" s="112">
        <f>SUMPRODUCT($A80:$D80,'Pollutant Annual Calibration'!$AD$61:$AG$61)</f>
        <v>-3.6048583293889908E-4</v>
      </c>
      <c r="AD80" s="134">
        <f>SUMPRODUCT($A80:$D80,'Pollutant Annual Calibration'!$AD$62:$AG$62)</f>
        <v>1.9462837192589001E-6</v>
      </c>
      <c r="AE80" s="81" t="e">
        <f>SUMPRODUCT(A80:E80,'Pollutant Annual Calibration'!$BG$59:$BK$59)</f>
        <v>#DIV/0!</v>
      </c>
      <c r="AF80" s="81" t="e">
        <f>SUMPRODUCT(A80:E80,'Pollutant Annual Calibration'!$BG$60:$BK$60)</f>
        <v>#DIV/0!</v>
      </c>
      <c r="AG80" s="81" t="e">
        <f>SUMPRODUCT(A80:E80,'Pollutant Annual Calibration'!$BG$61:$BK$61)</f>
        <v>#DIV/0!</v>
      </c>
      <c r="AH80" s="81" t="e">
        <f>SUMPRODUCT(A80:E80,'Pollutant Annual Calibration'!$BG$62:$BK$62)</f>
        <v>#DIV/0!</v>
      </c>
      <c r="AI80" s="135" t="e">
        <f>SUMPRODUCT(A80:E80,'Pollutant Annual Calibration'!$BG$63:$BK$63)</f>
        <v>#DIV/0!</v>
      </c>
    </row>
    <row r="81" spans="1:35" ht="18" customHeight="1" x14ac:dyDescent="0.2">
      <c r="A81" s="124">
        <v>1</v>
      </c>
      <c r="B81" s="125">
        <f t="shared" si="0"/>
        <v>53.679999999999964</v>
      </c>
      <c r="C81" s="126">
        <f t="shared" si="1"/>
        <v>2881.5423999999962</v>
      </c>
      <c r="D81" s="127">
        <f t="shared" si="2"/>
        <v>154681.19603199969</v>
      </c>
      <c r="E81" s="128">
        <f t="shared" si="3"/>
        <v>8303286.6029977379</v>
      </c>
      <c r="F81" s="129">
        <f>'Pollutant Annual Calibration'!$K$27+'Pollutant Annual Calibration'!$K$28*'Chart Data Pollutant'!B81</f>
        <v>53.858857712938395</v>
      </c>
      <c r="G81" s="72">
        <f t="shared" si="4"/>
        <v>53.718220821346506</v>
      </c>
      <c r="H81" s="108">
        <f t="shared" si="10"/>
        <v>53.999494604530284</v>
      </c>
      <c r="I81" s="90"/>
      <c r="J81" s="130">
        <f>'Pollutant Annual Calibration'!$U$30+'Chart Data Pollutant'!B81*'Pollutant Annual Calibration'!$U$31+'Chart Data Pollutant'!B81^2*'Pollutant Annual Calibration'!$U$32</f>
        <v>53.85959082316009</v>
      </c>
      <c r="K81" s="75">
        <f t="shared" si="11"/>
        <v>53.536230171411212</v>
      </c>
      <c r="L81" s="110">
        <f t="shared" si="5"/>
        <v>54.182951474908968</v>
      </c>
      <c r="M81" s="91"/>
      <c r="N81" s="111">
        <f>'Pollutant Annual Calibration'!$AD$30+B81*'Pollutant Annual Calibration'!$AD$31+B81^2*'Pollutant Annual Calibration'!$AD$32+B81^3*'Pollutant Annual Calibration'!$AD$33</f>
        <v>53.922629165312742</v>
      </c>
      <c r="O81" s="131">
        <f t="shared" si="6"/>
        <v>53.598147225972525</v>
      </c>
      <c r="P81" s="112">
        <f t="shared" si="7"/>
        <v>54.247111104652959</v>
      </c>
      <c r="Q81" s="92"/>
      <c r="R81" s="132">
        <f>SUMPRODUCT(A81:E81,'Pollutant Annual Calibration'!$BI$43:$BM$43)</f>
        <v>53.938046855161843</v>
      </c>
      <c r="S81" s="81" t="e">
        <f t="shared" si="8"/>
        <v>#DIV/0!</v>
      </c>
      <c r="T81" s="114" t="e">
        <f t="shared" si="9"/>
        <v>#DIV/0!</v>
      </c>
      <c r="U81" s="81"/>
      <c r="V81" s="71">
        <f>SUMPRODUCT($A81:$B81,'Pollutant Annual Calibration'!$K$52:$L$52)</f>
        <v>4.7778115957304822E-3</v>
      </c>
      <c r="W81" s="90">
        <f>SUMPRODUCT($A81:$B81,'Pollutant Annual Calibration'!$K$53:$L$53)</f>
        <v>-5.2625336104437947E-5</v>
      </c>
      <c r="X81" s="74">
        <f>SUMPRODUCT($A81:$C81,'Pollutant Annual Calibration'!$U$59:$W$59)</f>
        <v>-5.0193428850361599E-2</v>
      </c>
      <c r="Y81" s="75">
        <f>SUMPRODUCT($A81:$C81,'Pollutant Annual Calibration'!$U$60:$W$60)</f>
        <v>1.9735685538856892E-3</v>
      </c>
      <c r="Z81" s="75">
        <f>SUMPRODUCT($A81:$C81,'Pollutant Annual Calibration'!$U$61:$W$61)</f>
        <v>-1.7386396691032059E-5</v>
      </c>
      <c r="AA81" s="133">
        <f>SUMPRODUCT($A81:$D81,'Pollutant Annual Calibration'!$AD$59:$AG$59)</f>
        <v>-0.37848132648063171</v>
      </c>
      <c r="AB81" s="112">
        <f>SUMPRODUCT($A81:$D81,'Pollutant Annual Calibration'!$AD$60:$AG$60)</f>
        <v>1.9763638400003058E-2</v>
      </c>
      <c r="AC81" s="112">
        <f>SUMPRODUCT($A81:$D81,'Pollutant Annual Calibration'!$AD$61:$AG$61)</f>
        <v>-3.2838908952058377E-4</v>
      </c>
      <c r="AD81" s="134">
        <f>SUMPRODUCT($A81:$D81,'Pollutant Annual Calibration'!$AD$62:$AG$62)</f>
        <v>1.7592486755867631E-6</v>
      </c>
      <c r="AE81" s="81" t="e">
        <f>SUMPRODUCT(A81:E81,'Pollutant Annual Calibration'!$BG$59:$BK$59)</f>
        <v>#DIV/0!</v>
      </c>
      <c r="AF81" s="81" t="e">
        <f>SUMPRODUCT(A81:E81,'Pollutant Annual Calibration'!$BG$60:$BK$60)</f>
        <v>#DIV/0!</v>
      </c>
      <c r="AG81" s="81" t="e">
        <f>SUMPRODUCT(A81:E81,'Pollutant Annual Calibration'!$BG$61:$BK$61)</f>
        <v>#DIV/0!</v>
      </c>
      <c r="AH81" s="81" t="e">
        <f>SUMPRODUCT(A81:E81,'Pollutant Annual Calibration'!$BG$62:$BK$62)</f>
        <v>#DIV/0!</v>
      </c>
      <c r="AI81" s="135" t="e">
        <f>SUMPRODUCT(A81:E81,'Pollutant Annual Calibration'!$BG$63:$BK$63)</f>
        <v>#DIV/0!</v>
      </c>
    </row>
    <row r="82" spans="1:35" ht="18" customHeight="1" x14ac:dyDescent="0.2">
      <c r="A82" s="124">
        <v>1</v>
      </c>
      <c r="B82" s="125">
        <f t="shared" si="0"/>
        <v>54.439999999999962</v>
      </c>
      <c r="C82" s="126">
        <f t="shared" si="1"/>
        <v>2963.7135999999959</v>
      </c>
      <c r="D82" s="127">
        <f t="shared" si="2"/>
        <v>161344.56838399966</v>
      </c>
      <c r="E82" s="128">
        <f t="shared" si="3"/>
        <v>8783598.3028249368</v>
      </c>
      <c r="F82" s="129">
        <f>'Pollutant Annual Calibration'!$K$27+'Pollutant Annual Calibration'!$K$28*'Chart Data Pollutant'!B82</f>
        <v>54.625515788324499</v>
      </c>
      <c r="G82" s="72">
        <f t="shared" si="4"/>
        <v>54.48760060960737</v>
      </c>
      <c r="H82" s="108">
        <f t="shared" si="10"/>
        <v>54.763430967041629</v>
      </c>
      <c r="I82" s="90"/>
      <c r="J82" s="130">
        <f>'Pollutant Annual Calibration'!$U$30+'Chart Data Pollutant'!B82*'Pollutant Annual Calibration'!$U$31+'Chart Data Pollutant'!B82^2*'Pollutant Annual Calibration'!$U$32</f>
        <v>54.62628428286628</v>
      </c>
      <c r="K82" s="75">
        <f t="shared" si="11"/>
        <v>54.298473270137443</v>
      </c>
      <c r="L82" s="110">
        <f t="shared" si="5"/>
        <v>54.954095295595117</v>
      </c>
      <c r="M82" s="91"/>
      <c r="N82" s="111">
        <f>'Pollutant Annual Calibration'!$AD$30+B82*'Pollutant Annual Calibration'!$AD$31+B82^2*'Pollutant Annual Calibration'!$AD$32+B82^3*'Pollutant Annual Calibration'!$AD$33</f>
        <v>54.681856298557186</v>
      </c>
      <c r="O82" s="131">
        <f t="shared" si="6"/>
        <v>54.365934060414844</v>
      </c>
      <c r="P82" s="112">
        <f t="shared" si="7"/>
        <v>54.997778536699528</v>
      </c>
      <c r="Q82" s="92"/>
      <c r="R82" s="132">
        <f>SUMPRODUCT(A82:E82,'Pollutant Annual Calibration'!$BI$43:$BM$43)</f>
        <v>54.706239664916609</v>
      </c>
      <c r="S82" s="81" t="e">
        <f t="shared" si="8"/>
        <v>#DIV/0!</v>
      </c>
      <c r="T82" s="114" t="e">
        <f t="shared" si="9"/>
        <v>#DIV/0!</v>
      </c>
      <c r="U82" s="81"/>
      <c r="V82" s="71">
        <f>SUMPRODUCT($A82:$B82,'Pollutant Annual Calibration'!$K$52:$L$52)</f>
        <v>4.3751566592124744E-3</v>
      </c>
      <c r="W82" s="90">
        <f>SUMPRODUCT($A82:$B82,'Pollutant Annual Calibration'!$K$53:$L$53)</f>
        <v>-4.5869380793733166E-5</v>
      </c>
      <c r="X82" s="74">
        <f>SUMPRODUCT($A82:$C82,'Pollutant Annual Calibration'!$U$59:$W$59)</f>
        <v>-5.3565864182418377E-2</v>
      </c>
      <c r="Y82" s="75">
        <f>SUMPRODUCT($A82:$C82,'Pollutant Annual Calibration'!$U$60:$W$60)</f>
        <v>2.0827674550222483E-3</v>
      </c>
      <c r="Z82" s="75">
        <f>SUMPRODUCT($A82:$C82,'Pollutant Annual Calibration'!$U$61:$W$61)</f>
        <v>-1.822556902449443E-5</v>
      </c>
      <c r="AA82" s="133">
        <f>SUMPRODUCT($A82:$D82,'Pollutant Annual Calibration'!$AD$59:$AG$59)</f>
        <v>-0.34297100259965418</v>
      </c>
      <c r="AB82" s="112">
        <f>SUMPRODUCT($A82:$D82,'Pollutant Annual Calibration'!$AD$60:$AG$60)</f>
        <v>1.7765762970338717E-2</v>
      </c>
      <c r="AC82" s="112">
        <f>SUMPRODUCT($A82:$D82,'Pollutant Annual Calibration'!$AD$61:$AG$61)</f>
        <v>-2.9239278023201337E-4</v>
      </c>
      <c r="AD82" s="134">
        <f>SUMPRODUCT($A82:$D82,'Pollutant Annual Calibration'!$AD$62:$AG$62)</f>
        <v>1.550881437127914E-6</v>
      </c>
      <c r="AE82" s="81" t="e">
        <f>SUMPRODUCT(A82:E82,'Pollutant Annual Calibration'!$BG$59:$BK$59)</f>
        <v>#DIV/0!</v>
      </c>
      <c r="AF82" s="81" t="e">
        <f>SUMPRODUCT(A82:E82,'Pollutant Annual Calibration'!$BG$60:$BK$60)</f>
        <v>#DIV/0!</v>
      </c>
      <c r="AG82" s="81" t="e">
        <f>SUMPRODUCT(A82:E82,'Pollutant Annual Calibration'!$BG$61:$BK$61)</f>
        <v>#DIV/0!</v>
      </c>
      <c r="AH82" s="81" t="e">
        <f>SUMPRODUCT(A82:E82,'Pollutant Annual Calibration'!$BG$62:$BK$62)</f>
        <v>#DIV/0!</v>
      </c>
      <c r="AI82" s="135" t="e">
        <f>SUMPRODUCT(A82:E82,'Pollutant Annual Calibration'!$BG$63:$BK$63)</f>
        <v>#DIV/0!</v>
      </c>
    </row>
    <row r="83" spans="1:35" ht="18" customHeight="1" x14ac:dyDescent="0.2">
      <c r="A83" s="124">
        <v>1</v>
      </c>
      <c r="B83" s="125">
        <f t="shared" si="0"/>
        <v>55.19999999999996</v>
      </c>
      <c r="C83" s="126">
        <f t="shared" si="1"/>
        <v>3047.0399999999954</v>
      </c>
      <c r="D83" s="127">
        <f t="shared" si="2"/>
        <v>168196.60799999963</v>
      </c>
      <c r="E83" s="128">
        <f t="shared" si="3"/>
        <v>9284452.7615999728</v>
      </c>
      <c r="F83" s="129">
        <f>'Pollutant Annual Calibration'!$K$27+'Pollutant Annual Calibration'!$K$28*'Chart Data Pollutant'!B83</f>
        <v>55.392173863710596</v>
      </c>
      <c r="G83" s="72">
        <f t="shared" si="4"/>
        <v>55.256650941814634</v>
      </c>
      <c r="H83" s="108">
        <f t="shared" si="10"/>
        <v>55.527696785606558</v>
      </c>
      <c r="I83" s="90"/>
      <c r="J83" s="130">
        <f>'Pollutant Annual Calibration'!$U$30+'Chart Data Pollutant'!B83*'Pollutant Annual Calibration'!$U$31+'Chart Data Pollutant'!B83^2*'Pollutant Annual Calibration'!$U$32</f>
        <v>55.392972327328344</v>
      </c>
      <c r="K83" s="75">
        <f t="shared" si="11"/>
        <v>55.061211891853098</v>
      </c>
      <c r="L83" s="110">
        <f t="shared" si="5"/>
        <v>55.72473276280359</v>
      </c>
      <c r="M83" s="91"/>
      <c r="N83" s="111">
        <f>'Pollutant Annual Calibration'!$AD$30+B83*'Pollutant Annual Calibration'!$AD$31+B83^2*'Pollutant Annual Calibration'!$AD$32+B83^3*'Pollutant Annual Calibration'!$AD$33</f>
        <v>55.440424343451312</v>
      </c>
      <c r="O83" s="131">
        <f t="shared" si="6"/>
        <v>55.132954547145914</v>
      </c>
      <c r="P83" s="112">
        <f t="shared" si="7"/>
        <v>55.74789413975671</v>
      </c>
      <c r="Q83" s="92"/>
      <c r="R83" s="132">
        <f>SUMPRODUCT(A83:E83,'Pollutant Annual Calibration'!$BI$43:$BM$43)</f>
        <v>55.472839038673158</v>
      </c>
      <c r="S83" s="81" t="e">
        <f t="shared" si="8"/>
        <v>#DIV/0!</v>
      </c>
      <c r="T83" s="114" t="e">
        <f t="shared" si="9"/>
        <v>#DIV/0!</v>
      </c>
      <c r="U83" s="81"/>
      <c r="V83" s="71">
        <f>SUMPRODUCT($A83:$B83,'Pollutant Annual Calibration'!$K$52:$L$52)</f>
        <v>3.9725017226944666E-3</v>
      </c>
      <c r="W83" s="90">
        <f>SUMPRODUCT($A83:$B83,'Pollutant Annual Calibration'!$K$53:$L$53)</f>
        <v>-3.9113425483028276E-5</v>
      </c>
      <c r="X83" s="74">
        <f>SUMPRODUCT($A83:$C83,'Pollutant Annual Calibration'!$U$59:$W$59)</f>
        <v>-5.6514604203694807E-2</v>
      </c>
      <c r="Y83" s="75">
        <f>SUMPRODUCT($A83:$C83,'Pollutant Annual Calibration'!$U$60:$W$60)</f>
        <v>2.1768052230364265E-3</v>
      </c>
      <c r="Z83" s="75">
        <f>SUMPRODUCT($A83:$C83,'Pollutant Annual Calibration'!$U$61:$W$61)</f>
        <v>-1.8936313766618207E-5</v>
      </c>
      <c r="AA83" s="133">
        <f>SUMPRODUCT($A83:$D83,'Pollutant Annual Calibration'!$AD$59:$AG$59)</f>
        <v>-0.30363281751166227</v>
      </c>
      <c r="AB83" s="112">
        <f>SUMPRODUCT($A83:$D83,'Pollutant Annual Calibration'!$AD$60:$AG$60)</f>
        <v>1.5568253115969322E-2</v>
      </c>
      <c r="AC83" s="112">
        <f>SUMPRODUCT($A83:$D83,'Pollutant Annual Calibration'!$AD$61:$AG$61)</f>
        <v>-2.5304311557310805E-4</v>
      </c>
      <c r="AD83" s="134">
        <f>SUMPRODUCT($A83:$D83,'Pollutant Annual Calibration'!$AD$62:$AG$62)</f>
        <v>1.3242717523658117E-6</v>
      </c>
      <c r="AE83" s="81" t="e">
        <f>SUMPRODUCT(A83:E83,'Pollutant Annual Calibration'!$BG$59:$BK$59)</f>
        <v>#DIV/0!</v>
      </c>
      <c r="AF83" s="81" t="e">
        <f>SUMPRODUCT(A83:E83,'Pollutant Annual Calibration'!$BG$60:$BK$60)</f>
        <v>#DIV/0!</v>
      </c>
      <c r="AG83" s="81" t="e">
        <f>SUMPRODUCT(A83:E83,'Pollutant Annual Calibration'!$BG$61:$BK$61)</f>
        <v>#DIV/0!</v>
      </c>
      <c r="AH83" s="81" t="e">
        <f>SUMPRODUCT(A83:E83,'Pollutant Annual Calibration'!$BG$62:$BK$62)</f>
        <v>#DIV/0!</v>
      </c>
      <c r="AI83" s="135" t="e">
        <f>SUMPRODUCT(A83:E83,'Pollutant Annual Calibration'!$BG$63:$BK$63)</f>
        <v>#DIV/0!</v>
      </c>
    </row>
    <row r="84" spans="1:35" ht="18" customHeight="1" x14ac:dyDescent="0.2">
      <c r="A84" s="124">
        <v>1</v>
      </c>
      <c r="B84" s="125">
        <f t="shared" si="0"/>
        <v>55.959999999999958</v>
      </c>
      <c r="C84" s="126">
        <f t="shared" si="1"/>
        <v>3131.5215999999955</v>
      </c>
      <c r="D84" s="127">
        <f t="shared" si="2"/>
        <v>175239.94873599961</v>
      </c>
      <c r="E84" s="128">
        <f t="shared" si="3"/>
        <v>9806427.531266531</v>
      </c>
      <c r="F84" s="129">
        <f>'Pollutant Annual Calibration'!$K$27+'Pollutant Annual Calibration'!$K$28*'Chart Data Pollutant'!B84</f>
        <v>56.1588319390967</v>
      </c>
      <c r="G84" s="72">
        <f t="shared" si="4"/>
        <v>56.025354102762144</v>
      </c>
      <c r="H84" s="108">
        <f t="shared" si="10"/>
        <v>56.292309775431256</v>
      </c>
      <c r="I84" s="90"/>
      <c r="J84" s="130">
        <f>'Pollutant Annual Calibration'!$U$30+'Chart Data Pollutant'!B84*'Pollutant Annual Calibration'!$U$31+'Chart Data Pollutant'!B84^2*'Pollutant Annual Calibration'!$U$32</f>
        <v>56.159654956546277</v>
      </c>
      <c r="K84" s="75">
        <f t="shared" si="11"/>
        <v>55.824564385842436</v>
      </c>
      <c r="L84" s="110">
        <f t="shared" si="5"/>
        <v>56.494745527250117</v>
      </c>
      <c r="M84" s="91"/>
      <c r="N84" s="111">
        <f>'Pollutant Annual Calibration'!$AD$30+B84*'Pollutant Annual Calibration'!$AD$31+B84^2*'Pollutant Annual Calibration'!$AD$32+B84^3*'Pollutant Annual Calibration'!$AD$33</f>
        <v>56.198444013517616</v>
      </c>
      <c r="O84" s="131">
        <f t="shared" si="6"/>
        <v>55.898845302104561</v>
      </c>
      <c r="P84" s="112">
        <f t="shared" si="7"/>
        <v>56.49804272493067</v>
      </c>
      <c r="Q84" s="92"/>
      <c r="R84" s="132">
        <f>SUMPRODUCT(A84:E84,'Pollutant Annual Calibration'!$BI$43:$BM$43)</f>
        <v>56.237810496069613</v>
      </c>
      <c r="S84" s="81" t="e">
        <f t="shared" si="8"/>
        <v>#DIV/0!</v>
      </c>
      <c r="T84" s="114" t="e">
        <f t="shared" si="9"/>
        <v>#DIV/0!</v>
      </c>
      <c r="U84" s="81"/>
      <c r="V84" s="71">
        <f>SUMPRODUCT($A84:$B84,'Pollutant Annual Calibration'!$K$52:$L$52)</f>
        <v>3.5698467861764588E-3</v>
      </c>
      <c r="W84" s="90">
        <f>SUMPRODUCT($A84:$B84,'Pollutant Annual Calibration'!$K$53:$L$53)</f>
        <v>-3.2357470172323494E-5</v>
      </c>
      <c r="X84" s="74">
        <f>SUMPRODUCT($A84:$C84,'Pollutant Annual Calibration'!$U$59:$W$59)</f>
        <v>-5.9039648914190446E-2</v>
      </c>
      <c r="Y84" s="75">
        <f>SUMPRODUCT($A84:$C84,'Pollutant Annual Calibration'!$U$60:$W$60)</f>
        <v>2.2556818579281893E-3</v>
      </c>
      <c r="Z84" s="75">
        <f>SUMPRODUCT($A84:$C84,'Pollutant Annual Calibration'!$U$61:$W$61)</f>
        <v>-1.9518630917403389E-5</v>
      </c>
      <c r="AA84" s="133">
        <f>SUMPRODUCT($A84:$D84,'Pollutant Annual Calibration'!$AD$59:$AG$59)</f>
        <v>-0.26104333952547165</v>
      </c>
      <c r="AB84" s="112">
        <f>SUMPRODUCT($A84:$D84,'Pollutant Annual Calibration'!$AD$60:$AG$60)</f>
        <v>1.3202353334669237E-2</v>
      </c>
      <c r="AC84" s="112">
        <f>SUMPRODUCT($A84:$D84,'Pollutant Annual Calibration'!$AD$61:$AG$61)</f>
        <v>-2.1088630604371161E-4</v>
      </c>
      <c r="AD84" s="134">
        <f>SUMPRODUCT($A84:$D84,'Pollutant Annual Calibration'!$AD$62:$AG$62)</f>
        <v>1.0825093697840237E-6</v>
      </c>
      <c r="AE84" s="81" t="e">
        <f>SUMPRODUCT(A84:E84,'Pollutant Annual Calibration'!$BG$59:$BK$59)</f>
        <v>#DIV/0!</v>
      </c>
      <c r="AF84" s="81" t="e">
        <f>SUMPRODUCT(A84:E84,'Pollutant Annual Calibration'!$BG$60:$BK$60)</f>
        <v>#DIV/0!</v>
      </c>
      <c r="AG84" s="81" t="e">
        <f>SUMPRODUCT(A84:E84,'Pollutant Annual Calibration'!$BG$61:$BK$61)</f>
        <v>#DIV/0!</v>
      </c>
      <c r="AH84" s="81" t="e">
        <f>SUMPRODUCT(A84:E84,'Pollutant Annual Calibration'!$BG$62:$BK$62)</f>
        <v>#DIV/0!</v>
      </c>
      <c r="AI84" s="135" t="e">
        <f>SUMPRODUCT(A84:E84,'Pollutant Annual Calibration'!$BG$63:$BK$63)</f>
        <v>#DIV/0!</v>
      </c>
    </row>
    <row r="85" spans="1:35" ht="18" customHeight="1" x14ac:dyDescent="0.2">
      <c r="A85" s="124">
        <v>1</v>
      </c>
      <c r="B85" s="125">
        <f t="shared" si="0"/>
        <v>56.719999999999956</v>
      </c>
      <c r="C85" s="126">
        <f t="shared" si="1"/>
        <v>3217.1583999999953</v>
      </c>
      <c r="D85" s="127">
        <f t="shared" si="2"/>
        <v>182477.22444799959</v>
      </c>
      <c r="E85" s="128">
        <f t="shared" si="3"/>
        <v>10350108.170690529</v>
      </c>
      <c r="F85" s="129">
        <f>'Pollutant Annual Calibration'!$K$27+'Pollutant Annual Calibration'!$K$28*'Chart Data Pollutant'!B85</f>
        <v>56.925490014482804</v>
      </c>
      <c r="G85" s="72">
        <f t="shared" si="4"/>
        <v>56.79369393024438</v>
      </c>
      <c r="H85" s="108">
        <f t="shared" si="10"/>
        <v>57.057286098721228</v>
      </c>
      <c r="I85" s="90"/>
      <c r="J85" s="130">
        <f>'Pollutant Annual Calibration'!$U$30+'Chart Data Pollutant'!B85*'Pollutant Annual Calibration'!$U$31+'Chart Data Pollutant'!B85^2*'Pollutant Annual Calibration'!$U$32</f>
        <v>56.926332170520084</v>
      </c>
      <c r="K85" s="75">
        <f t="shared" si="11"/>
        <v>56.588623047891339</v>
      </c>
      <c r="L85" s="110">
        <f t="shared" si="5"/>
        <v>57.264041293148829</v>
      </c>
      <c r="M85" s="91"/>
      <c r="N85" s="111">
        <f>'Pollutant Annual Calibration'!$AD$30+B85*'Pollutant Annual Calibration'!$AD$31+B85^2*'Pollutant Annual Calibration'!$AD$32+B85^3*'Pollutant Annual Calibration'!$AD$33</f>
        <v>56.956026022278593</v>
      </c>
      <c r="O85" s="131">
        <f t="shared" si="6"/>
        <v>56.663256230248827</v>
      </c>
      <c r="P85" s="112">
        <f t="shared" si="7"/>
        <v>57.248795814308359</v>
      </c>
      <c r="Q85" s="92"/>
      <c r="R85" s="132">
        <f>SUMPRODUCT(A85:E85,'Pollutant Annual Calibration'!$BI$43:$BM$43)</f>
        <v>57.001144419144524</v>
      </c>
      <c r="S85" s="81" t="e">
        <f t="shared" si="8"/>
        <v>#DIV/0!</v>
      </c>
      <c r="T85" s="114" t="e">
        <f t="shared" si="9"/>
        <v>#DIV/0!</v>
      </c>
      <c r="U85" s="81"/>
      <c r="V85" s="71">
        <f>SUMPRODUCT($A85:$B85,'Pollutant Annual Calibration'!$K$52:$L$52)</f>
        <v>3.1671918496584545E-3</v>
      </c>
      <c r="W85" s="90">
        <f>SUMPRODUCT($A85:$B85,'Pollutant Annual Calibration'!$K$53:$L$53)</f>
        <v>-2.5601514861618713E-5</v>
      </c>
      <c r="X85" s="74">
        <f>SUMPRODUCT($A85:$C85,'Pollutant Annual Calibration'!$U$59:$W$59)</f>
        <v>-6.1140998313905515E-2</v>
      </c>
      <c r="Y85" s="75">
        <f>SUMPRODUCT($A85:$C85,'Pollutant Annual Calibration'!$U$60:$W$60)</f>
        <v>2.3193973596975573E-3</v>
      </c>
      <c r="Z85" s="75">
        <f>SUMPRODUCT($A85:$C85,'Pollutant Annual Calibration'!$U$61:$W$61)</f>
        <v>-1.997252047684987E-5</v>
      </c>
      <c r="AA85" s="133">
        <f>SUMPRODUCT($A85:$D85,'Pollutant Annual Calibration'!$AD$59:$AG$59)</f>
        <v>-0.21577913695007567</v>
      </c>
      <c r="AB85" s="112">
        <f>SUMPRODUCT($A85:$D85,'Pollutant Annual Calibration'!$AD$60:$AG$60)</f>
        <v>1.0699308124211271E-2</v>
      </c>
      <c r="AC85" s="112">
        <f>SUMPRODUCT($A85:$D85,'Pollutant Annual Calibration'!$AD$61:$AG$61)</f>
        <v>-1.6646856214377892E-4</v>
      </c>
      <c r="AD85" s="134">
        <f>SUMPRODUCT($A85:$D85,'Pollutant Annual Calibration'!$AD$62:$AG$62)</f>
        <v>8.2868403786609014E-7</v>
      </c>
      <c r="AE85" s="81" t="e">
        <f>SUMPRODUCT(A85:E85,'Pollutant Annual Calibration'!$BG$59:$BK$59)</f>
        <v>#DIV/0!</v>
      </c>
      <c r="AF85" s="81" t="e">
        <f>SUMPRODUCT(A85:E85,'Pollutant Annual Calibration'!$BG$60:$BK$60)</f>
        <v>#DIV/0!</v>
      </c>
      <c r="AG85" s="81" t="e">
        <f>SUMPRODUCT(A85:E85,'Pollutant Annual Calibration'!$BG$61:$BK$61)</f>
        <v>#DIV/0!</v>
      </c>
      <c r="AH85" s="81" t="e">
        <f>SUMPRODUCT(A85:E85,'Pollutant Annual Calibration'!$BG$62:$BK$62)</f>
        <v>#DIV/0!</v>
      </c>
      <c r="AI85" s="135" t="e">
        <f>SUMPRODUCT(A85:E85,'Pollutant Annual Calibration'!$BG$63:$BK$63)</f>
        <v>#DIV/0!</v>
      </c>
    </row>
    <row r="86" spans="1:35" ht="18" customHeight="1" x14ac:dyDescent="0.2">
      <c r="A86" s="124">
        <v>1</v>
      </c>
      <c r="B86" s="125">
        <f t="shared" si="0"/>
        <v>57.479999999999954</v>
      </c>
      <c r="C86" s="126">
        <f t="shared" si="1"/>
        <v>3303.9503999999947</v>
      </c>
      <c r="D86" s="127">
        <f t="shared" si="2"/>
        <v>189911.06899199955</v>
      </c>
      <c r="E86" s="128">
        <f t="shared" si="3"/>
        <v>10916088.245660124</v>
      </c>
      <c r="F86" s="129">
        <f>'Pollutant Annual Calibration'!$K$27+'Pollutant Annual Calibration'!$K$28*'Chart Data Pollutant'!B86</f>
        <v>57.692148089868908</v>
      </c>
      <c r="G86" s="72">
        <f t="shared" si="4"/>
        <v>57.561656375789809</v>
      </c>
      <c r="H86" s="108">
        <f t="shared" si="10"/>
        <v>57.822639803948007</v>
      </c>
      <c r="I86" s="90"/>
      <c r="J86" s="130">
        <f>'Pollutant Annual Calibration'!$U$30+'Chart Data Pollutant'!B86*'Pollutant Annual Calibration'!$U$31+'Chart Data Pollutant'!B86^2*'Pollutant Annual Calibration'!$U$32</f>
        <v>57.693003969249759</v>
      </c>
      <c r="K86" s="75">
        <f t="shared" si="11"/>
        <v>57.353457171264196</v>
      </c>
      <c r="L86" s="110">
        <f t="shared" si="5"/>
        <v>58.032550767235321</v>
      </c>
      <c r="M86" s="91"/>
      <c r="N86" s="111">
        <f>'Pollutant Annual Calibration'!$AD$30+B86*'Pollutant Annual Calibration'!$AD$31+B86^2*'Pollutant Annual Calibration'!$AD$32+B86^3*'Pollutant Annual Calibration'!$AD$33</f>
        <v>57.713281083256746</v>
      </c>
      <c r="O86" s="131">
        <f t="shared" si="6"/>
        <v>57.425881098293921</v>
      </c>
      <c r="P86" s="112">
        <f t="shared" si="7"/>
        <v>58.000681068219571</v>
      </c>
      <c r="Q86" s="92"/>
      <c r="R86" s="132">
        <f>SUMPRODUCT(A86:E86,'Pollutant Annual Calibration'!$BI$43:$BM$43)</f>
        <v>57.762856052336971</v>
      </c>
      <c r="S86" s="81" t="e">
        <f t="shared" si="8"/>
        <v>#DIV/0!</v>
      </c>
      <c r="T86" s="114" t="e">
        <f t="shared" si="9"/>
        <v>#DIV/0!</v>
      </c>
      <c r="U86" s="81"/>
      <c r="V86" s="71">
        <f>SUMPRODUCT($A86:$B86,'Pollutant Annual Calibration'!$K$52:$L$52)</f>
        <v>2.7645369131404467E-3</v>
      </c>
      <c r="W86" s="90">
        <f>SUMPRODUCT($A86:$B86,'Pollutant Annual Calibration'!$K$53:$L$53)</f>
        <v>-1.8845559550913823E-5</v>
      </c>
      <c r="X86" s="74">
        <f>SUMPRODUCT($A86:$C86,'Pollutant Annual Calibration'!$U$59:$W$59)</f>
        <v>-6.2818652402840014E-2</v>
      </c>
      <c r="Y86" s="75">
        <f>SUMPRODUCT($A86:$C86,'Pollutant Annual Calibration'!$U$60:$W$60)</f>
        <v>2.3679517283445445E-3</v>
      </c>
      <c r="Z86" s="75">
        <f>SUMPRODUCT($A86:$C86,'Pollutant Annual Calibration'!$U$61:$W$61)</f>
        <v>-2.0297982444957702E-5</v>
      </c>
      <c r="AA86" s="133">
        <f>SUMPRODUCT($A86:$D86,'Pollutant Annual Calibration'!$AD$59:$AG$59)</f>
        <v>-0.1684167780944108</v>
      </c>
      <c r="AB86" s="112">
        <f>SUMPRODUCT($A86:$D86,'Pollutant Annual Calibration'!$AD$60:$AG$60)</f>
        <v>8.0903619823717854E-3</v>
      </c>
      <c r="AC86" s="112">
        <f>SUMPRODUCT($A86:$D86,'Pollutant Annual Calibration'!$AD$61:$AG$61)</f>
        <v>-1.2033609437318848E-4</v>
      </c>
      <c r="AD86" s="134">
        <f>SUMPRODUCT($A86:$D86,'Pollutant Annual Calibration'!$AD$62:$AG$62)</f>
        <v>5.6588550509549724E-7</v>
      </c>
      <c r="AE86" s="81" t="e">
        <f>SUMPRODUCT(A86:E86,'Pollutant Annual Calibration'!$BG$59:$BK$59)</f>
        <v>#DIV/0!</v>
      </c>
      <c r="AF86" s="81" t="e">
        <f>SUMPRODUCT(A86:E86,'Pollutant Annual Calibration'!$BG$60:$BK$60)</f>
        <v>#DIV/0!</v>
      </c>
      <c r="AG86" s="81" t="e">
        <f>SUMPRODUCT(A86:E86,'Pollutant Annual Calibration'!$BG$61:$BK$61)</f>
        <v>#DIV/0!</v>
      </c>
      <c r="AH86" s="81" t="e">
        <f>SUMPRODUCT(A86:E86,'Pollutant Annual Calibration'!$BG$62:$BK$62)</f>
        <v>#DIV/0!</v>
      </c>
      <c r="AI86" s="135" t="e">
        <f>SUMPRODUCT(A86:E86,'Pollutant Annual Calibration'!$BG$63:$BK$63)</f>
        <v>#DIV/0!</v>
      </c>
    </row>
    <row r="87" spans="1:35" ht="18" customHeight="1" x14ac:dyDescent="0.2">
      <c r="A87" s="124">
        <v>1</v>
      </c>
      <c r="B87" s="125">
        <f t="shared" si="0"/>
        <v>58.239999999999952</v>
      </c>
      <c r="C87" s="126">
        <f t="shared" si="1"/>
        <v>3391.8975999999943</v>
      </c>
      <c r="D87" s="127">
        <f t="shared" si="2"/>
        <v>197544.1162239995</v>
      </c>
      <c r="E87" s="128">
        <f t="shared" si="3"/>
        <v>11504969.328885721</v>
      </c>
      <c r="F87" s="129">
        <f>'Pollutant Annual Calibration'!$K$27+'Pollutant Annual Calibration'!$K$28*'Chart Data Pollutant'!B87</f>
        <v>58.458806165255005</v>
      </c>
      <c r="G87" s="72">
        <f t="shared" si="4"/>
        <v>58.32923004222026</v>
      </c>
      <c r="H87" s="108">
        <f t="shared" si="10"/>
        <v>58.58838228828975</v>
      </c>
      <c r="I87" s="90"/>
      <c r="J87" s="130">
        <f>'Pollutant Annual Calibration'!$U$30+'Chart Data Pollutant'!B87*'Pollutant Annual Calibration'!$U$31+'Chart Data Pollutant'!B87^2*'Pollutant Annual Calibration'!$U$32</f>
        <v>58.459670352735309</v>
      </c>
      <c r="K87" s="75">
        <f t="shared" si="11"/>
        <v>58.119115426000455</v>
      </c>
      <c r="L87" s="110">
        <f t="shared" si="5"/>
        <v>58.800225279470162</v>
      </c>
      <c r="M87" s="91"/>
      <c r="N87" s="111">
        <f>'Pollutant Annual Calibration'!$AD$30+B87*'Pollutant Annual Calibration'!$AD$31+B87^2*'Pollutant Annual Calibration'!$AD$32+B87^3*'Pollutant Annual Calibration'!$AD$33</f>
        <v>58.470319909974528</v>
      </c>
      <c r="O87" s="131">
        <f t="shared" si="6"/>
        <v>58.186493261023976</v>
      </c>
      <c r="P87" s="112">
        <f t="shared" si="7"/>
        <v>58.754146558925079</v>
      </c>
      <c r="Q87" s="92"/>
      <c r="R87" s="132">
        <f>SUMPRODUCT(A87:E87,'Pollutant Annual Calibration'!$BI$43:$BM$43)</f>
        <v>58.522985502486591</v>
      </c>
      <c r="S87" s="81" t="e">
        <f t="shared" si="8"/>
        <v>#DIV/0!</v>
      </c>
      <c r="T87" s="114" t="e">
        <f t="shared" si="9"/>
        <v>#DIV/0!</v>
      </c>
      <c r="U87" s="81"/>
      <c r="V87" s="71">
        <f>SUMPRODUCT($A87:$B87,'Pollutant Annual Calibration'!$K$52:$L$52)</f>
        <v>2.3618819766224389E-3</v>
      </c>
      <c r="W87" s="90">
        <f>SUMPRODUCT($A87:$B87,'Pollutant Annual Calibration'!$K$53:$L$53)</f>
        <v>-1.2089604240209041E-5</v>
      </c>
      <c r="X87" s="74">
        <f>SUMPRODUCT($A87:$C87,'Pollutant Annual Calibration'!$U$59:$W$59)</f>
        <v>-6.4072611180993722E-2</v>
      </c>
      <c r="Y87" s="75">
        <f>SUMPRODUCT($A87:$C87,'Pollutant Annual Calibration'!$U$60:$W$60)</f>
        <v>2.4013449638691162E-3</v>
      </c>
      <c r="Z87" s="75">
        <f>SUMPRODUCT($A87:$C87,'Pollutant Annual Calibration'!$U$61:$W$61)</f>
        <v>-2.0495016821726832E-5</v>
      </c>
      <c r="AA87" s="133">
        <f>SUMPRODUCT($A87:$D87,'Pollutant Annual Calibration'!$AD$59:$AG$59)</f>
        <v>-0.11953283126734249</v>
      </c>
      <c r="AB87" s="112">
        <f>SUMPRODUCT($A87:$D87,'Pollutant Annual Calibration'!$AD$60:$AG$60)</f>
        <v>5.4067594069220348E-3</v>
      </c>
      <c r="AC87" s="112">
        <f>SUMPRODUCT($A87:$D87,'Pollutant Annual Calibration'!$AD$61:$AG$61)</f>
        <v>-7.3035113231818827E-5</v>
      </c>
      <c r="AD87" s="134">
        <f>SUMPRODUCT($A87:$D87,'Pollutant Annual Calibration'!$AD$62:$AG$62)</f>
        <v>2.9720351995556841E-7</v>
      </c>
      <c r="AE87" s="81" t="e">
        <f>SUMPRODUCT(A87:E87,'Pollutant Annual Calibration'!$BG$59:$BK$59)</f>
        <v>#DIV/0!</v>
      </c>
      <c r="AF87" s="81" t="e">
        <f>SUMPRODUCT(A87:E87,'Pollutant Annual Calibration'!$BG$60:$BK$60)</f>
        <v>#DIV/0!</v>
      </c>
      <c r="AG87" s="81" t="e">
        <f>SUMPRODUCT(A87:E87,'Pollutant Annual Calibration'!$BG$61:$BK$61)</f>
        <v>#DIV/0!</v>
      </c>
      <c r="AH87" s="81" t="e">
        <f>SUMPRODUCT(A87:E87,'Pollutant Annual Calibration'!$BG$62:$BK$62)</f>
        <v>#DIV/0!</v>
      </c>
      <c r="AI87" s="135" t="e">
        <f>SUMPRODUCT(A87:E87,'Pollutant Annual Calibration'!$BG$63:$BK$63)</f>
        <v>#DIV/0!</v>
      </c>
    </row>
    <row r="88" spans="1:35" ht="18" customHeight="1" x14ac:dyDescent="0.2">
      <c r="A88" s="124">
        <v>1</v>
      </c>
      <c r="B88" s="125">
        <f t="shared" si="0"/>
        <v>58.99999999999995</v>
      </c>
      <c r="C88" s="126">
        <f t="shared" si="1"/>
        <v>3480.9999999999941</v>
      </c>
      <c r="D88" s="127">
        <f t="shared" si="2"/>
        <v>205378.99999999948</v>
      </c>
      <c r="E88" s="128">
        <f t="shared" si="3"/>
        <v>12117360.999999959</v>
      </c>
      <c r="F88" s="129">
        <f>'Pollutant Annual Calibration'!$K$27+'Pollutant Annual Calibration'!$K$28*'Chart Data Pollutant'!B88</f>
        <v>59.225464240641109</v>
      </c>
      <c r="G88" s="72">
        <f t="shared" si="4"/>
        <v>59.096406654762475</v>
      </c>
      <c r="H88" s="108">
        <f t="shared" si="10"/>
        <v>59.354521826519743</v>
      </c>
      <c r="I88" s="90"/>
      <c r="J88" s="130">
        <f>'Pollutant Annual Calibration'!$U$30+'Chart Data Pollutant'!B88*'Pollutant Annual Calibration'!$U$31+'Chart Data Pollutant'!B88^2*'Pollutant Annual Calibration'!$U$32</f>
        <v>59.226331320976726</v>
      </c>
      <c r="K88" s="75">
        <f t="shared" si="11"/>
        <v>58.885627550620619</v>
      </c>
      <c r="L88" s="110">
        <f t="shared" si="5"/>
        <v>59.567035091332833</v>
      </c>
      <c r="M88" s="91"/>
      <c r="N88" s="111">
        <f>'Pollutant Annual Calibration'!$AD$30+B88*'Pollutant Annual Calibration'!$AD$31+B88^2*'Pollutant Annual Calibration'!$AD$32+B88^3*'Pollutant Annual Calibration'!$AD$33</f>
        <v>59.227253215954455</v>
      </c>
      <c r="O88" s="131">
        <f t="shared" si="6"/>
        <v>58.944981015363375</v>
      </c>
      <c r="P88" s="112">
        <f t="shared" si="7"/>
        <v>59.509525416545536</v>
      </c>
      <c r="Q88" s="92"/>
      <c r="R88" s="132">
        <f>SUMPRODUCT(A88:E88,'Pollutant Annual Calibration'!$BI$43:$BM$43)</f>
        <v>59.281597738833433</v>
      </c>
      <c r="S88" s="81" t="e">
        <f t="shared" si="8"/>
        <v>#DIV/0!</v>
      </c>
      <c r="T88" s="114" t="e">
        <f t="shared" si="9"/>
        <v>#DIV/0!</v>
      </c>
      <c r="U88" s="81"/>
      <c r="V88" s="71">
        <f>SUMPRODUCT($A88:$B88,'Pollutant Annual Calibration'!$K$52:$L$52)</f>
        <v>1.9592270401044345E-3</v>
      </c>
      <c r="W88" s="90">
        <f>SUMPRODUCT($A88:$B88,'Pollutant Annual Calibration'!$K$53:$L$53)</f>
        <v>-5.3336489295042599E-6</v>
      </c>
      <c r="X88" s="74">
        <f>SUMPRODUCT($A88:$C88,'Pollutant Annual Calibration'!$U$59:$W$59)</f>
        <v>-6.4902874648366859E-2</v>
      </c>
      <c r="Y88" s="75">
        <f>SUMPRODUCT($A88:$C88,'Pollutant Annual Calibration'!$U$60:$W$60)</f>
        <v>2.4195770662712932E-3</v>
      </c>
      <c r="Z88" s="75">
        <f>SUMPRODUCT($A88:$C88,'Pollutant Annual Calibration'!$U$61:$W$61)</f>
        <v>-2.0563623607157422E-5</v>
      </c>
      <c r="AA88" s="133">
        <f>SUMPRODUCT($A88:$D88,'Pollutant Annual Calibration'!$AD$59:$AG$59)</f>
        <v>-6.9703864777828528E-2</v>
      </c>
      <c r="AB88" s="112">
        <f>SUMPRODUCT($A88:$D88,'Pollutant Annual Calibration'!$AD$60:$AG$60)</f>
        <v>2.6797448956381587E-3</v>
      </c>
      <c r="AC88" s="112">
        <f>SUMPRODUCT($A88:$D88,'Pollutant Annual Calibration'!$AD$61:$AG$61)</f>
        <v>-2.5111829219590098E-5</v>
      </c>
      <c r="AD88" s="134">
        <f>SUMPRODUCT($A88:$D88,'Pollutant Annual Calibration'!$AD$62:$AG$62)</f>
        <v>2.5727830930033675E-8</v>
      </c>
      <c r="AE88" s="81" t="e">
        <f>SUMPRODUCT(A88:E88,'Pollutant Annual Calibration'!$BG$59:$BK$59)</f>
        <v>#DIV/0!</v>
      </c>
      <c r="AF88" s="81" t="e">
        <f>SUMPRODUCT(A88:E88,'Pollutant Annual Calibration'!$BG$60:$BK$60)</f>
        <v>#DIV/0!</v>
      </c>
      <c r="AG88" s="81" t="e">
        <f>SUMPRODUCT(A88:E88,'Pollutant Annual Calibration'!$BG$61:$BK$61)</f>
        <v>#DIV/0!</v>
      </c>
      <c r="AH88" s="81" t="e">
        <f>SUMPRODUCT(A88:E88,'Pollutant Annual Calibration'!$BG$62:$BK$62)</f>
        <v>#DIV/0!</v>
      </c>
      <c r="AI88" s="135" t="e">
        <f>SUMPRODUCT(A88:E88,'Pollutant Annual Calibration'!$BG$63:$BK$63)</f>
        <v>#DIV/0!</v>
      </c>
    </row>
    <row r="89" spans="1:35" ht="18" customHeight="1" x14ac:dyDescent="0.2">
      <c r="A89" s="124">
        <v>1</v>
      </c>
      <c r="B89" s="125">
        <f t="shared" si="0"/>
        <v>59.759999999999948</v>
      </c>
      <c r="C89" s="126">
        <f t="shared" si="1"/>
        <v>3571.257599999994</v>
      </c>
      <c r="D89" s="127">
        <f t="shared" si="2"/>
        <v>213418.35417599947</v>
      </c>
      <c r="E89" s="128">
        <f t="shared" si="3"/>
        <v>12753880.845557718</v>
      </c>
      <c r="F89" s="129">
        <f>'Pollutant Annual Calibration'!$K$27+'Pollutant Annual Calibration'!$K$28*'Chart Data Pollutant'!B89</f>
        <v>59.992122316027213</v>
      </c>
      <c r="G89" s="72">
        <f t="shared" si="4"/>
        <v>59.8631814230583</v>
      </c>
      <c r="H89" s="108">
        <f t="shared" si="10"/>
        <v>60.121063208996127</v>
      </c>
      <c r="I89" s="90"/>
      <c r="J89" s="130">
        <f>'Pollutant Annual Calibration'!$U$30+'Chart Data Pollutant'!B89*'Pollutant Annual Calibration'!$U$31+'Chart Data Pollutant'!B89^2*'Pollutant Annual Calibration'!$U$32</f>
        <v>59.992986873974019</v>
      </c>
      <c r="K89" s="75">
        <f t="shared" si="11"/>
        <v>59.653005363146981</v>
      </c>
      <c r="L89" s="110">
        <f t="shared" si="5"/>
        <v>60.332968384801056</v>
      </c>
      <c r="M89" s="91"/>
      <c r="N89" s="111">
        <f>'Pollutant Annual Calibration'!$AD$30+B89*'Pollutant Annual Calibration'!$AD$31+B89^2*'Pollutant Annual Calibration'!$AD$32+B89^3*'Pollutant Annual Calibration'!$AD$33</f>
        <v>59.984191714719003</v>
      </c>
      <c r="O89" s="131">
        <f t="shared" si="6"/>
        <v>59.701374545008193</v>
      </c>
      <c r="P89" s="112">
        <f t="shared" si="7"/>
        <v>60.267008884429814</v>
      </c>
      <c r="Q89" s="92"/>
      <c r="R89" s="132">
        <f>SUMPRODUCT(A89:E89,'Pollutant Annual Calibration'!$BI$43:$BM$43)</f>
        <v>60.038782593018048</v>
      </c>
      <c r="S89" s="81" t="e">
        <f t="shared" si="8"/>
        <v>#DIV/0!</v>
      </c>
      <c r="T89" s="114" t="e">
        <f t="shared" si="9"/>
        <v>#DIV/0!</v>
      </c>
      <c r="U89" s="81"/>
      <c r="V89" s="71">
        <f>SUMPRODUCT($A89:$B89,'Pollutant Annual Calibration'!$K$52:$L$52)</f>
        <v>1.5565721035864233E-3</v>
      </c>
      <c r="W89" s="90">
        <f>SUMPRODUCT($A89:$B89,'Pollutant Annual Calibration'!$K$53:$L$53)</f>
        <v>1.42230638120063E-6</v>
      </c>
      <c r="X89" s="74">
        <f>SUMPRODUCT($A89:$C89,'Pollutant Annual Calibration'!$U$59:$W$59)</f>
        <v>-6.5309442804959206E-2</v>
      </c>
      <c r="Y89" s="75">
        <f>SUMPRODUCT($A89:$C89,'Pollutant Annual Calibration'!$U$60:$W$60)</f>
        <v>2.4226480355510824E-3</v>
      </c>
      <c r="Z89" s="75">
        <f>SUMPRODUCT($A89:$C89,'Pollutant Annual Calibration'!$U$61:$W$61)</f>
        <v>-2.0503802801249255E-5</v>
      </c>
      <c r="AA89" s="133">
        <f>SUMPRODUCT($A89:$D89,'Pollutant Annual Calibration'!$AD$59:$AG$59)</f>
        <v>-1.9506446934755672E-2</v>
      </c>
      <c r="AB89" s="112">
        <f>SUMPRODUCT($A89:$D89,'Pollutant Annual Calibration'!$AD$60:$AG$60)</f>
        <v>-5.9437053707256382E-5</v>
      </c>
      <c r="AC89" s="112">
        <f>SUMPRODUCT($A89:$D89,'Pollutant Annual Calibration'!$AD$61:$AG$61)</f>
        <v>2.2887547163653876E-5</v>
      </c>
      <c r="AD89" s="134">
        <f>SUMPRODUCT($A89:$D89,'Pollutant Annual Calibration'!$AD$62:$AG$62)</f>
        <v>-2.4545181349781061E-7</v>
      </c>
      <c r="AE89" s="81" t="e">
        <f>SUMPRODUCT(A89:E89,'Pollutant Annual Calibration'!$BG$59:$BK$59)</f>
        <v>#DIV/0!</v>
      </c>
      <c r="AF89" s="81" t="e">
        <f>SUMPRODUCT(A89:E89,'Pollutant Annual Calibration'!$BG$60:$BK$60)</f>
        <v>#DIV/0!</v>
      </c>
      <c r="AG89" s="81" t="e">
        <f>SUMPRODUCT(A89:E89,'Pollutant Annual Calibration'!$BG$61:$BK$61)</f>
        <v>#DIV/0!</v>
      </c>
      <c r="AH89" s="81" t="e">
        <f>SUMPRODUCT(A89:E89,'Pollutant Annual Calibration'!$BG$62:$BK$62)</f>
        <v>#DIV/0!</v>
      </c>
      <c r="AI89" s="135" t="e">
        <f>SUMPRODUCT(A89:E89,'Pollutant Annual Calibration'!$BG$63:$BK$63)</f>
        <v>#DIV/0!</v>
      </c>
    </row>
    <row r="90" spans="1:35" ht="18" customHeight="1" x14ac:dyDescent="0.2">
      <c r="A90" s="124">
        <v>1</v>
      </c>
      <c r="B90" s="125">
        <f t="shared" si="0"/>
        <v>60.519999999999946</v>
      </c>
      <c r="C90" s="126">
        <f t="shared" si="1"/>
        <v>3662.6703999999936</v>
      </c>
      <c r="D90" s="127">
        <f t="shared" si="2"/>
        <v>221664.81260799943</v>
      </c>
      <c r="E90" s="128">
        <f t="shared" si="3"/>
        <v>13415154.459036114</v>
      </c>
      <c r="F90" s="129">
        <f>'Pollutant Annual Calibration'!$K$27+'Pollutant Annual Calibration'!$K$28*'Chart Data Pollutant'!B90</f>
        <v>60.75878039141331</v>
      </c>
      <c r="G90" s="72">
        <f t="shared" si="4"/>
        <v>60.629553258499541</v>
      </c>
      <c r="H90" s="108">
        <f t="shared" si="10"/>
        <v>60.88800752432708</v>
      </c>
      <c r="I90" s="90"/>
      <c r="J90" s="130">
        <f>'Pollutant Annual Calibration'!$U$30+'Chart Data Pollutant'!B90*'Pollutant Annual Calibration'!$U$31+'Chart Data Pollutant'!B90^2*'Pollutant Annual Calibration'!$U$32</f>
        <v>60.759637011727179</v>
      </c>
      <c r="K90" s="75">
        <f t="shared" si="11"/>
        <v>60.421243099545457</v>
      </c>
      <c r="L90" s="110">
        <f t="shared" si="5"/>
        <v>61.098030923908901</v>
      </c>
      <c r="M90" s="91"/>
      <c r="N90" s="111">
        <f>'Pollutant Annual Calibration'!$AD$30+B90*'Pollutant Annual Calibration'!$AD$31+B90^2*'Pollutant Annual Calibration'!$AD$32+B90^3*'Pollutant Annual Calibration'!$AD$33</f>
        <v>60.741246119790688</v>
      </c>
      <c r="O90" s="131">
        <f t="shared" si="6"/>
        <v>60.45585685902909</v>
      </c>
      <c r="P90" s="112">
        <f t="shared" si="7"/>
        <v>61.026635380552285</v>
      </c>
      <c r="Q90" s="92"/>
      <c r="R90" s="132">
        <f>SUMPRODUCT(A90:E90,'Pollutant Annual Calibration'!$BI$43:$BM$43)</f>
        <v>60.79465475908146</v>
      </c>
      <c r="S90" s="81" t="e">
        <f t="shared" si="8"/>
        <v>#DIV/0!</v>
      </c>
      <c r="T90" s="114" t="e">
        <f t="shared" si="9"/>
        <v>#DIV/0!</v>
      </c>
      <c r="U90" s="81"/>
      <c r="V90" s="71">
        <f>SUMPRODUCT($A90:$B90,'Pollutant Annual Calibration'!$K$52:$L$52)</f>
        <v>1.153917167068419E-3</v>
      </c>
      <c r="W90" s="90">
        <f>SUMPRODUCT($A90:$B90,'Pollutant Annual Calibration'!$K$53:$L$53)</f>
        <v>8.1782616919054115E-6</v>
      </c>
      <c r="X90" s="74">
        <f>SUMPRODUCT($A90:$C90,'Pollutant Annual Calibration'!$U$59:$W$59)</f>
        <v>-6.5292315650771204E-2</v>
      </c>
      <c r="Y90" s="75">
        <f>SUMPRODUCT($A90:$C90,'Pollutant Annual Calibration'!$U$60:$W$60)</f>
        <v>2.410557871708463E-3</v>
      </c>
      <c r="Z90" s="75">
        <f>SUMPRODUCT($A90:$C90,'Pollutant Annual Calibration'!$U$61:$W$61)</f>
        <v>-2.0315554404002495E-5</v>
      </c>
      <c r="AA90" s="133">
        <f>SUMPRODUCT($A90:$D90,'Pollutant Annual Calibration'!$AD$59:$AG$59)</f>
        <v>3.0482853952904065E-2</v>
      </c>
      <c r="AB90" s="112">
        <f>SUMPRODUCT($A90:$D90,'Pollutant Annual Calibration'!$AD$60:$AG$60)</f>
        <v>-2.779541943338959E-3</v>
      </c>
      <c r="AC90" s="112">
        <f>SUMPRODUCT($A90:$D90,'Pollutant Annual Calibration'!$AD$61:$AG$61)</f>
        <v>7.0416805417923556E-5</v>
      </c>
      <c r="AD90" s="134">
        <f>SUMPRODUCT($A90:$D90,'Pollutant Annual Calibration'!$AD$62:$AG$62)</f>
        <v>-5.1324566484431573E-7</v>
      </c>
      <c r="AE90" s="81" t="e">
        <f>SUMPRODUCT(A90:E90,'Pollutant Annual Calibration'!$BG$59:$BK$59)</f>
        <v>#DIV/0!</v>
      </c>
      <c r="AF90" s="81" t="e">
        <f>SUMPRODUCT(A90:E90,'Pollutant Annual Calibration'!$BG$60:$BK$60)</f>
        <v>#DIV/0!</v>
      </c>
      <c r="AG90" s="81" t="e">
        <f>SUMPRODUCT(A90:E90,'Pollutant Annual Calibration'!$BG$61:$BK$61)</f>
        <v>#DIV/0!</v>
      </c>
      <c r="AH90" s="81" t="e">
        <f>SUMPRODUCT(A90:E90,'Pollutant Annual Calibration'!$BG$62:$BK$62)</f>
        <v>#DIV/0!</v>
      </c>
      <c r="AI90" s="135" t="e">
        <f>SUMPRODUCT(A90:E90,'Pollutant Annual Calibration'!$BG$63:$BK$63)</f>
        <v>#DIV/0!</v>
      </c>
    </row>
    <row r="91" spans="1:35" ht="18" customHeight="1" x14ac:dyDescent="0.2">
      <c r="A91" s="124">
        <v>1</v>
      </c>
      <c r="B91" s="125">
        <f t="shared" si="0"/>
        <v>61.279999999999944</v>
      </c>
      <c r="C91" s="126">
        <f t="shared" si="1"/>
        <v>3755.2383999999934</v>
      </c>
      <c r="D91" s="127">
        <f t="shared" si="2"/>
        <v>230121.00915199937</v>
      </c>
      <c r="E91" s="128">
        <f t="shared" si="3"/>
        <v>14101815.440834511</v>
      </c>
      <c r="F91" s="129">
        <f>'Pollutant Annual Calibration'!$K$27+'Pollutant Annual Calibration'!$K$28*'Chart Data Pollutant'!B91</f>
        <v>61.525438466799415</v>
      </c>
      <c r="G91" s="72">
        <f t="shared" si="4"/>
        <v>61.395524824416107</v>
      </c>
      <c r="H91" s="108">
        <f t="shared" si="10"/>
        <v>61.655352109182722</v>
      </c>
      <c r="I91" s="90"/>
      <c r="J91" s="130">
        <f>'Pollutant Annual Calibration'!$U$30+'Chart Data Pollutant'!B91*'Pollutant Annual Calibration'!$U$31+'Chart Data Pollutant'!B91^2*'Pollutant Annual Calibration'!$U$32</f>
        <v>61.526281734236214</v>
      </c>
      <c r="K91" s="75">
        <f t="shared" si="11"/>
        <v>61.190317077285407</v>
      </c>
      <c r="L91" s="110">
        <f t="shared" si="5"/>
        <v>61.862246391187021</v>
      </c>
      <c r="M91" s="91"/>
      <c r="N91" s="111">
        <f>'Pollutant Annual Calibration'!$AD$30+B91*'Pollutant Annual Calibration'!$AD$31+B91^2*'Pollutant Annual Calibration'!$AD$32+B91^3*'Pollutant Annual Calibration'!$AD$33</f>
        <v>61.49852714469197</v>
      </c>
      <c r="O91" s="131">
        <f t="shared" si="6"/>
        <v>61.208755271495896</v>
      </c>
      <c r="P91" s="112">
        <f t="shared" si="7"/>
        <v>61.788299017888043</v>
      </c>
      <c r="Q91" s="92"/>
      <c r="R91" s="132">
        <f>SUMPRODUCT(A91:E91,'Pollutant Annual Calibration'!$BI$43:$BM$43)</f>
        <v>61.549353793465244</v>
      </c>
      <c r="S91" s="81" t="e">
        <f t="shared" si="8"/>
        <v>#DIV/0!</v>
      </c>
      <c r="T91" s="114" t="e">
        <f t="shared" si="9"/>
        <v>#DIV/0!</v>
      </c>
      <c r="U91" s="81"/>
      <c r="V91" s="71">
        <f>SUMPRODUCT($A91:$B91,'Pollutant Annual Calibration'!$K$52:$L$52)</f>
        <v>7.5126223055040769E-4</v>
      </c>
      <c r="W91" s="90">
        <f>SUMPRODUCT($A91:$B91,'Pollutant Annual Calibration'!$K$53:$L$53)</f>
        <v>1.4934217002610193E-5</v>
      </c>
      <c r="X91" s="74">
        <f>SUMPRODUCT($A91:$C91,'Pollutant Annual Calibration'!$U$59:$W$59)</f>
        <v>-6.4851493185802189E-2</v>
      </c>
      <c r="Y91" s="75">
        <f>SUMPRODUCT($A91:$C91,'Pollutant Annual Calibration'!$U$60:$W$60)</f>
        <v>2.383306574743442E-3</v>
      </c>
      <c r="Z91" s="75">
        <f>SUMPRODUCT($A91:$C91,'Pollutant Annual Calibration'!$U$61:$W$61)</f>
        <v>-1.9998878415417032E-5</v>
      </c>
      <c r="AA91" s="133">
        <f>SUMPRODUCT($A91:$D91,'Pollutant Annual Calibration'!$AD$59:$AG$59)</f>
        <v>7.9687469576285253E-2</v>
      </c>
      <c r="AB91" s="112">
        <f>SUMPRODUCT($A91:$D91,'Pollutant Annual Calibration'!$AD$60:$AG$60)</f>
        <v>-5.4493252754839183E-3</v>
      </c>
      <c r="AC91" s="112">
        <f>SUMPRODUCT($A91:$D91,'Pollutant Annual Calibration'!$AD$61:$AG$61)</f>
        <v>1.1692973504343063E-4</v>
      </c>
      <c r="AD91" s="134">
        <f>SUMPRODUCT($A91:$D91,'Pollutant Annual Calibration'!$AD$62:$AG$62)</f>
        <v>-7.7456397462610403E-7</v>
      </c>
      <c r="AE91" s="81" t="e">
        <f>SUMPRODUCT(A91:E91,'Pollutant Annual Calibration'!$BG$59:$BK$59)</f>
        <v>#DIV/0!</v>
      </c>
      <c r="AF91" s="81" t="e">
        <f>SUMPRODUCT(A91:E91,'Pollutant Annual Calibration'!$BG$60:$BK$60)</f>
        <v>#DIV/0!</v>
      </c>
      <c r="AG91" s="81" t="e">
        <f>SUMPRODUCT(A91:E91,'Pollutant Annual Calibration'!$BG$61:$BK$61)</f>
        <v>#DIV/0!</v>
      </c>
      <c r="AH91" s="81" t="e">
        <f>SUMPRODUCT(A91:E91,'Pollutant Annual Calibration'!$BG$62:$BK$62)</f>
        <v>#DIV/0!</v>
      </c>
      <c r="AI91" s="135" t="e">
        <f>SUMPRODUCT(A91:E91,'Pollutant Annual Calibration'!$BG$63:$BK$63)</f>
        <v>#DIV/0!</v>
      </c>
    </row>
    <row r="92" spans="1:35" ht="18" customHeight="1" x14ac:dyDescent="0.2">
      <c r="A92" s="124">
        <v>1</v>
      </c>
      <c r="B92" s="125">
        <f t="shared" si="0"/>
        <v>62.039999999999942</v>
      </c>
      <c r="C92" s="126">
        <f t="shared" si="1"/>
        <v>3848.9615999999928</v>
      </c>
      <c r="D92" s="127">
        <f t="shared" si="2"/>
        <v>238789.57766399934</v>
      </c>
      <c r="E92" s="128">
        <f t="shared" si="3"/>
        <v>14814505.398274506</v>
      </c>
      <c r="F92" s="129">
        <f>'Pollutant Annual Calibration'!$K$27+'Pollutant Annual Calibration'!$K$28*'Chart Data Pollutant'!B92</f>
        <v>62.292096542185519</v>
      </c>
      <c r="G92" s="72">
        <f t="shared" si="4"/>
        <v>62.161102413812614</v>
      </c>
      <c r="H92" s="108">
        <f t="shared" si="10"/>
        <v>62.423090670558423</v>
      </c>
      <c r="I92" s="90"/>
      <c r="J92" s="130">
        <f>'Pollutant Annual Calibration'!$U$30+'Chart Data Pollutant'!B92*'Pollutant Annual Calibration'!$U$31+'Chart Data Pollutant'!B92^2*'Pollutant Annual Calibration'!$U$32</f>
        <v>62.292921041501117</v>
      </c>
      <c r="K92" s="75">
        <f t="shared" si="11"/>
        <v>61.960184666761087</v>
      </c>
      <c r="L92" s="110">
        <f t="shared" si="5"/>
        <v>62.625657416241147</v>
      </c>
      <c r="M92" s="91"/>
      <c r="N92" s="111">
        <f>'Pollutant Annual Calibration'!$AD$30+B92*'Pollutant Annual Calibration'!$AD$31+B92^2*'Pollutant Annual Calibration'!$AD$32+B92^3*'Pollutant Annual Calibration'!$AD$33</f>
        <v>62.256145502945344</v>
      </c>
      <c r="O92" s="131">
        <f t="shared" si="6"/>
        <v>61.960516011080422</v>
      </c>
      <c r="P92" s="112">
        <f t="shared" si="7"/>
        <v>62.551774994810266</v>
      </c>
      <c r="Q92" s="92"/>
      <c r="R92" s="132">
        <f>SUMPRODUCT(A92:E92,'Pollutant Annual Calibration'!$BI$43:$BM$43)</f>
        <v>62.303044115011403</v>
      </c>
      <c r="S92" s="81" t="e">
        <f t="shared" si="8"/>
        <v>#DIV/0!</v>
      </c>
      <c r="T92" s="114" t="e">
        <f t="shared" si="9"/>
        <v>#DIV/0!</v>
      </c>
      <c r="U92" s="81"/>
      <c r="V92" s="71">
        <f>SUMPRODUCT($A92:$B92,'Pollutant Annual Calibration'!$K$52:$L$52)</f>
        <v>3.4860729403240337E-4</v>
      </c>
      <c r="W92" s="90">
        <f>SUMPRODUCT($A92:$B92,'Pollutant Annual Calibration'!$K$53:$L$53)</f>
        <v>2.1690172313315083E-5</v>
      </c>
      <c r="X92" s="74">
        <f>SUMPRODUCT($A92:$C92,'Pollutant Annual Calibration'!$U$59:$W$59)</f>
        <v>-6.3986975410053049E-2</v>
      </c>
      <c r="Y92" s="75">
        <f>SUMPRODUCT($A92:$C92,'Pollutant Annual Calibration'!$U$60:$W$60)</f>
        <v>2.3408941446560472E-3</v>
      </c>
      <c r="Z92" s="75">
        <f>SUMPRODUCT($A92:$C92,'Pollutant Annual Calibration'!$U$61:$W$61)</f>
        <v>-1.9553774835493083E-5</v>
      </c>
      <c r="AA92" s="133">
        <f>SUMPRODUCT($A92:$D92,'Pollutant Annual Calibration'!$AD$59:$AG$59)</f>
        <v>0.12753083162643009</v>
      </c>
      <c r="AB92" s="112">
        <f>SUMPRODUCT($A92:$D92,'Pollutant Annual Calibration'!$AD$60:$AG$60)</f>
        <v>-8.0375425523673272E-3</v>
      </c>
      <c r="AC92" s="112">
        <f>SUMPRODUCT($A92:$D92,'Pollutant Annual Calibration'!$AD$61:$AG$61)</f>
        <v>1.6188012554018555E-4</v>
      </c>
      <c r="AD92" s="134">
        <f>SUMPRODUCT($A92:$D92,'Pollutant Annual Calibration'!$AD$62:$AG$62)</f>
        <v>-1.0263169943594726E-6</v>
      </c>
      <c r="AE92" s="81" t="e">
        <f>SUMPRODUCT(A92:E92,'Pollutant Annual Calibration'!$BG$59:$BK$59)</f>
        <v>#DIV/0!</v>
      </c>
      <c r="AF92" s="81" t="e">
        <f>SUMPRODUCT(A92:E92,'Pollutant Annual Calibration'!$BG$60:$BK$60)</f>
        <v>#DIV/0!</v>
      </c>
      <c r="AG92" s="81" t="e">
        <f>SUMPRODUCT(A92:E92,'Pollutant Annual Calibration'!$BG$61:$BK$61)</f>
        <v>#DIV/0!</v>
      </c>
      <c r="AH92" s="81" t="e">
        <f>SUMPRODUCT(A92:E92,'Pollutant Annual Calibration'!$BG$62:$BK$62)</f>
        <v>#DIV/0!</v>
      </c>
      <c r="AI92" s="135" t="e">
        <f>SUMPRODUCT(A92:E92,'Pollutant Annual Calibration'!$BG$63:$BK$63)</f>
        <v>#DIV/0!</v>
      </c>
    </row>
    <row r="93" spans="1:35" ht="18" customHeight="1" x14ac:dyDescent="0.2">
      <c r="A93" s="124">
        <v>1</v>
      </c>
      <c r="B93" s="125">
        <f t="shared" si="0"/>
        <v>62.79999999999994</v>
      </c>
      <c r="C93" s="126">
        <f t="shared" si="1"/>
        <v>3943.8399999999924</v>
      </c>
      <c r="D93" s="127">
        <f t="shared" si="2"/>
        <v>247673.15199999927</v>
      </c>
      <c r="E93" s="128">
        <f t="shared" si="3"/>
        <v>15553873.94559994</v>
      </c>
      <c r="F93" s="129">
        <f>'Pollutant Annual Calibration'!$K$27+'Pollutant Annual Calibration'!$K$28*'Chart Data Pollutant'!B93</f>
        <v>63.058754617571623</v>
      </c>
      <c r="G93" s="72">
        <f t="shared" si="4"/>
        <v>62.926295667501236</v>
      </c>
      <c r="H93" s="108">
        <f t="shared" si="10"/>
        <v>63.191213567642009</v>
      </c>
      <c r="I93" s="90"/>
      <c r="J93" s="130">
        <f>'Pollutant Annual Calibration'!$U$30+'Chart Data Pollutant'!B93*'Pollutant Annual Calibration'!$U$31+'Chart Data Pollutant'!B93^2*'Pollutant Annual Calibration'!$U$32</f>
        <v>63.059554933521895</v>
      </c>
      <c r="K93" s="75">
        <f t="shared" si="11"/>
        <v>62.730782539904098</v>
      </c>
      <c r="L93" s="110">
        <f t="shared" si="5"/>
        <v>63.388327327139692</v>
      </c>
      <c r="M93" s="91"/>
      <c r="N93" s="111">
        <f>'Pollutant Annual Calibration'!$AD$30+B93*'Pollutant Annual Calibration'!$AD$31+B93^2*'Pollutant Annual Calibration'!$AD$32+B93^3*'Pollutant Annual Calibration'!$AD$33</f>
        <v>63.014211908073293</v>
      </c>
      <c r="O93" s="131">
        <f t="shared" si="6"/>
        <v>62.711669175513116</v>
      </c>
      <c r="P93" s="112">
        <f t="shared" si="7"/>
        <v>63.316754640633469</v>
      </c>
      <c r="Q93" s="92"/>
      <c r="R93" s="132">
        <f>SUMPRODUCT(A93:E93,'Pollutant Annual Calibration'!$BI$43:$BM$43)</f>
        <v>63.055915004962493</v>
      </c>
      <c r="S93" s="81" t="e">
        <f t="shared" si="8"/>
        <v>#DIV/0!</v>
      </c>
      <c r="T93" s="114" t="e">
        <f t="shared" si="9"/>
        <v>#DIV/0!</v>
      </c>
      <c r="U93" s="81"/>
      <c r="V93" s="71">
        <f>SUMPRODUCT($A93:$B93,'Pollutant Annual Calibration'!$K$52:$L$52)</f>
        <v>-5.4047642485607894E-5</v>
      </c>
      <c r="W93" s="90">
        <f>SUMPRODUCT($A93:$B93,'Pollutant Annual Calibration'!$K$53:$L$53)</f>
        <v>2.8446127624019864E-5</v>
      </c>
      <c r="X93" s="74">
        <f>SUMPRODUCT($A93:$C93,'Pollutant Annual Calibration'!$U$59:$W$59)</f>
        <v>-6.2698762323522894E-2</v>
      </c>
      <c r="Y93" s="75">
        <f>SUMPRODUCT($A93:$C93,'Pollutant Annual Calibration'!$U$60:$W$60)</f>
        <v>2.2833205814462298E-3</v>
      </c>
      <c r="Z93" s="75">
        <f>SUMPRODUCT($A93:$C93,'Pollutant Annual Calibration'!$U$61:$W$61)</f>
        <v>-1.8980243664230324E-5</v>
      </c>
      <c r="AA93" s="133">
        <f>SUMPRODUCT($A93:$D93,'Pollutant Annual Calibration'!$AD$59:$AG$59)</f>
        <v>0.1734363717944376</v>
      </c>
      <c r="AB93" s="112">
        <f>SUMPRODUCT($A93:$D93,'Pollutant Annual Calibration'!$AD$60:$AG$60)</f>
        <v>-1.0512949276215267E-2</v>
      </c>
      <c r="AC93" s="112">
        <f>SUMPRODUCT($A93:$D93,'Pollutant Annual Calibration'!$AD$61:$AG$61)</f>
        <v>2.0472176640833062E-4</v>
      </c>
      <c r="AD93" s="134">
        <f>SUMPRODUCT($A93:$D93,'Pollutant Annual Calibration'!$AD$62:$AG$62)</f>
        <v>-1.2654149755611521E-6</v>
      </c>
      <c r="AE93" s="81" t="e">
        <f>SUMPRODUCT(A93:E93,'Pollutant Annual Calibration'!$BG$59:$BK$59)</f>
        <v>#DIV/0!</v>
      </c>
      <c r="AF93" s="81" t="e">
        <f>SUMPRODUCT(A93:E93,'Pollutant Annual Calibration'!$BG$60:$BK$60)</f>
        <v>#DIV/0!</v>
      </c>
      <c r="AG93" s="81" t="e">
        <f>SUMPRODUCT(A93:E93,'Pollutant Annual Calibration'!$BG$61:$BK$61)</f>
        <v>#DIV/0!</v>
      </c>
      <c r="AH93" s="81" t="e">
        <f>SUMPRODUCT(A93:E93,'Pollutant Annual Calibration'!$BG$62:$BK$62)</f>
        <v>#DIV/0!</v>
      </c>
      <c r="AI93" s="135" t="e">
        <f>SUMPRODUCT(A93:E93,'Pollutant Annual Calibration'!$BG$63:$BK$63)</f>
        <v>#DIV/0!</v>
      </c>
    </row>
    <row r="94" spans="1:35" ht="18" customHeight="1" x14ac:dyDescent="0.2">
      <c r="A94" s="124">
        <v>1</v>
      </c>
      <c r="B94" s="125">
        <f t="shared" si="0"/>
        <v>63.559999999999938</v>
      </c>
      <c r="C94" s="126">
        <f t="shared" si="1"/>
        <v>4039.8735999999922</v>
      </c>
      <c r="D94" s="127">
        <f t="shared" si="2"/>
        <v>256774.36601599926</v>
      </c>
      <c r="E94" s="128">
        <f t="shared" si="3"/>
        <v>16320578.703976898</v>
      </c>
      <c r="F94" s="129">
        <f>'Pollutant Annual Calibration'!$K$27+'Pollutant Annual Calibration'!$K$28*'Chart Data Pollutant'!B94</f>
        <v>63.825412692957727</v>
      </c>
      <c r="G94" s="72">
        <f t="shared" si="4"/>
        <v>63.691117161259861</v>
      </c>
      <c r="H94" s="108">
        <f t="shared" si="10"/>
        <v>63.959708224655593</v>
      </c>
      <c r="I94" s="90"/>
      <c r="J94" s="130">
        <f>'Pollutant Annual Calibration'!$U$30+'Chart Data Pollutant'!B94*'Pollutant Annual Calibration'!$U$31+'Chart Data Pollutant'!B94^2*'Pollutant Annual Calibration'!$U$32</f>
        <v>63.826183410298533</v>
      </c>
      <c r="K94" s="75">
        <f t="shared" si="11"/>
        <v>63.502024160590501</v>
      </c>
      <c r="L94" s="110">
        <f t="shared" si="5"/>
        <v>64.150342660006572</v>
      </c>
      <c r="M94" s="91"/>
      <c r="N94" s="111">
        <f>'Pollutant Annual Calibration'!$AD$30+B94*'Pollutant Annual Calibration'!$AD$31+B94^2*'Pollutant Annual Calibration'!$AD$32+B94^3*'Pollutant Annual Calibration'!$AD$33</f>
        <v>63.772837073598332</v>
      </c>
      <c r="O94" s="131">
        <f t="shared" si="6"/>
        <v>63.462792266368382</v>
      </c>
      <c r="P94" s="112">
        <f t="shared" si="7"/>
        <v>64.082881880828282</v>
      </c>
      <c r="Q94" s="92"/>
      <c r="R94" s="132">
        <f>SUMPRODUCT(A94:E94,'Pollutant Annual Calibration'!$BI$43:$BM$43)</f>
        <v>63.808180606961443</v>
      </c>
      <c r="S94" s="81" t="e">
        <f t="shared" si="8"/>
        <v>#DIV/0!</v>
      </c>
      <c r="T94" s="114" t="e">
        <f t="shared" si="9"/>
        <v>#DIV/0!</v>
      </c>
      <c r="U94" s="81"/>
      <c r="V94" s="71">
        <f>SUMPRODUCT($A94:$B94,'Pollutant Annual Calibration'!$K$52:$L$52)</f>
        <v>-4.5670257900361222E-4</v>
      </c>
      <c r="W94" s="90">
        <f>SUMPRODUCT($A94:$B94,'Pollutant Annual Calibration'!$K$53:$L$53)</f>
        <v>3.5202082934724754E-5</v>
      </c>
      <c r="X94" s="74">
        <f>SUMPRODUCT($A94:$C94,'Pollutant Annual Calibration'!$U$59:$W$59)</f>
        <v>-6.098685392621217E-2</v>
      </c>
      <c r="Y94" s="75">
        <f>SUMPRODUCT($A94:$C94,'Pollutant Annual Calibration'!$U$60:$W$60)</f>
        <v>2.2105858851140178E-3</v>
      </c>
      <c r="Z94" s="75">
        <f>SUMPRODUCT($A94:$C94,'Pollutant Annual Calibration'!$U$61:$W$61)</f>
        <v>-1.8278284901628917E-5</v>
      </c>
      <c r="AA94" s="133">
        <f>SUMPRODUCT($A94:$D94,'Pollutant Annual Calibration'!$AD$59:$AG$59)</f>
        <v>0.21682752177135711</v>
      </c>
      <c r="AB94" s="112">
        <f>SUMPRODUCT($A94:$D94,'Pollutant Annual Calibration'!$AD$60:$AG$60)</f>
        <v>-1.2844300949252929E-2</v>
      </c>
      <c r="AC94" s="112">
        <f>SUMPRODUCT($A94:$D94,'Pollutant Annual Calibration'!$AD$61:$AG$61)</f>
        <v>2.4490844714798732E-4</v>
      </c>
      <c r="AD94" s="134">
        <f>SUMPRODUCT($A94:$D94,'Pollutant Annual Calibration'!$AD$62:$AG$62)</f>
        <v>-1.4887681697476024E-6</v>
      </c>
      <c r="AE94" s="81" t="e">
        <f>SUMPRODUCT(A94:E94,'Pollutant Annual Calibration'!$BG$59:$BK$59)</f>
        <v>#DIV/0!</v>
      </c>
      <c r="AF94" s="81" t="e">
        <f>SUMPRODUCT(A94:E94,'Pollutant Annual Calibration'!$BG$60:$BK$60)</f>
        <v>#DIV/0!</v>
      </c>
      <c r="AG94" s="81" t="e">
        <f>SUMPRODUCT(A94:E94,'Pollutant Annual Calibration'!$BG$61:$BK$61)</f>
        <v>#DIV/0!</v>
      </c>
      <c r="AH94" s="81" t="e">
        <f>SUMPRODUCT(A94:E94,'Pollutant Annual Calibration'!$BG$62:$BK$62)</f>
        <v>#DIV/0!</v>
      </c>
      <c r="AI94" s="135" t="e">
        <f>SUMPRODUCT(A94:E94,'Pollutant Annual Calibration'!$BG$63:$BK$63)</f>
        <v>#DIV/0!</v>
      </c>
    </row>
    <row r="95" spans="1:35" ht="18" customHeight="1" x14ac:dyDescent="0.2">
      <c r="A95" s="124">
        <v>1</v>
      </c>
      <c r="B95" s="125">
        <f t="shared" si="0"/>
        <v>64.319999999999936</v>
      </c>
      <c r="C95" s="126">
        <f t="shared" si="1"/>
        <v>4137.0623999999916</v>
      </c>
      <c r="D95" s="127">
        <f t="shared" si="2"/>
        <v>266095.85356799921</v>
      </c>
      <c r="E95" s="128">
        <f t="shared" si="3"/>
        <v>17115285.301493689</v>
      </c>
      <c r="F95" s="129">
        <f>'Pollutant Annual Calibration'!$K$27+'Pollutant Annual Calibration'!$K$28*'Chart Data Pollutant'!B95</f>
        <v>64.592070768343817</v>
      </c>
      <c r="G95" s="72">
        <f t="shared" si="4"/>
        <v>64.455581901365704</v>
      </c>
      <c r="H95" s="108">
        <f t="shared" si="10"/>
        <v>64.728559635321929</v>
      </c>
      <c r="I95" s="90"/>
      <c r="J95" s="130">
        <f>'Pollutant Annual Calibration'!$U$30+'Chart Data Pollutant'!B95*'Pollutant Annual Calibration'!$U$31+'Chart Data Pollutant'!B95^2*'Pollutant Annual Calibration'!$U$32</f>
        <v>64.592806471831054</v>
      </c>
      <c r="K95" s="75">
        <f t="shared" si="11"/>
        <v>64.273796495878543</v>
      </c>
      <c r="L95" s="110">
        <f t="shared" si="5"/>
        <v>64.911816447783565</v>
      </c>
      <c r="M95" s="91"/>
      <c r="N95" s="111">
        <f>'Pollutant Annual Calibration'!$AD$30+B95*'Pollutant Annual Calibration'!$AD$31+B95^2*'Pollutant Annual Calibration'!$AD$32+B95^3*'Pollutant Annual Calibration'!$AD$33</f>
        <v>64.532131713042929</v>
      </c>
      <c r="O95" s="131">
        <f t="shared" si="6"/>
        <v>64.21447833456449</v>
      </c>
      <c r="P95" s="112">
        <f t="shared" si="7"/>
        <v>64.849785091521369</v>
      </c>
      <c r="Q95" s="92"/>
      <c r="R95" s="132">
        <f>SUMPRODUCT(A95:E95,'Pollutant Annual Calibration'!$BI$43:$BM$43)</f>
        <v>64.560079927051817</v>
      </c>
      <c r="S95" s="81" t="e">
        <f t="shared" si="8"/>
        <v>#DIV/0!</v>
      </c>
      <c r="T95" s="114" t="e">
        <f t="shared" si="9"/>
        <v>#DIV/0!</v>
      </c>
      <c r="U95" s="81"/>
      <c r="V95" s="71">
        <f>SUMPRODUCT($A95:$B95,'Pollutant Annual Calibration'!$K$52:$L$52)</f>
        <v>-8.5935751552161654E-4</v>
      </c>
      <c r="W95" s="90">
        <f>SUMPRODUCT($A95:$B95,'Pollutant Annual Calibration'!$K$53:$L$53)</f>
        <v>4.1958038245429536E-5</v>
      </c>
      <c r="X95" s="74">
        <f>SUMPRODUCT($A95:$C95,'Pollutant Annual Calibration'!$U$59:$W$59)</f>
        <v>-5.8851250218120876E-2</v>
      </c>
      <c r="Y95" s="75">
        <f>SUMPRODUCT($A95:$C95,'Pollutant Annual Calibration'!$U$60:$W$60)</f>
        <v>2.122690055659425E-3</v>
      </c>
      <c r="Z95" s="75">
        <f>SUMPRODUCT($A95:$C95,'Pollutant Annual Calibration'!$U$61:$W$61)</f>
        <v>-1.7447898547688916E-5</v>
      </c>
      <c r="AA95" s="133">
        <f>SUMPRODUCT($A95:$D95,'Pollutant Annual Calibration'!$AD$59:$AG$59)</f>
        <v>0.25712771324832318</v>
      </c>
      <c r="AB95" s="112">
        <f>SUMPRODUCT($A95:$D95,'Pollutant Annual Calibration'!$AD$60:$AG$60)</f>
        <v>-1.5000353073705952E-2</v>
      </c>
      <c r="AC95" s="112">
        <f>SUMPRODUCT($A95:$D95,'Pollutant Annual Calibration'!$AD$61:$AG$61)</f>
        <v>2.8189395725924243E-4</v>
      </c>
      <c r="AD95" s="134">
        <f>SUMPRODUCT($A95:$D95,'Pollutant Annual Calibration'!$AD$62:$AG$62)</f>
        <v>-1.6932868284352288E-6</v>
      </c>
      <c r="AE95" s="81" t="e">
        <f>SUMPRODUCT(A95:E95,'Pollutant Annual Calibration'!$BG$59:$BK$59)</f>
        <v>#DIV/0!</v>
      </c>
      <c r="AF95" s="81" t="e">
        <f>SUMPRODUCT(A95:E95,'Pollutant Annual Calibration'!$BG$60:$BK$60)</f>
        <v>#DIV/0!</v>
      </c>
      <c r="AG95" s="81" t="e">
        <f>SUMPRODUCT(A95:E95,'Pollutant Annual Calibration'!$BG$61:$BK$61)</f>
        <v>#DIV/0!</v>
      </c>
      <c r="AH95" s="81" t="e">
        <f>SUMPRODUCT(A95:E95,'Pollutant Annual Calibration'!$BG$62:$BK$62)</f>
        <v>#DIV/0!</v>
      </c>
      <c r="AI95" s="135" t="e">
        <f>SUMPRODUCT(A95:E95,'Pollutant Annual Calibration'!$BG$63:$BK$63)</f>
        <v>#DIV/0!</v>
      </c>
    </row>
    <row r="96" spans="1:35" ht="18" customHeight="1" x14ac:dyDescent="0.2">
      <c r="A96" s="124">
        <v>1</v>
      </c>
      <c r="B96" s="125">
        <f t="shared" si="0"/>
        <v>65.079999999999941</v>
      </c>
      <c r="C96" s="126">
        <f t="shared" si="1"/>
        <v>4235.4063999999926</v>
      </c>
      <c r="D96" s="127">
        <f t="shared" si="2"/>
        <v>275640.24851199926</v>
      </c>
      <c r="E96" s="128">
        <f t="shared" si="3"/>
        <v>17938667.373160899</v>
      </c>
      <c r="F96" s="129">
        <f>'Pollutant Annual Calibration'!$K$27+'Pollutant Annual Calibration'!$K$28*'Chart Data Pollutant'!B96</f>
        <v>65.358728843729935</v>
      </c>
      <c r="G96" s="72">
        <f t="shared" si="4"/>
        <v>65.219706772177901</v>
      </c>
      <c r="H96" s="108">
        <f t="shared" si="10"/>
        <v>65.497750915281969</v>
      </c>
      <c r="I96" s="90"/>
      <c r="J96" s="130">
        <f>'Pollutant Annual Calibration'!$U$30+'Chart Data Pollutant'!B96*'Pollutant Annual Calibration'!$U$31+'Chart Data Pollutant'!B96^2*'Pollutant Annual Calibration'!$U$32</f>
        <v>65.359424118119463</v>
      </c>
      <c r="K96" s="75">
        <f t="shared" si="11"/>
        <v>65.045955977043732</v>
      </c>
      <c r="L96" s="110">
        <f t="shared" si="5"/>
        <v>65.672892259195194</v>
      </c>
      <c r="M96" s="91"/>
      <c r="N96" s="111">
        <f>'Pollutant Annual Calibration'!$AD$30+B96*'Pollutant Annual Calibration'!$AD$31+B96^2*'Pollutant Annual Calibration'!$AD$32+B96^3*'Pollutant Annual Calibration'!$AD$33</f>
        <v>65.292206539929595</v>
      </c>
      <c r="O96" s="131">
        <f t="shared" si="6"/>
        <v>64.967311328737608</v>
      </c>
      <c r="P96" s="112">
        <f t="shared" si="7"/>
        <v>65.617101751121581</v>
      </c>
      <c r="Q96" s="92"/>
      <c r="R96" s="132">
        <f>SUMPRODUCT(A96:E96,'Pollutant Annual Calibration'!$BI$43:$BM$43)</f>
        <v>65.311876833677616</v>
      </c>
      <c r="S96" s="81" t="e">
        <f t="shared" si="8"/>
        <v>#DIV/0!</v>
      </c>
      <c r="T96" s="114" t="e">
        <f t="shared" si="9"/>
        <v>#DIV/0!</v>
      </c>
      <c r="U96" s="81"/>
      <c r="V96" s="71">
        <f>SUMPRODUCT($A96:$B96,'Pollutant Annual Calibration'!$K$52:$L$52)</f>
        <v>-1.2620124520396278E-3</v>
      </c>
      <c r="W96" s="90">
        <f>SUMPRODUCT($A96:$B96,'Pollutant Annual Calibration'!$K$53:$L$53)</f>
        <v>4.8713993556134426E-5</v>
      </c>
      <c r="X96" s="74">
        <f>SUMPRODUCT($A96:$C96,'Pollutant Annual Calibration'!$U$59:$W$59)</f>
        <v>-5.6291951199249013E-2</v>
      </c>
      <c r="Y96" s="75">
        <f>SUMPRODUCT($A96:$C96,'Pollutant Annual Calibration'!$U$60:$W$60)</f>
        <v>2.0196330930824166E-3</v>
      </c>
      <c r="Z96" s="75">
        <f>SUMPRODUCT($A96:$C96,'Pollutant Annual Calibration'!$U$61:$W$61)</f>
        <v>-1.6489084602410266E-5</v>
      </c>
      <c r="AA96" s="133">
        <f>SUMPRODUCT($A96:$D96,'Pollutant Annual Calibration'!$AD$59:$AG$59)</f>
        <v>0.29376037791640641</v>
      </c>
      <c r="AB96" s="112">
        <f>SUMPRODUCT($A96:$D96,'Pollutant Annual Calibration'!$AD$60:$AG$60)</f>
        <v>-1.6949861151805301E-2</v>
      </c>
      <c r="AC96" s="112">
        <f>SUMPRODUCT($A96:$D96,'Pollutant Annual Calibration'!$AD$61:$AG$61)</f>
        <v>3.1513208624219663E-4</v>
      </c>
      <c r="AD96" s="134">
        <f>SUMPRODUCT($A96:$D96,'Pollutant Annual Calibration'!$AD$62:$AG$62)</f>
        <v>-1.8758812031405454E-6</v>
      </c>
      <c r="AE96" s="81" t="e">
        <f>SUMPRODUCT(A96:E96,'Pollutant Annual Calibration'!$BG$59:$BK$59)</f>
        <v>#DIV/0!</v>
      </c>
      <c r="AF96" s="81" t="e">
        <f>SUMPRODUCT(A96:E96,'Pollutant Annual Calibration'!$BG$60:$BK$60)</f>
        <v>#DIV/0!</v>
      </c>
      <c r="AG96" s="81" t="e">
        <f>SUMPRODUCT(A96:E96,'Pollutant Annual Calibration'!$BG$61:$BK$61)</f>
        <v>#DIV/0!</v>
      </c>
      <c r="AH96" s="81" t="e">
        <f>SUMPRODUCT(A96:E96,'Pollutant Annual Calibration'!$BG$62:$BK$62)</f>
        <v>#DIV/0!</v>
      </c>
      <c r="AI96" s="135" t="e">
        <f>SUMPRODUCT(A96:E96,'Pollutant Annual Calibration'!$BG$63:$BK$63)</f>
        <v>#DIV/0!</v>
      </c>
    </row>
    <row r="97" spans="1:35" ht="18" customHeight="1" x14ac:dyDescent="0.2">
      <c r="A97" s="124">
        <v>1</v>
      </c>
      <c r="B97" s="125">
        <f t="shared" si="0"/>
        <v>65.839999999999947</v>
      </c>
      <c r="C97" s="126">
        <f t="shared" si="1"/>
        <v>4334.9055999999928</v>
      </c>
      <c r="D97" s="127">
        <f t="shared" si="2"/>
        <v>285410.18470399932</v>
      </c>
      <c r="E97" s="128">
        <f t="shared" si="3"/>
        <v>18791406.560911298</v>
      </c>
      <c r="F97" s="129">
        <f>'Pollutant Annual Calibration'!$K$27+'Pollutant Annual Calibration'!$K$28*'Chart Data Pollutant'!B97</f>
        <v>66.125386919116039</v>
      </c>
      <c r="G97" s="72">
        <f t="shared" si="4"/>
        <v>65.983509977568218</v>
      </c>
      <c r="H97" s="108">
        <f t="shared" si="10"/>
        <v>66.26726386066386</v>
      </c>
      <c r="I97" s="90"/>
      <c r="J97" s="130">
        <f>'Pollutant Annual Calibration'!$U$30+'Chart Data Pollutant'!B97*'Pollutant Annual Calibration'!$U$31+'Chart Data Pollutant'!B97^2*'Pollutant Annual Calibration'!$U$32</f>
        <v>66.126036349163726</v>
      </c>
      <c r="K97" s="75">
        <f t="shared" si="11"/>
        <v>65.818323849357057</v>
      </c>
      <c r="L97" s="110">
        <f t="shared" si="5"/>
        <v>66.433748848970396</v>
      </c>
      <c r="M97" s="91"/>
      <c r="N97" s="111">
        <f>'Pollutant Annual Calibration'!$AD$30+B97*'Pollutant Annual Calibration'!$AD$31+B97^2*'Pollutant Annual Calibration'!$AD$32+B97^3*'Pollutant Annual Calibration'!$AD$33</f>
        <v>66.053172267780795</v>
      </c>
      <c r="O97" s="131">
        <f t="shared" si="6"/>
        <v>65.721848348610663</v>
      </c>
      <c r="P97" s="112">
        <f t="shared" si="7"/>
        <v>66.384496186950926</v>
      </c>
      <c r="Q97" s="92"/>
      <c r="R97" s="132">
        <f>SUMPRODUCT(A97:E97,'Pollutant Annual Calibration'!$BI$43:$BM$43)</f>
        <v>66.063860057683172</v>
      </c>
      <c r="S97" s="81" t="e">
        <f t="shared" si="8"/>
        <v>#DIV/0!</v>
      </c>
      <c r="T97" s="114" t="e">
        <f t="shared" si="9"/>
        <v>#DIV/0!</v>
      </c>
      <c r="U97" s="81"/>
      <c r="V97" s="71">
        <f>SUMPRODUCT($A97:$B97,'Pollutant Annual Calibration'!$K$52:$L$52)</f>
        <v>-1.6646673885576391E-3</v>
      </c>
      <c r="W97" s="90">
        <f>SUMPRODUCT($A97:$B97,'Pollutant Annual Calibration'!$K$53:$L$53)</f>
        <v>5.5469948866839315E-5</v>
      </c>
      <c r="X97" s="74">
        <f>SUMPRODUCT($A97:$C97,'Pollutant Annual Calibration'!$U$59:$W$59)</f>
        <v>-5.3308956869596136E-2</v>
      </c>
      <c r="Y97" s="75">
        <f>SUMPRODUCT($A97:$C97,'Pollutant Annual Calibration'!$U$60:$W$60)</f>
        <v>1.9014149973830205E-3</v>
      </c>
      <c r="Z97" s="75">
        <f>SUMPRODUCT($A97:$C97,'Pollutant Annual Calibration'!$U$61:$W$61)</f>
        <v>-1.5401843065792969E-5</v>
      </c>
      <c r="AA97" s="133">
        <f>SUMPRODUCT($A97:$D97,'Pollutant Annual Calibration'!$AD$59:$AG$59)</f>
        <v>0.32614894746659928</v>
      </c>
      <c r="AB97" s="112">
        <f>SUMPRODUCT($A97:$D97,'Pollutant Annual Calibration'!$AD$60:$AG$60)</f>
        <v>-1.866158068577084E-2</v>
      </c>
      <c r="AC97" s="112">
        <f>SUMPRODUCT($A97:$D97,'Pollutant Annual Calibration'!$AD$61:$AG$61)</f>
        <v>3.4407662359692975E-4</v>
      </c>
      <c r="AD97" s="134">
        <f>SUMPRODUCT($A97:$D97,'Pollutant Annual Calibration'!$AD$62:$AG$62)</f>
        <v>-2.0334615453799576E-6</v>
      </c>
      <c r="AE97" s="81" t="e">
        <f>SUMPRODUCT(A97:E97,'Pollutant Annual Calibration'!$BG$59:$BK$59)</f>
        <v>#DIV/0!</v>
      </c>
      <c r="AF97" s="81" t="e">
        <f>SUMPRODUCT(A97:E97,'Pollutant Annual Calibration'!$BG$60:$BK$60)</f>
        <v>#DIV/0!</v>
      </c>
      <c r="AG97" s="81" t="e">
        <f>SUMPRODUCT(A97:E97,'Pollutant Annual Calibration'!$BG$61:$BK$61)</f>
        <v>#DIV/0!</v>
      </c>
      <c r="AH97" s="81" t="e">
        <f>SUMPRODUCT(A97:E97,'Pollutant Annual Calibration'!$BG$62:$BK$62)</f>
        <v>#DIV/0!</v>
      </c>
      <c r="AI97" s="135" t="e">
        <f>SUMPRODUCT(A97:E97,'Pollutant Annual Calibration'!$BG$63:$BK$63)</f>
        <v>#DIV/0!</v>
      </c>
    </row>
    <row r="98" spans="1:35" ht="18" customHeight="1" x14ac:dyDescent="0.2">
      <c r="A98" s="124">
        <v>1</v>
      </c>
      <c r="B98" s="125">
        <f t="shared" si="0"/>
        <v>66.599999999999952</v>
      </c>
      <c r="C98" s="126">
        <f t="shared" si="1"/>
        <v>4435.5599999999931</v>
      </c>
      <c r="D98" s="127">
        <f t="shared" si="2"/>
        <v>295408.29599999933</v>
      </c>
      <c r="E98" s="128">
        <f t="shared" si="3"/>
        <v>19674192.51359994</v>
      </c>
      <c r="F98" s="129">
        <f>'Pollutant Annual Calibration'!$K$27+'Pollutant Annual Calibration'!$K$28*'Chart Data Pollutant'!B98</f>
        <v>66.892044994502157</v>
      </c>
      <c r="G98" s="72">
        <f t="shared" si="4"/>
        <v>66.747010511354176</v>
      </c>
      <c r="H98" s="108">
        <f t="shared" si="10"/>
        <v>67.037079477650138</v>
      </c>
      <c r="I98" s="90"/>
      <c r="J98" s="130">
        <f>'Pollutant Annual Calibration'!$U$30+'Chart Data Pollutant'!B98*'Pollutant Annual Calibration'!$U$31+'Chart Data Pollutant'!B98^2*'Pollutant Annual Calibration'!$U$32</f>
        <v>66.892643164963872</v>
      </c>
      <c r="K98" s="75">
        <f t="shared" si="11"/>
        <v>66.590681252609826</v>
      </c>
      <c r="L98" s="110">
        <f t="shared" si="5"/>
        <v>67.194605077317917</v>
      </c>
      <c r="M98" s="91"/>
      <c r="N98" s="111">
        <f>'Pollutant Annual Calibration'!$AD$30+B98*'Pollutant Annual Calibration'!$AD$31+B98^2*'Pollutant Annual Calibration'!$AD$32+B98^3*'Pollutant Annual Calibration'!$AD$33</f>
        <v>66.815139610119019</v>
      </c>
      <c r="O98" s="131">
        <f t="shared" si="6"/>
        <v>66.478606841738909</v>
      </c>
      <c r="P98" s="112">
        <f t="shared" si="7"/>
        <v>67.151672378499129</v>
      </c>
      <c r="Q98" s="92"/>
      <c r="R98" s="132">
        <f>SUMPRODUCT(A98:E98,'Pollutant Annual Calibration'!$BI$43:$BM$43)</f>
        <v>66.816343192313596</v>
      </c>
      <c r="S98" s="81" t="e">
        <f t="shared" si="8"/>
        <v>#DIV/0!</v>
      </c>
      <c r="T98" s="114" t="e">
        <f t="shared" si="9"/>
        <v>#DIV/0!</v>
      </c>
      <c r="U98" s="81"/>
      <c r="V98" s="71">
        <f>SUMPRODUCT($A98:$B98,'Pollutant Annual Calibration'!$K$52:$L$52)</f>
        <v>-2.0673223250756503E-3</v>
      </c>
      <c r="W98" s="90">
        <f>SUMPRODUCT($A98:$B98,'Pollutant Annual Calibration'!$K$53:$L$53)</f>
        <v>6.2225904177544205E-5</v>
      </c>
      <c r="X98" s="74">
        <f>SUMPRODUCT($A98:$C98,'Pollutant Annual Calibration'!$U$59:$W$59)</f>
        <v>-4.9902267229163133E-2</v>
      </c>
      <c r="Y98" s="75">
        <f>SUMPRODUCT($A98:$C98,'Pollutant Annual Calibration'!$U$60:$W$60)</f>
        <v>1.7680357685612227E-3</v>
      </c>
      <c r="Z98" s="75">
        <f>SUMPRODUCT($A98:$C98,'Pollutant Annual Calibration'!$U$61:$W$61)</f>
        <v>-1.4186173937837023E-5</v>
      </c>
      <c r="AA98" s="133">
        <f>SUMPRODUCT($A98:$D98,'Pollutant Annual Calibration'!$AD$59:$AG$59)</f>
        <v>0.35371685359008609</v>
      </c>
      <c r="AB98" s="112">
        <f>SUMPRODUCT($A98:$D98,'Pollutant Annual Calibration'!$AD$60:$AG$60)</f>
        <v>-2.0104267177830426E-2</v>
      </c>
      <c r="AC98" s="112">
        <f>SUMPRODUCT($A98:$D98,'Pollutant Annual Calibration'!$AD$61:$AG$61)</f>
        <v>3.6818135882359798E-4</v>
      </c>
      <c r="AD98" s="134">
        <f>SUMPRODUCT($A98:$D98,'Pollutant Annual Calibration'!$AD$62:$AG$62)</f>
        <v>-2.1629381066701962E-6</v>
      </c>
      <c r="AE98" s="81" t="e">
        <f>SUMPRODUCT(A98:E98,'Pollutant Annual Calibration'!$BG$59:$BK$59)</f>
        <v>#DIV/0!</v>
      </c>
      <c r="AF98" s="81" t="e">
        <f>SUMPRODUCT(A98:E98,'Pollutant Annual Calibration'!$BG$60:$BK$60)</f>
        <v>#DIV/0!</v>
      </c>
      <c r="AG98" s="81" t="e">
        <f>SUMPRODUCT(A98:E98,'Pollutant Annual Calibration'!$BG$61:$BK$61)</f>
        <v>#DIV/0!</v>
      </c>
      <c r="AH98" s="81" t="e">
        <f>SUMPRODUCT(A98:E98,'Pollutant Annual Calibration'!$BG$62:$BK$62)</f>
        <v>#DIV/0!</v>
      </c>
      <c r="AI98" s="135" t="e">
        <f>SUMPRODUCT(A98:E98,'Pollutant Annual Calibration'!$BG$63:$BK$63)</f>
        <v>#DIV/0!</v>
      </c>
    </row>
    <row r="99" spans="1:35" ht="18" customHeight="1" x14ac:dyDescent="0.2">
      <c r="A99" s="124">
        <v>1</v>
      </c>
      <c r="B99" s="125">
        <f t="shared" si="0"/>
        <v>67.359999999999957</v>
      </c>
      <c r="C99" s="126">
        <f t="shared" si="1"/>
        <v>4537.3695999999945</v>
      </c>
      <c r="D99" s="127">
        <f t="shared" si="2"/>
        <v>305637.21625599946</v>
      </c>
      <c r="E99" s="128">
        <f t="shared" si="3"/>
        <v>20587722.887004111</v>
      </c>
      <c r="F99" s="129">
        <f>'Pollutant Annual Calibration'!$K$27+'Pollutant Annual Calibration'!$K$28*'Chart Data Pollutant'!B99</f>
        <v>67.658703069888261</v>
      </c>
      <c r="G99" s="72">
        <f t="shared" si="4"/>
        <v>67.510227682514696</v>
      </c>
      <c r="H99" s="108">
        <f t="shared" si="10"/>
        <v>67.807178457261827</v>
      </c>
      <c r="I99" s="90"/>
      <c r="J99" s="130">
        <f>'Pollutant Annual Calibration'!$U$30+'Chart Data Pollutant'!B99*'Pollutant Annual Calibration'!$U$31+'Chart Data Pollutant'!B99^2*'Pollutant Annual Calibration'!$U$32</f>
        <v>67.65924456551987</v>
      </c>
      <c r="K99" s="75">
        <f t="shared" si="11"/>
        <v>67.362764705715122</v>
      </c>
      <c r="L99" s="110">
        <f t="shared" si="5"/>
        <v>67.955724425324618</v>
      </c>
      <c r="M99" s="91"/>
      <c r="N99" s="111">
        <f>'Pollutant Annual Calibration'!$AD$30+B99*'Pollutant Annual Calibration'!$AD$31+B99^2*'Pollutant Annual Calibration'!$AD$32+B99^3*'Pollutant Annual Calibration'!$AD$33</f>
        <v>67.57821928046674</v>
      </c>
      <c r="O99" s="131">
        <f t="shared" si="6"/>
        <v>67.238054138001829</v>
      </c>
      <c r="P99" s="112">
        <f t="shared" si="7"/>
        <v>67.918384422931652</v>
      </c>
      <c r="Q99" s="92"/>
      <c r="R99" s="132">
        <f>SUMPRODUCT(A99:E99,'Pollutant Annual Calibration'!$BI$43:$BM$43)</f>
        <v>67.569664693214293</v>
      </c>
      <c r="S99" s="81" t="e">
        <f t="shared" si="8"/>
        <v>#DIV/0!</v>
      </c>
      <c r="T99" s="114" t="e">
        <f t="shared" si="9"/>
        <v>#DIV/0!</v>
      </c>
      <c r="U99" s="81"/>
      <c r="V99" s="71">
        <f>SUMPRODUCT($A99:$B99,'Pollutant Annual Calibration'!$K$52:$L$52)</f>
        <v>-2.4699772615936616E-3</v>
      </c>
      <c r="W99" s="90">
        <f>SUMPRODUCT($A99:$B99,'Pollutant Annual Calibration'!$K$53:$L$53)</f>
        <v>6.8981859488249095E-5</v>
      </c>
      <c r="X99" s="74">
        <f>SUMPRODUCT($A99:$C99,'Pollutant Annual Calibration'!$U$59:$W$59)</f>
        <v>-4.6071882277948895E-2</v>
      </c>
      <c r="Y99" s="75">
        <f>SUMPRODUCT($A99:$C99,'Pollutant Annual Calibration'!$U$60:$W$60)</f>
        <v>1.6194954066170095E-3</v>
      </c>
      <c r="Z99" s="75">
        <f>SUMPRODUCT($A99:$C99,'Pollutant Annual Calibration'!$U$61:$W$61)</f>
        <v>-1.2842077218542212E-5</v>
      </c>
      <c r="AA99" s="133">
        <f>SUMPRODUCT($A99:$D99,'Pollutant Annual Calibration'!$AD$59:$AG$59)</f>
        <v>0.37588752797790903</v>
      </c>
      <c r="AB99" s="112">
        <f>SUMPRODUCT($A99:$D99,'Pollutant Annual Calibration'!$AD$60:$AG$60)</f>
        <v>-2.1246676130211473E-2</v>
      </c>
      <c r="AC99" s="112">
        <f>SUMPRODUCT($A99:$D99,'Pollutant Annual Calibration'!$AD$61:$AG$61)</f>
        <v>3.8690008142230892E-4</v>
      </c>
      <c r="AD99" s="134">
        <f>SUMPRODUCT($A99:$D99,'Pollutant Annual Calibration'!$AD$62:$AG$62)</f>
        <v>-2.2612211385278293E-6</v>
      </c>
      <c r="AE99" s="81" t="e">
        <f>SUMPRODUCT(A99:E99,'Pollutant Annual Calibration'!$BG$59:$BK$59)</f>
        <v>#DIV/0!</v>
      </c>
      <c r="AF99" s="81" t="e">
        <f>SUMPRODUCT(A99:E99,'Pollutant Annual Calibration'!$BG$60:$BK$60)</f>
        <v>#DIV/0!</v>
      </c>
      <c r="AG99" s="81" t="e">
        <f>SUMPRODUCT(A99:E99,'Pollutant Annual Calibration'!$BG$61:$BK$61)</f>
        <v>#DIV/0!</v>
      </c>
      <c r="AH99" s="81" t="e">
        <f>SUMPRODUCT(A99:E99,'Pollutant Annual Calibration'!$BG$62:$BK$62)</f>
        <v>#DIV/0!</v>
      </c>
      <c r="AI99" s="135" t="e">
        <f>SUMPRODUCT(A99:E99,'Pollutant Annual Calibration'!$BG$63:$BK$63)</f>
        <v>#DIV/0!</v>
      </c>
    </row>
    <row r="100" spans="1:35" ht="18" customHeight="1" x14ac:dyDescent="0.2">
      <c r="A100" s="124">
        <v>1</v>
      </c>
      <c r="B100" s="125">
        <f t="shared" si="0"/>
        <v>68.119999999999962</v>
      </c>
      <c r="C100" s="126">
        <f t="shared" si="1"/>
        <v>4640.3343999999952</v>
      </c>
      <c r="D100" s="127">
        <f t="shared" si="2"/>
        <v>316099.5793279995</v>
      </c>
      <c r="E100" s="128">
        <f t="shared" si="3"/>
        <v>21532703.343823314</v>
      </c>
      <c r="F100" s="129">
        <f>'Pollutant Annual Calibration'!$K$27+'Pollutant Annual Calibration'!$K$28*'Chart Data Pollutant'!B100</f>
        <v>68.425361145274366</v>
      </c>
      <c r="G100" s="72">
        <f t="shared" si="4"/>
        <v>68.273180710907283</v>
      </c>
      <c r="H100" s="108">
        <f t="shared" si="10"/>
        <v>68.577541579641448</v>
      </c>
      <c r="I100" s="90"/>
      <c r="J100" s="130">
        <f>'Pollutant Annual Calibration'!$U$30+'Chart Data Pollutant'!B100*'Pollutant Annual Calibration'!$U$31+'Chart Data Pollutant'!B100^2*'Pollutant Annual Calibration'!$U$32</f>
        <v>68.425840550831765</v>
      </c>
      <c r="K100" s="75">
        <f t="shared" si="11"/>
        <v>68.134263144288312</v>
      </c>
      <c r="L100" s="110">
        <f t="shared" si="5"/>
        <v>68.717417957375218</v>
      </c>
      <c r="M100" s="91"/>
      <c r="N100" s="111">
        <f>'Pollutant Annual Calibration'!$AD$30+B100*'Pollutant Annual Calibration'!$AD$31+B100^2*'Pollutant Annual Calibration'!$AD$32+B100^3*'Pollutant Annual Calibration'!$AD$33</f>
        <v>68.342521992346491</v>
      </c>
      <c r="O100" s="131">
        <f t="shared" si="6"/>
        <v>68.000596568962223</v>
      </c>
      <c r="P100" s="112">
        <f t="shared" si="7"/>
        <v>68.684447415730759</v>
      </c>
      <c r="Q100" s="92"/>
      <c r="R100" s="132">
        <f>SUMPRODUCT(A100:E100,'Pollutant Annual Calibration'!$BI$43:$BM$43)</f>
        <v>68.324187878431175</v>
      </c>
      <c r="S100" s="81" t="e">
        <f t="shared" si="8"/>
        <v>#DIV/0!</v>
      </c>
      <c r="T100" s="114" t="e">
        <f t="shared" si="9"/>
        <v>#DIV/0!</v>
      </c>
      <c r="U100" s="81"/>
      <c r="V100" s="71">
        <f>SUMPRODUCT($A100:$B100,'Pollutant Annual Calibration'!$K$52:$L$52)</f>
        <v>-2.8726321981116729E-3</v>
      </c>
      <c r="W100" s="90">
        <f>SUMPRODUCT($A100:$B100,'Pollutant Annual Calibration'!$K$53:$L$53)</f>
        <v>7.5737814798953985E-5</v>
      </c>
      <c r="X100" s="74">
        <f>SUMPRODUCT($A100:$C100,'Pollutant Annual Calibration'!$U$59:$W$59)</f>
        <v>-4.1817802015954531E-2</v>
      </c>
      <c r="Y100" s="75">
        <f>SUMPRODUCT($A100:$C100,'Pollutant Annual Calibration'!$U$60:$W$60)</f>
        <v>1.4557939115504154E-3</v>
      </c>
      <c r="Z100" s="75">
        <f>SUMPRODUCT($A100:$C100,'Pollutant Annual Calibration'!$U$61:$W$61)</f>
        <v>-1.1369552907908916E-5</v>
      </c>
      <c r="AA100" s="133">
        <f>SUMPRODUCT($A100:$D100,'Pollutant Annual Calibration'!$AD$59:$AG$59)</f>
        <v>0.39208440232111741</v>
      </c>
      <c r="AB100" s="112">
        <f>SUMPRODUCT($A100:$D100,'Pollutant Annual Calibration'!$AD$60:$AG$60)</f>
        <v>-2.2057563045138284E-2</v>
      </c>
      <c r="AC100" s="112">
        <f>SUMPRODUCT($A100:$D100,'Pollutant Annual Calibration'!$AD$61:$AG$61)</f>
        <v>3.9968658089309383E-4</v>
      </c>
      <c r="AD100" s="134">
        <f>SUMPRODUCT($A100:$D100,'Pollutant Annual Calibration'!$AD$62:$AG$62)</f>
        <v>-2.3252208924689371E-6</v>
      </c>
      <c r="AE100" s="81" t="e">
        <f>SUMPRODUCT(A100:E100,'Pollutant Annual Calibration'!$BG$59:$BK$59)</f>
        <v>#DIV/0!</v>
      </c>
      <c r="AF100" s="81" t="e">
        <f>SUMPRODUCT(A100:E100,'Pollutant Annual Calibration'!$BG$60:$BK$60)</f>
        <v>#DIV/0!</v>
      </c>
      <c r="AG100" s="81" t="e">
        <f>SUMPRODUCT(A100:E100,'Pollutant Annual Calibration'!$BG$61:$BK$61)</f>
        <v>#DIV/0!</v>
      </c>
      <c r="AH100" s="81" t="e">
        <f>SUMPRODUCT(A100:E100,'Pollutant Annual Calibration'!$BG$62:$BK$62)</f>
        <v>#DIV/0!</v>
      </c>
      <c r="AI100" s="135" t="e">
        <f>SUMPRODUCT(A100:E100,'Pollutant Annual Calibration'!$BG$63:$BK$63)</f>
        <v>#DIV/0!</v>
      </c>
    </row>
    <row r="101" spans="1:35" ht="18" customHeight="1" x14ac:dyDescent="0.2">
      <c r="A101" s="124">
        <v>1</v>
      </c>
      <c r="B101" s="125">
        <f t="shared" si="0"/>
        <v>68.879999999999967</v>
      </c>
      <c r="C101" s="126">
        <f t="shared" si="1"/>
        <v>4744.4543999999951</v>
      </c>
      <c r="D101" s="127">
        <f t="shared" si="2"/>
        <v>326798.01907199953</v>
      </c>
      <c r="E101" s="128">
        <f t="shared" si="3"/>
        <v>22509847.553679314</v>
      </c>
      <c r="F101" s="129">
        <f>'Pollutant Annual Calibration'!$K$27+'Pollutant Annual Calibration'!$K$28*'Chart Data Pollutant'!B101</f>
        <v>69.192019220660484</v>
      </c>
      <c r="G101" s="72">
        <f t="shared" si="4"/>
        <v>69.035888400041145</v>
      </c>
      <c r="H101" s="108">
        <f t="shared" si="10"/>
        <v>69.348150041279823</v>
      </c>
      <c r="I101" s="90"/>
      <c r="J101" s="130">
        <f>'Pollutant Annual Calibration'!$U$30+'Chart Data Pollutant'!B101*'Pollutant Annual Calibration'!$U$31+'Chart Data Pollutant'!B101^2*'Pollutant Annual Calibration'!$U$32</f>
        <v>69.192431120899514</v>
      </c>
      <c r="K101" s="75">
        <f t="shared" si="11"/>
        <v>68.904818229597907</v>
      </c>
      <c r="L101" s="110">
        <f t="shared" si="5"/>
        <v>69.48004401220112</v>
      </c>
      <c r="M101" s="91"/>
      <c r="N101" s="111">
        <f>'Pollutant Annual Calibration'!$AD$30+B101*'Pollutant Annual Calibration'!$AD$31+B101^2*'Pollutant Annual Calibration'!$AD$32+B101^3*'Pollutant Annual Calibration'!$AD$33</f>
        <v>69.108158459280759</v>
      </c>
      <c r="O101" s="131">
        <f t="shared" si="6"/>
        <v>68.766565294683161</v>
      </c>
      <c r="P101" s="112">
        <f t="shared" si="7"/>
        <v>69.449751623878356</v>
      </c>
      <c r="Q101" s="92"/>
      <c r="R101" s="132">
        <f>SUMPRODUCT(A101:E101,'Pollutant Annual Calibration'!$BI$43:$BM$43)</f>
        <v>69.080300928410651</v>
      </c>
      <c r="S101" s="81" t="e">
        <f t="shared" si="8"/>
        <v>#DIV/0!</v>
      </c>
      <c r="T101" s="114" t="e">
        <f t="shared" si="9"/>
        <v>#DIV/0!</v>
      </c>
      <c r="U101" s="81"/>
      <c r="V101" s="71">
        <f>SUMPRODUCT($A101:$B101,'Pollutant Annual Calibration'!$K$52:$L$52)</f>
        <v>-3.2752871346296841E-3</v>
      </c>
      <c r="W101" s="90">
        <f>SUMPRODUCT($A101:$B101,'Pollutant Annual Calibration'!$K$53:$L$53)</f>
        <v>8.2493770109658875E-5</v>
      </c>
      <c r="X101" s="74">
        <f>SUMPRODUCT($A101:$C101,'Pollutant Annual Calibration'!$U$59:$W$59)</f>
        <v>-3.7140026443179153E-2</v>
      </c>
      <c r="Y101" s="75">
        <f>SUMPRODUCT($A101:$C101,'Pollutant Annual Calibration'!$U$60:$W$60)</f>
        <v>1.2769312833614335E-3</v>
      </c>
      <c r="Z101" s="75">
        <f>SUMPRODUCT($A101:$C101,'Pollutant Annual Calibration'!$U$61:$W$61)</f>
        <v>-9.7686010059371345E-6</v>
      </c>
      <c r="AA101" s="133">
        <f>SUMPRODUCT($A101:$D101,'Pollutant Annual Calibration'!$AD$59:$AG$59)</f>
        <v>0.40173090831081026</v>
      </c>
      <c r="AB101" s="112">
        <f>SUMPRODUCT($A101:$D101,'Pollutant Annual Calibration'!$AD$60:$AG$60)</f>
        <v>-2.2505683424834277E-2</v>
      </c>
      <c r="AC101" s="112">
        <f>SUMPRODUCT($A101:$D101,'Pollutant Annual Calibration'!$AD$61:$AG$61)</f>
        <v>4.0599464673610197E-4</v>
      </c>
      <c r="AD101" s="134">
        <f>SUMPRODUCT($A101:$D101,'Pollutant Annual Calibration'!$AD$62:$AG$62)</f>
        <v>-2.3518476200103046E-6</v>
      </c>
      <c r="AE101" s="81" t="e">
        <f>SUMPRODUCT(A101:E101,'Pollutant Annual Calibration'!$BG$59:$BK$59)</f>
        <v>#DIV/0!</v>
      </c>
      <c r="AF101" s="81" t="e">
        <f>SUMPRODUCT(A101:E101,'Pollutant Annual Calibration'!$BG$60:$BK$60)</f>
        <v>#DIV/0!</v>
      </c>
      <c r="AG101" s="81" t="e">
        <f>SUMPRODUCT(A101:E101,'Pollutant Annual Calibration'!$BG$61:$BK$61)</f>
        <v>#DIV/0!</v>
      </c>
      <c r="AH101" s="81" t="e">
        <f>SUMPRODUCT(A101:E101,'Pollutant Annual Calibration'!$BG$62:$BK$62)</f>
        <v>#DIV/0!</v>
      </c>
      <c r="AI101" s="135" t="e">
        <f>SUMPRODUCT(A101:E101,'Pollutant Annual Calibration'!$BG$63:$BK$63)</f>
        <v>#DIV/0!</v>
      </c>
    </row>
    <row r="102" spans="1:35" ht="18" customHeight="1" x14ac:dyDescent="0.2">
      <c r="A102" s="124">
        <v>1</v>
      </c>
      <c r="B102" s="125">
        <f t="shared" si="0"/>
        <v>69.639999999999972</v>
      </c>
      <c r="C102" s="126">
        <f t="shared" si="1"/>
        <v>4849.729599999996</v>
      </c>
      <c r="D102" s="127">
        <f t="shared" si="2"/>
        <v>337735.16934399959</v>
      </c>
      <c r="E102" s="128">
        <f t="shared" si="3"/>
        <v>23519877.193116121</v>
      </c>
      <c r="F102" s="129">
        <f>'Pollutant Annual Calibration'!$K$27+'Pollutant Annual Calibration'!$K$28*'Chart Data Pollutant'!B102</f>
        <v>69.958677296046588</v>
      </c>
      <c r="G102" s="72">
        <f t="shared" si="4"/>
        <v>69.798368886145312</v>
      </c>
      <c r="H102" s="108">
        <f t="shared" si="10"/>
        <v>70.118985705947864</v>
      </c>
      <c r="I102" s="90"/>
      <c r="J102" s="130">
        <f>'Pollutant Annual Calibration'!$U$30+'Chart Data Pollutant'!B102*'Pollutant Annual Calibration'!$U$31+'Chart Data Pollutant'!B102^2*'Pollutant Annual Calibration'!$U$32</f>
        <v>69.959016275723144</v>
      </c>
      <c r="K102" s="75">
        <f t="shared" si="11"/>
        <v>69.674030120232402</v>
      </c>
      <c r="L102" s="110">
        <f t="shared" si="5"/>
        <v>70.244002431213886</v>
      </c>
      <c r="M102" s="91"/>
      <c r="N102" s="111">
        <f>'Pollutant Annual Calibration'!$AD$30+B102*'Pollutant Annual Calibration'!$AD$31+B102^2*'Pollutant Annual Calibration'!$AD$32+B102^3*'Pollutant Annual Calibration'!$AD$33</f>
        <v>69.87523939479199</v>
      </c>
      <c r="O102" s="131">
        <f t="shared" si="6"/>
        <v>69.536195533955819</v>
      </c>
      <c r="P102" s="112">
        <f t="shared" si="7"/>
        <v>70.21428325562816</v>
      </c>
      <c r="Q102" s="92"/>
      <c r="R102" s="132">
        <f>SUMPRODUCT(A102:E102,'Pollutant Annual Calibration'!$BI$43:$BM$43)</f>
        <v>69.838416885999706</v>
      </c>
      <c r="S102" s="81" t="e">
        <f t="shared" si="8"/>
        <v>#DIV/0!</v>
      </c>
      <c r="T102" s="114" t="e">
        <f t="shared" si="9"/>
        <v>#DIV/0!</v>
      </c>
      <c r="U102" s="81"/>
      <c r="V102" s="71">
        <f>SUMPRODUCT($A102:$B102,'Pollutant Annual Calibration'!$K$52:$L$52)</f>
        <v>-3.6779420711476954E-3</v>
      </c>
      <c r="W102" s="90">
        <f>SUMPRODUCT($A102:$B102,'Pollutant Annual Calibration'!$K$53:$L$53)</f>
        <v>8.9249725420363765E-5</v>
      </c>
      <c r="X102" s="74">
        <f>SUMPRODUCT($A102:$C102,'Pollutant Annual Calibration'!$U$59:$W$59)</f>
        <v>-3.2038555559623427E-2</v>
      </c>
      <c r="Y102" s="75">
        <f>SUMPRODUCT($A102:$C102,'Pollutant Annual Calibration'!$U$60:$W$60)</f>
        <v>1.0829075220500362E-3</v>
      </c>
      <c r="Z102" s="75">
        <f>SUMPRODUCT($A102:$C102,'Pollutant Annual Calibration'!$U$61:$W$61)</f>
        <v>-8.0392215126264335E-6</v>
      </c>
      <c r="AA102" s="133">
        <f>SUMPRODUCT($A102:$D102,'Pollutant Annual Calibration'!$AD$59:$AG$59)</f>
        <v>0.40425047763810085</v>
      </c>
      <c r="AB102" s="112">
        <f>SUMPRODUCT($A102:$D102,'Pollutant Annual Calibration'!$AD$60:$AG$60)</f>
        <v>-2.2559792771532194E-2</v>
      </c>
      <c r="AC102" s="112">
        <f>SUMPRODUCT($A102:$D102,'Pollutant Annual Calibration'!$AD$61:$AG$61)</f>
        <v>4.0527806845144787E-4</v>
      </c>
      <c r="AD102" s="134">
        <f>SUMPRODUCT($A102:$D102,'Pollutant Annual Calibration'!$AD$62:$AG$62)</f>
        <v>-2.3380115726685542E-6</v>
      </c>
      <c r="AE102" s="81" t="e">
        <f>SUMPRODUCT(A102:E102,'Pollutant Annual Calibration'!$BG$59:$BK$59)</f>
        <v>#DIV/0!</v>
      </c>
      <c r="AF102" s="81" t="e">
        <f>SUMPRODUCT(A102:E102,'Pollutant Annual Calibration'!$BG$60:$BK$60)</f>
        <v>#DIV/0!</v>
      </c>
      <c r="AG102" s="81" t="e">
        <f>SUMPRODUCT(A102:E102,'Pollutant Annual Calibration'!$BG$61:$BK$61)</f>
        <v>#DIV/0!</v>
      </c>
      <c r="AH102" s="81" t="e">
        <f>SUMPRODUCT(A102:E102,'Pollutant Annual Calibration'!$BG$62:$BK$62)</f>
        <v>#DIV/0!</v>
      </c>
      <c r="AI102" s="135" t="e">
        <f>SUMPRODUCT(A102:E102,'Pollutant Annual Calibration'!$BG$63:$BK$63)</f>
        <v>#DIV/0!</v>
      </c>
    </row>
    <row r="103" spans="1:35" ht="18" customHeight="1" x14ac:dyDescent="0.2">
      <c r="A103" s="124">
        <v>1</v>
      </c>
      <c r="B103" s="125">
        <f t="shared" si="0"/>
        <v>70.399999999999977</v>
      </c>
      <c r="C103" s="126">
        <f t="shared" si="1"/>
        <v>4956.1599999999971</v>
      </c>
      <c r="D103" s="127">
        <f t="shared" si="2"/>
        <v>348913.6639999997</v>
      </c>
      <c r="E103" s="128">
        <f t="shared" si="3"/>
        <v>24563521.945599973</v>
      </c>
      <c r="F103" s="129">
        <f>'Pollutant Annual Calibration'!$K$27+'Pollutant Annual Calibration'!$K$28*'Chart Data Pollutant'!B103</f>
        <v>70.725335371432692</v>
      </c>
      <c r="G103" s="72">
        <f t="shared" si="4"/>
        <v>70.560639457647383</v>
      </c>
      <c r="H103" s="108">
        <f t="shared" si="10"/>
        <v>70.890031285218001</v>
      </c>
      <c r="I103" s="90"/>
      <c r="J103" s="130">
        <f>'Pollutant Annual Calibration'!$U$30+'Chart Data Pollutant'!B103*'Pollutant Annual Calibration'!$U$31+'Chart Data Pollutant'!B103^2*'Pollutant Annual Calibration'!$U$32</f>
        <v>70.725596015302628</v>
      </c>
      <c r="K103" s="75">
        <f t="shared" si="11"/>
        <v>70.441470881061264</v>
      </c>
      <c r="L103" s="110">
        <f t="shared" si="5"/>
        <v>71.009721149543992</v>
      </c>
      <c r="M103" s="91"/>
      <c r="N103" s="111">
        <f>'Pollutant Annual Calibration'!$AD$30+B103*'Pollutant Annual Calibration'!$AD$31+B103^2*'Pollutant Annual Calibration'!$AD$32+B103^3*'Pollutant Annual Calibration'!$AD$33</f>
        <v>70.643875512402715</v>
      </c>
      <c r="O103" s="131">
        <f t="shared" si="6"/>
        <v>70.309594970543571</v>
      </c>
      <c r="P103" s="112">
        <f t="shared" si="7"/>
        <v>70.978156054261859</v>
      </c>
      <c r="Q103" s="92"/>
      <c r="R103" s="132">
        <f>SUMPRODUCT(A103:E103,'Pollutant Annual Calibration'!$BI$43:$BM$43)</f>
        <v>70.598973656445708</v>
      </c>
      <c r="S103" s="81" t="e">
        <f t="shared" si="8"/>
        <v>#DIV/0!</v>
      </c>
      <c r="T103" s="114" t="e">
        <f t="shared" si="9"/>
        <v>#DIV/0!</v>
      </c>
      <c r="U103" s="81"/>
      <c r="V103" s="71">
        <f>SUMPRODUCT($A103:$B103,'Pollutant Annual Calibration'!$K$52:$L$52)</f>
        <v>-4.0805970076657067E-3</v>
      </c>
      <c r="W103" s="90">
        <f>SUMPRODUCT($A103:$B103,'Pollutant Annual Calibration'!$K$53:$L$53)</f>
        <v>9.6005680731068655E-5</v>
      </c>
      <c r="X103" s="74">
        <f>SUMPRODUCT($A103:$C103,'Pollutant Annual Calibration'!$U$59:$W$59)</f>
        <v>-2.651338936528691E-2</v>
      </c>
      <c r="Y103" s="75">
        <f>SUMPRODUCT($A103:$C103,'Pollutant Annual Calibration'!$U$60:$W$60)</f>
        <v>8.7372262761624409E-4</v>
      </c>
      <c r="Z103" s="75">
        <f>SUMPRODUCT($A103:$C103,'Pollutant Annual Calibration'!$U$61:$W$61)</f>
        <v>-6.1814144279771386E-6</v>
      </c>
      <c r="AA103" s="133">
        <f>SUMPRODUCT($A103:$D103,'Pollutant Annual Calibration'!$AD$59:$AG$59)</f>
        <v>0.39906654199404556</v>
      </c>
      <c r="AB103" s="112">
        <f>SUMPRODUCT($A103:$D103,'Pollutant Annual Calibration'!$AD$60:$AG$60)</f>
        <v>-2.2188646587453675E-2</v>
      </c>
      <c r="AC103" s="112">
        <f>SUMPRODUCT($A103:$D103,'Pollutant Annual Calibration'!$AD$61:$AG$61)</f>
        <v>3.969906355392322E-4</v>
      </c>
      <c r="AD103" s="134">
        <f>SUMPRODUCT($A103:$D103,'Pollutant Annual Calibration'!$AD$62:$AG$62)</f>
        <v>-2.2806230019599286E-6</v>
      </c>
      <c r="AE103" s="81" t="e">
        <f>SUMPRODUCT(A103:E103,'Pollutant Annual Calibration'!$BG$59:$BK$59)</f>
        <v>#DIV/0!</v>
      </c>
      <c r="AF103" s="81" t="e">
        <f>SUMPRODUCT(A103:E103,'Pollutant Annual Calibration'!$BG$60:$BK$60)</f>
        <v>#DIV/0!</v>
      </c>
      <c r="AG103" s="81" t="e">
        <f>SUMPRODUCT(A103:E103,'Pollutant Annual Calibration'!$BG$61:$BK$61)</f>
        <v>#DIV/0!</v>
      </c>
      <c r="AH103" s="81" t="e">
        <f>SUMPRODUCT(A103:E103,'Pollutant Annual Calibration'!$BG$62:$BK$62)</f>
        <v>#DIV/0!</v>
      </c>
      <c r="AI103" s="135" t="e">
        <f>SUMPRODUCT(A103:E103,'Pollutant Annual Calibration'!$BG$63:$BK$63)</f>
        <v>#DIV/0!</v>
      </c>
    </row>
    <row r="104" spans="1:35" ht="18" customHeight="1" x14ac:dyDescent="0.2">
      <c r="A104" s="124">
        <v>1</v>
      </c>
      <c r="B104" s="125">
        <f t="shared" si="0"/>
        <v>71.159999999999982</v>
      </c>
      <c r="C104" s="126">
        <f t="shared" si="1"/>
        <v>5063.7455999999975</v>
      </c>
      <c r="D104" s="127">
        <f t="shared" si="2"/>
        <v>360336.13689599972</v>
      </c>
      <c r="E104" s="128">
        <f t="shared" si="3"/>
        <v>25641519.501519334</v>
      </c>
      <c r="F104" s="129">
        <f>'Pollutant Annual Calibration'!$K$27+'Pollutant Annual Calibration'!$K$28*'Chart Data Pollutant'!B104</f>
        <v>71.49199344681881</v>
      </c>
      <c r="G104" s="72">
        <f t="shared" si="4"/>
        <v>71.322716436138762</v>
      </c>
      <c r="H104" s="108">
        <f t="shared" si="10"/>
        <v>71.661270457498858</v>
      </c>
      <c r="I104" s="90"/>
      <c r="J104" s="130">
        <f>'Pollutant Annual Calibration'!$U$30+'Chart Data Pollutant'!B104*'Pollutant Annual Calibration'!$U$31+'Chart Data Pollutant'!B104^2*'Pollutant Annual Calibration'!$U$32</f>
        <v>71.492170339638008</v>
      </c>
      <c r="K104" s="75">
        <f t="shared" si="11"/>
        <v>71.206706662456639</v>
      </c>
      <c r="L104" s="110">
        <f t="shared" si="5"/>
        <v>71.777634016819377</v>
      </c>
      <c r="M104" s="91"/>
      <c r="N104" s="111">
        <f>'Pollutant Annual Calibration'!$AD$30+B104*'Pollutant Annual Calibration'!$AD$31+B104^2*'Pollutant Annual Calibration'!$AD$32+B104^3*'Pollutant Annual Calibration'!$AD$33</f>
        <v>71.414177525635395</v>
      </c>
      <c r="O104" s="131">
        <f t="shared" si="6"/>
        <v>71.086695657754802</v>
      </c>
      <c r="P104" s="112">
        <f t="shared" si="7"/>
        <v>71.741659393515988</v>
      </c>
      <c r="Q104" s="92"/>
      <c r="R104" s="132">
        <f>SUMPRODUCT(A104:E104,'Pollutant Annual Calibration'!$BI$43:$BM$43)</f>
        <v>71.362434007396587</v>
      </c>
      <c r="S104" s="81" t="e">
        <f t="shared" si="8"/>
        <v>#DIV/0!</v>
      </c>
      <c r="T104" s="114" t="e">
        <f t="shared" si="9"/>
        <v>#DIV/0!</v>
      </c>
      <c r="U104" s="81"/>
      <c r="V104" s="71">
        <f>SUMPRODUCT($A104:$B104,'Pollutant Annual Calibration'!$K$52:$L$52)</f>
        <v>-4.4832519441837179E-3</v>
      </c>
      <c r="W104" s="90">
        <f>SUMPRODUCT($A104:$B104,'Pollutant Annual Calibration'!$K$53:$L$53)</f>
        <v>1.0276163604177344E-4</v>
      </c>
      <c r="X104" s="74">
        <f>SUMPRODUCT($A104:$C104,'Pollutant Annual Calibration'!$U$59:$W$59)</f>
        <v>-2.0564527860170045E-2</v>
      </c>
      <c r="Y104" s="75">
        <f>SUMPRODUCT($A104:$C104,'Pollutant Annual Calibration'!$U$60:$W$60)</f>
        <v>6.4937660006006426E-4</v>
      </c>
      <c r="Z104" s="75">
        <f>SUMPRODUCT($A104:$C104,'Pollutant Annual Calibration'!$U$61:$W$61)</f>
        <v>-4.1951797519892498E-6</v>
      </c>
      <c r="AA104" s="133">
        <f>SUMPRODUCT($A104:$D104,'Pollutant Annual Calibration'!$AD$59:$AG$59)</f>
        <v>0.38560253306968661</v>
      </c>
      <c r="AB104" s="112">
        <f>SUMPRODUCT($A104:$D104,'Pollutant Annual Calibration'!$AD$60:$AG$60)</f>
        <v>-2.1361000374824357E-2</v>
      </c>
      <c r="AC104" s="112">
        <f>SUMPRODUCT($A104:$D104,'Pollutant Annual Calibration'!$AD$61:$AG$61)</f>
        <v>3.805861374995001E-4</v>
      </c>
      <c r="AD104" s="134">
        <f>SUMPRODUCT($A104:$D104,'Pollutant Annual Calibration'!$AD$62:$AG$62)</f>
        <v>-2.1765921594008334E-6</v>
      </c>
      <c r="AE104" s="81" t="e">
        <f>SUMPRODUCT(A104:E104,'Pollutant Annual Calibration'!$BG$59:$BK$59)</f>
        <v>#DIV/0!</v>
      </c>
      <c r="AF104" s="81" t="e">
        <f>SUMPRODUCT(A104:E104,'Pollutant Annual Calibration'!$BG$60:$BK$60)</f>
        <v>#DIV/0!</v>
      </c>
      <c r="AG104" s="81" t="e">
        <f>SUMPRODUCT(A104:E104,'Pollutant Annual Calibration'!$BG$61:$BK$61)</f>
        <v>#DIV/0!</v>
      </c>
      <c r="AH104" s="81" t="e">
        <f>SUMPRODUCT(A104:E104,'Pollutant Annual Calibration'!$BG$62:$BK$62)</f>
        <v>#DIV/0!</v>
      </c>
      <c r="AI104" s="135" t="e">
        <f>SUMPRODUCT(A104:E104,'Pollutant Annual Calibration'!$BG$63:$BK$63)</f>
        <v>#DIV/0!</v>
      </c>
    </row>
    <row r="105" spans="1:35" ht="18" customHeight="1" x14ac:dyDescent="0.2">
      <c r="A105" s="124">
        <v>1</v>
      </c>
      <c r="B105" s="125">
        <f t="shared" si="0"/>
        <v>71.919999999999987</v>
      </c>
      <c r="C105" s="126">
        <f t="shared" si="1"/>
        <v>5172.486399999998</v>
      </c>
      <c r="D105" s="127">
        <f t="shared" si="2"/>
        <v>372005.2218879998</v>
      </c>
      <c r="E105" s="128">
        <f t="shared" si="3"/>
        <v>26754615.55818494</v>
      </c>
      <c r="F105" s="129">
        <f>'Pollutant Annual Calibration'!$K$27+'Pollutant Annual Calibration'!$K$28*'Chart Data Pollutant'!B105</f>
        <v>72.258651522204914</v>
      </c>
      <c r="G105" s="72">
        <f t="shared" si="4"/>
        <v>72.084615108582199</v>
      </c>
      <c r="H105" s="108">
        <f t="shared" si="10"/>
        <v>72.43268793582763</v>
      </c>
      <c r="I105" s="90"/>
      <c r="J105" s="130">
        <f>'Pollutant Annual Calibration'!$U$30+'Chart Data Pollutant'!B105*'Pollutant Annual Calibration'!$U$31+'Chart Data Pollutant'!B105^2*'Pollutant Annual Calibration'!$U$32</f>
        <v>72.258739248729242</v>
      </c>
      <c r="K105" s="75">
        <f t="shared" si="11"/>
        <v>71.969327376341496</v>
      </c>
      <c r="L105" s="110">
        <f t="shared" si="5"/>
        <v>72.548151121116987</v>
      </c>
      <c r="M105" s="91"/>
      <c r="N105" s="111">
        <f>'Pollutant Annual Calibration'!$AD$30+B105*'Pollutant Annual Calibration'!$AD$31+B105^2*'Pollutant Annual Calibration'!$AD$32+B105^3*'Pollutant Annual Calibration'!$AD$33</f>
        <v>72.186256148012532</v>
      </c>
      <c r="O105" s="131">
        <f t="shared" si="6"/>
        <v>71.867182194909233</v>
      </c>
      <c r="P105" s="112">
        <f t="shared" si="7"/>
        <v>72.505330101115831</v>
      </c>
      <c r="Q105" s="92"/>
      <c r="R105" s="132">
        <f>SUMPRODUCT(A105:E105,'Pollutant Annual Calibration'!$BI$43:$BM$43)</f>
        <v>72.129285568900585</v>
      </c>
      <c r="S105" s="81" t="e">
        <f t="shared" si="8"/>
        <v>#DIV/0!</v>
      </c>
      <c r="T105" s="114" t="e">
        <f t="shared" si="9"/>
        <v>#DIV/0!</v>
      </c>
      <c r="U105" s="81"/>
      <c r="V105" s="71">
        <f>SUMPRODUCT($A105:$B105,'Pollutant Annual Calibration'!$K$52:$L$52)</f>
        <v>-4.8859068807017292E-3</v>
      </c>
      <c r="W105" s="90">
        <f>SUMPRODUCT($A105:$B105,'Pollutant Annual Calibration'!$K$53:$L$53)</f>
        <v>1.0951759135247833E-4</v>
      </c>
      <c r="X105" s="74">
        <f>SUMPRODUCT($A105:$C105,'Pollutant Annual Calibration'!$U$59:$W$59)</f>
        <v>-1.4191971044271945E-2</v>
      </c>
      <c r="Y105" s="75">
        <f>SUMPRODUCT($A105:$C105,'Pollutant Annual Calibration'!$U$60:$W$60)</f>
        <v>4.0986943938146891E-4</v>
      </c>
      <c r="Z105" s="75">
        <f>SUMPRODUCT($A105:$C105,'Pollutant Annual Calibration'!$U$61:$W$61)</f>
        <v>-2.0805174846628754E-6</v>
      </c>
      <c r="AA105" s="133">
        <f>SUMPRODUCT($A105:$D105,'Pollutant Annual Calibration'!$AD$59:$AG$59)</f>
        <v>0.36328188255615146</v>
      </c>
      <c r="AB105" s="112">
        <f>SUMPRODUCT($A105:$D105,'Pollutant Annual Calibration'!$AD$60:$AG$60)</f>
        <v>-2.0045609635871209E-2</v>
      </c>
      <c r="AC105" s="112">
        <f>SUMPRODUCT($A105:$D105,'Pollutant Annual Calibration'!$AD$61:$AG$61)</f>
        <v>3.5551836383244939E-4</v>
      </c>
      <c r="AD105" s="134">
        <f>SUMPRODUCT($A105:$D105,'Pollutant Annual Calibration'!$AD$62:$AG$62)</f>
        <v>-2.0228292965081621E-6</v>
      </c>
      <c r="AE105" s="81" t="e">
        <f>SUMPRODUCT(A105:E105,'Pollutant Annual Calibration'!$BG$59:$BK$59)</f>
        <v>#DIV/0!</v>
      </c>
      <c r="AF105" s="81" t="e">
        <f>SUMPRODUCT(A105:E105,'Pollutant Annual Calibration'!$BG$60:$BK$60)</f>
        <v>#DIV/0!</v>
      </c>
      <c r="AG105" s="81" t="e">
        <f>SUMPRODUCT(A105:E105,'Pollutant Annual Calibration'!$BG$61:$BK$61)</f>
        <v>#DIV/0!</v>
      </c>
      <c r="AH105" s="81" t="e">
        <f>SUMPRODUCT(A105:E105,'Pollutant Annual Calibration'!$BG$62:$BK$62)</f>
        <v>#DIV/0!</v>
      </c>
      <c r="AI105" s="135" t="e">
        <f>SUMPRODUCT(A105:E105,'Pollutant Annual Calibration'!$BG$63:$BK$63)</f>
        <v>#DIV/0!</v>
      </c>
    </row>
    <row r="106" spans="1:35" ht="18" customHeight="1" x14ac:dyDescent="0.2">
      <c r="A106" s="124">
        <v>1</v>
      </c>
      <c r="B106" s="125">
        <f t="shared" si="0"/>
        <v>72.679999999999993</v>
      </c>
      <c r="C106" s="126">
        <f t="shared" si="1"/>
        <v>5282.3823999999986</v>
      </c>
      <c r="D106" s="127">
        <f t="shared" si="2"/>
        <v>383923.55283199984</v>
      </c>
      <c r="E106" s="128">
        <f t="shared" si="3"/>
        <v>27903563.819829743</v>
      </c>
      <c r="F106" s="129">
        <f>'Pollutant Annual Calibration'!$K$27+'Pollutant Annual Calibration'!$K$28*'Chart Data Pollutant'!B106</f>
        <v>73.025309597591018</v>
      </c>
      <c r="G106" s="72">
        <f t="shared" si="4"/>
        <v>72.846349700454155</v>
      </c>
      <c r="H106" s="108">
        <f t="shared" si="10"/>
        <v>73.204269494727882</v>
      </c>
      <c r="I106" s="90"/>
      <c r="J106" s="130">
        <f>'Pollutant Annual Calibration'!$U$30+'Chart Data Pollutant'!B106*'Pollutant Annual Calibration'!$U$31+'Chart Data Pollutant'!B106^2*'Pollutant Annual Calibration'!$U$32</f>
        <v>73.025302742576358</v>
      </c>
      <c r="K106" s="75">
        <f t="shared" si="11"/>
        <v>72.728979271166182</v>
      </c>
      <c r="L106" s="110">
        <f t="shared" si="5"/>
        <v>73.321626213986534</v>
      </c>
      <c r="M106" s="91"/>
      <c r="N106" s="111">
        <f>'Pollutant Annual Calibration'!$AD$30+B106*'Pollutant Annual Calibration'!$AD$31+B106^2*'Pollutant Annual Calibration'!$AD$32+B106^3*'Pollutant Annual Calibration'!$AD$33</f>
        <v>72.960222093056615</v>
      </c>
      <c r="O106" s="131">
        <f t="shared" si="6"/>
        <v>72.650389151539613</v>
      </c>
      <c r="P106" s="112">
        <f t="shared" si="7"/>
        <v>73.270055034573616</v>
      </c>
      <c r="Q106" s="92"/>
      <c r="R106" s="132">
        <f>SUMPRODUCT(A106:E106,'Pollutant Annual Calibration'!$BI$43:$BM$43)</f>
        <v>72.90004083340682</v>
      </c>
      <c r="S106" s="81" t="e">
        <f t="shared" si="8"/>
        <v>#DIV/0!</v>
      </c>
      <c r="T106" s="114" t="e">
        <f t="shared" si="9"/>
        <v>#DIV/0!</v>
      </c>
      <c r="U106" s="81"/>
      <c r="V106" s="71">
        <f>SUMPRODUCT($A106:$B106,'Pollutant Annual Calibration'!$K$52:$L$52)</f>
        <v>-5.2885618172197404E-3</v>
      </c>
      <c r="W106" s="90">
        <f>SUMPRODUCT($A106:$B106,'Pollutant Annual Calibration'!$K$53:$L$53)</f>
        <v>1.1627354666318322E-4</v>
      </c>
      <c r="X106" s="74">
        <f>SUMPRODUCT($A106:$C106,'Pollutant Annual Calibration'!$U$59:$W$59)</f>
        <v>-7.3957189175937188E-3</v>
      </c>
      <c r="Y106" s="75">
        <f>SUMPRODUCT($A106:$C106,'Pollutant Annual Calibration'!$U$60:$W$60)</f>
        <v>1.5520114558048581E-4</v>
      </c>
      <c r="Z106" s="75">
        <f>SUMPRODUCT($A106:$C106,'Pollutant Annual Calibration'!$U$61:$W$61)</f>
        <v>1.6257237400241816E-7</v>
      </c>
      <c r="AA106" s="133">
        <f>SUMPRODUCT($A106:$D106,'Pollutant Annual Calibration'!$AD$59:$AG$59)</f>
        <v>0.3315280221444965</v>
      </c>
      <c r="AB106" s="112">
        <f>SUMPRODUCT($A106:$D106,'Pollutant Annual Calibration'!$AD$60:$AG$60)</f>
        <v>-1.8211229872820311E-2</v>
      </c>
      <c r="AC106" s="112">
        <f>SUMPRODUCT($A106:$D106,'Pollutant Annual Calibration'!$AD$61:$AG$61)</f>
        <v>3.2124110403811135E-4</v>
      </c>
      <c r="AD106" s="134">
        <f>SUMPRODUCT($A106:$D106,'Pollutant Annual Calibration'!$AD$62:$AG$62)</f>
        <v>-1.8162446647982658E-6</v>
      </c>
      <c r="AE106" s="81" t="e">
        <f>SUMPRODUCT(A106:E106,'Pollutant Annual Calibration'!$BG$59:$BK$59)</f>
        <v>#DIV/0!</v>
      </c>
      <c r="AF106" s="81" t="e">
        <f>SUMPRODUCT(A106:E106,'Pollutant Annual Calibration'!$BG$60:$BK$60)</f>
        <v>#DIV/0!</v>
      </c>
      <c r="AG106" s="81" t="e">
        <f>SUMPRODUCT(A106:E106,'Pollutant Annual Calibration'!$BG$61:$BK$61)</f>
        <v>#DIV/0!</v>
      </c>
      <c r="AH106" s="81" t="e">
        <f>SUMPRODUCT(A106:E106,'Pollutant Annual Calibration'!$BG$62:$BK$62)</f>
        <v>#DIV/0!</v>
      </c>
      <c r="AI106" s="135" t="e">
        <f>SUMPRODUCT(A106:E106,'Pollutant Annual Calibration'!$BG$63:$BK$63)</f>
        <v>#DIV/0!</v>
      </c>
    </row>
    <row r="107" spans="1:35" ht="18" customHeight="1" x14ac:dyDescent="0.2">
      <c r="A107" s="124">
        <v>1</v>
      </c>
      <c r="B107" s="125">
        <f t="shared" si="0"/>
        <v>73.44</v>
      </c>
      <c r="C107" s="126">
        <f t="shared" si="1"/>
        <v>5393.4335999999994</v>
      </c>
      <c r="D107" s="127">
        <f t="shared" si="2"/>
        <v>396093.76358399994</v>
      </c>
      <c r="E107" s="128">
        <f t="shared" si="3"/>
        <v>29089125.997608952</v>
      </c>
      <c r="F107" s="129">
        <f>'Pollutant Annual Calibration'!$K$27+'Pollutant Annual Calibration'!$K$28*'Chart Data Pollutant'!B107</f>
        <v>73.791967672977137</v>
      </c>
      <c r="G107" s="72">
        <f t="shared" si="4"/>
        <v>73.607933380263759</v>
      </c>
      <c r="H107" s="108">
        <f t="shared" si="10"/>
        <v>73.976001965690514</v>
      </c>
      <c r="I107" s="90"/>
      <c r="J107" s="130">
        <f>'Pollutant Annual Calibration'!$U$30+'Chart Data Pollutant'!B107*'Pollutant Annual Calibration'!$U$31+'Chart Data Pollutant'!B107^2*'Pollutant Annual Calibration'!$U$32</f>
        <v>73.791860821179327</v>
      </c>
      <c r="K107" s="75">
        <f t="shared" si="11"/>
        <v>73.48539314109702</v>
      </c>
      <c r="L107" s="110">
        <f t="shared" si="5"/>
        <v>74.098328501261634</v>
      </c>
      <c r="M107" s="91"/>
      <c r="N107" s="111">
        <f>'Pollutant Annual Calibration'!$AD$30+B107*'Pollutant Annual Calibration'!$AD$31+B107^2*'Pollutant Annual Calibration'!$AD$32+B107^3*'Pollutant Annual Calibration'!$AD$33</f>
        <v>73.736186074290117</v>
      </c>
      <c r="O107" s="131">
        <f t="shared" si="6"/>
        <v>73.435168171343207</v>
      </c>
      <c r="P107" s="112">
        <f t="shared" si="7"/>
        <v>74.037203977237027</v>
      </c>
      <c r="Q107" s="92"/>
      <c r="R107" s="132">
        <f>SUMPRODUCT(A107:E107,'Pollutant Annual Calibration'!$BI$43:$BM$43)</f>
        <v>73.675237155764435</v>
      </c>
      <c r="S107" s="81" t="e">
        <f t="shared" si="8"/>
        <v>#DIV/0!</v>
      </c>
      <c r="T107" s="114" t="e">
        <f t="shared" si="9"/>
        <v>#DIV/0!</v>
      </c>
      <c r="U107" s="81"/>
      <c r="V107" s="71">
        <f>SUMPRODUCT($A107:$B107,'Pollutant Annual Calibration'!$K$52:$L$52)</f>
        <v>-5.6912167537377517E-3</v>
      </c>
      <c r="W107" s="90">
        <f>SUMPRODUCT($A107:$B107,'Pollutant Annual Calibration'!$K$53:$L$53)</f>
        <v>1.2302950197388811E-4</v>
      </c>
      <c r="X107" s="74">
        <f>SUMPRODUCT($A107:$C107,'Pollutant Annual Calibration'!$U$59:$W$59)</f>
        <v>-1.7577148013470101E-4</v>
      </c>
      <c r="Y107" s="75">
        <f>SUMPRODUCT($A107:$C107,'Pollutant Annual Calibration'!$U$60:$W$60)</f>
        <v>-1.1462828134287117E-4</v>
      </c>
      <c r="Z107" s="75">
        <f>SUMPRODUCT($A107:$C107,'Pollutant Annual Calibration'!$U$61:$W$61)</f>
        <v>2.5340898240061973E-6</v>
      </c>
      <c r="AA107" s="133">
        <f>SUMPRODUCT($A107:$D107,'Pollutant Annual Calibration'!$AD$59:$AG$59)</f>
        <v>0.289764383525835</v>
      </c>
      <c r="AB107" s="112">
        <f>SUMPRODUCT($A107:$D107,'Pollutant Annual Calibration'!$AD$60:$AG$60)</f>
        <v>-1.582661658789597E-2</v>
      </c>
      <c r="AC107" s="112">
        <f>SUMPRODUCT($A107:$D107,'Pollutant Annual Calibration'!$AD$61:$AG$61)</f>
        <v>2.7720814761662826E-4</v>
      </c>
      <c r="AD107" s="134">
        <f>SUMPRODUCT($A107:$D107,'Pollutant Annual Calibration'!$AD$62:$AG$62)</f>
        <v>-1.5537485157874958E-6</v>
      </c>
      <c r="AE107" s="81" t="e">
        <f>SUMPRODUCT(A107:E107,'Pollutant Annual Calibration'!$BG$59:$BK$59)</f>
        <v>#DIV/0!</v>
      </c>
      <c r="AF107" s="81" t="e">
        <f>SUMPRODUCT(A107:E107,'Pollutant Annual Calibration'!$BG$60:$BK$60)</f>
        <v>#DIV/0!</v>
      </c>
      <c r="AG107" s="81" t="e">
        <f>SUMPRODUCT(A107:E107,'Pollutant Annual Calibration'!$BG$61:$BK$61)</f>
        <v>#DIV/0!</v>
      </c>
      <c r="AH107" s="81" t="e">
        <f>SUMPRODUCT(A107:E107,'Pollutant Annual Calibration'!$BG$62:$BK$62)</f>
        <v>#DIV/0!</v>
      </c>
      <c r="AI107" s="135" t="e">
        <f>SUMPRODUCT(A107:E107,'Pollutant Annual Calibration'!$BG$63:$BK$63)</f>
        <v>#DIV/0!</v>
      </c>
    </row>
    <row r="108" spans="1:35" ht="18" customHeight="1" x14ac:dyDescent="0.2">
      <c r="A108" s="124">
        <v>1</v>
      </c>
      <c r="B108" s="125">
        <f t="shared" si="0"/>
        <v>74.2</v>
      </c>
      <c r="C108" s="126">
        <f t="shared" si="1"/>
        <v>5505.64</v>
      </c>
      <c r="D108" s="127">
        <f t="shared" si="2"/>
        <v>408518.48800000001</v>
      </c>
      <c r="E108" s="128">
        <f t="shared" si="3"/>
        <v>30312071.809600003</v>
      </c>
      <c r="F108" s="129">
        <f>'Pollutant Annual Calibration'!$K$27+'Pollutant Annual Calibration'!$K$28*'Chart Data Pollutant'!B108</f>
        <v>74.558625748363241</v>
      </c>
      <c r="G108" s="72">
        <f t="shared" si="4"/>
        <v>74.369378287084416</v>
      </c>
      <c r="H108" s="108">
        <f t="shared" si="10"/>
        <v>74.747873209642066</v>
      </c>
      <c r="I108" s="90"/>
      <c r="J108" s="130">
        <f>'Pollutant Annual Calibration'!$U$30+'Chart Data Pollutant'!B108*'Pollutant Annual Calibration'!$U$31+'Chart Data Pollutant'!B108^2*'Pollutant Annual Calibration'!$U$32</f>
        <v>74.558413484538193</v>
      </c>
      <c r="K108" s="75">
        <f t="shared" si="11"/>
        <v>74.238400901445956</v>
      </c>
      <c r="L108" s="110">
        <f t="shared" si="5"/>
        <v>74.878426067630429</v>
      </c>
      <c r="M108" s="91"/>
      <c r="N108" s="111">
        <f>'Pollutant Annual Calibration'!$AD$30+B108*'Pollutant Annual Calibration'!$AD$31+B108^2*'Pollutant Annual Calibration'!$AD$32+B108^3*'Pollutant Annual Calibration'!$AD$33</f>
        <v>74.514258805235556</v>
      </c>
      <c r="O108" s="131">
        <f t="shared" si="6"/>
        <v>74.219752015525785</v>
      </c>
      <c r="P108" s="112">
        <f t="shared" si="7"/>
        <v>74.808765594945328</v>
      </c>
      <c r="Q108" s="92"/>
      <c r="R108" s="132">
        <f>SUMPRODUCT(A108:E108,'Pollutant Annual Calibration'!$BI$43:$BM$43)</f>
        <v>74.455436753223438</v>
      </c>
      <c r="S108" s="81" t="e">
        <f t="shared" si="8"/>
        <v>#DIV/0!</v>
      </c>
      <c r="T108" s="114" t="e">
        <f t="shared" si="9"/>
        <v>#DIV/0!</v>
      </c>
      <c r="U108" s="81"/>
      <c r="V108" s="71">
        <f>SUMPRODUCT($A108:$B108,'Pollutant Annual Calibration'!$K$52:$L$52)</f>
        <v>-6.093871690255763E-3</v>
      </c>
      <c r="W108" s="90">
        <f>SUMPRODUCT($A108:$B108,'Pollutant Annual Calibration'!$K$53:$L$53)</f>
        <v>1.29785457284593E-4</v>
      </c>
      <c r="X108" s="74">
        <f>SUMPRODUCT($A108:$C108,'Pollutant Annual Calibration'!$U$59:$W$59)</f>
        <v>7.4678712681048864E-3</v>
      </c>
      <c r="Y108" s="75">
        <f>SUMPRODUCT($A108:$C108,'Pollutant Annual Calibration'!$U$60:$W$60)</f>
        <v>-3.9961884138864368E-4</v>
      </c>
      <c r="Z108" s="75">
        <f>SUMPRODUCT($A108:$C108,'Pollutant Annual Calibration'!$U$61:$W$61)</f>
        <v>5.0340348653487871E-6</v>
      </c>
      <c r="AA108" s="133">
        <f>SUMPRODUCT($A108:$D108,'Pollutant Annual Calibration'!$AD$59:$AG$59)</f>
        <v>0.23741439839119494</v>
      </c>
      <c r="AB108" s="112">
        <f>SUMPRODUCT($A108:$D108,'Pollutant Annual Calibration'!$AD$60:$AG$60)</f>
        <v>-1.2860525283327817E-2</v>
      </c>
      <c r="AC108" s="112">
        <f>SUMPRODUCT($A108:$D108,'Pollutant Annual Calibration'!$AD$61:$AG$61)</f>
        <v>2.2287328406808693E-4</v>
      </c>
      <c r="AD108" s="134">
        <f>SUMPRODUCT($A108:$D108,'Pollutant Annual Calibration'!$AD$62:$AG$62)</f>
        <v>-1.2322511009926914E-6</v>
      </c>
      <c r="AE108" s="81" t="e">
        <f>SUMPRODUCT(A108:E108,'Pollutant Annual Calibration'!$BG$59:$BK$59)</f>
        <v>#DIV/0!</v>
      </c>
      <c r="AF108" s="81" t="e">
        <f>SUMPRODUCT(A108:E108,'Pollutant Annual Calibration'!$BG$60:$BK$60)</f>
        <v>#DIV/0!</v>
      </c>
      <c r="AG108" s="81" t="e">
        <f>SUMPRODUCT(A108:E108,'Pollutant Annual Calibration'!$BG$61:$BK$61)</f>
        <v>#DIV/0!</v>
      </c>
      <c r="AH108" s="81" t="e">
        <f>SUMPRODUCT(A108:E108,'Pollutant Annual Calibration'!$BG$62:$BK$62)</f>
        <v>#DIV/0!</v>
      </c>
      <c r="AI108" s="135" t="e">
        <f>SUMPRODUCT(A108:E108,'Pollutant Annual Calibration'!$BG$63:$BK$63)</f>
        <v>#DIV/0!</v>
      </c>
    </row>
    <row r="109" spans="1:35" ht="18" customHeight="1" x14ac:dyDescent="0.2">
      <c r="A109" s="124">
        <v>1</v>
      </c>
      <c r="B109" s="125">
        <f t="shared" si="0"/>
        <v>74.960000000000008</v>
      </c>
      <c r="C109" s="126">
        <f t="shared" si="1"/>
        <v>5619.0016000000014</v>
      </c>
      <c r="D109" s="127">
        <f t="shared" si="2"/>
        <v>421200.35993600014</v>
      </c>
      <c r="E109" s="128">
        <f t="shared" si="3"/>
        <v>31573178.980802577</v>
      </c>
      <c r="F109" s="129">
        <f>'Pollutant Annual Calibration'!$K$27+'Pollutant Annual Calibration'!$K$28*'Chart Data Pollutant'!B109</f>
        <v>75.325283823749359</v>
      </c>
      <c r="G109" s="72">
        <f t="shared" si="4"/>
        <v>75.130695574101196</v>
      </c>
      <c r="H109" s="108">
        <f t="shared" si="10"/>
        <v>75.519872073397522</v>
      </c>
      <c r="I109" s="90"/>
      <c r="J109" s="130">
        <f>'Pollutant Annual Calibration'!$U$30+'Chart Data Pollutant'!B109*'Pollutant Annual Calibration'!$U$31+'Chart Data Pollutant'!B109^2*'Pollutant Annual Calibration'!$U$32</f>
        <v>75.324960732652897</v>
      </c>
      <c r="K109" s="75">
        <f t="shared" si="11"/>
        <v>74.987936659303031</v>
      </c>
      <c r="L109" s="110">
        <f t="shared" si="5"/>
        <v>75.661984806002764</v>
      </c>
      <c r="M109" s="91"/>
      <c r="N109" s="111">
        <f>'Pollutant Annual Calibration'!$AD$30+B109*'Pollutant Annual Calibration'!$AD$31+B109^2*'Pollutant Annual Calibration'!$AD$32+B109^3*'Pollutant Annual Calibration'!$AD$33</f>
        <v>75.294550999415392</v>
      </c>
      <c r="O109" s="131">
        <f t="shared" si="6"/>
        <v>75.001703126594521</v>
      </c>
      <c r="P109" s="112">
        <f t="shared" si="7"/>
        <v>75.587398872236264</v>
      </c>
      <c r="Q109" s="92"/>
      <c r="R109" s="132">
        <f>SUMPRODUCT(A109:E109,'Pollutant Annual Calibration'!$BI$43:$BM$43)</f>
        <v>75.241226705433988</v>
      </c>
      <c r="S109" s="81" t="e">
        <f t="shared" si="8"/>
        <v>#DIV/0!</v>
      </c>
      <c r="T109" s="114" t="e">
        <f t="shared" si="9"/>
        <v>#DIV/0!</v>
      </c>
      <c r="U109" s="81"/>
      <c r="V109" s="71">
        <f>SUMPRODUCT($A109:$B109,'Pollutant Annual Calibration'!$K$52:$L$52)</f>
        <v>-6.4965266267737742E-3</v>
      </c>
      <c r="W109" s="90">
        <f>SUMPRODUCT($A109:$B109,'Pollutant Annual Calibration'!$K$53:$L$53)</f>
        <v>1.3654141259529789E-4</v>
      </c>
      <c r="X109" s="74">
        <f>SUMPRODUCT($A109:$C109,'Pollutant Annual Calibration'!$U$59:$W$59)</f>
        <v>1.553520932712571E-2</v>
      </c>
      <c r="Y109" s="75">
        <f>SUMPRODUCT($A109:$C109,'Pollutant Annual Calibration'!$U$60:$W$60)</f>
        <v>-6.9977053455683169E-4</v>
      </c>
      <c r="Z109" s="75">
        <f>SUMPRODUCT($A109:$C109,'Pollutant Annual Calibration'!$U$61:$W$61)</f>
        <v>7.662407498029971E-6</v>
      </c>
      <c r="AA109" s="133">
        <f>SUMPRODUCT($A109:$D109,'Pollutant Annual Calibration'!$AD$59:$AG$59)</f>
        <v>0.17390149843164693</v>
      </c>
      <c r="AB109" s="112">
        <f>SUMPRODUCT($A109:$D109,'Pollutant Annual Calibration'!$AD$60:$AG$60)</f>
        <v>-9.2817114613383822E-3</v>
      </c>
      <c r="AC109" s="112">
        <f>SUMPRODUCT($A109:$D109,'Pollutant Annual Calibration'!$AD$61:$AG$61)</f>
        <v>1.5769030289261576E-4</v>
      </c>
      <c r="AD109" s="134">
        <f>SUMPRODUCT($A109:$D109,'Pollutant Annual Calibration'!$AD$62:$AG$62)</f>
        <v>-8.4866267192982431E-7</v>
      </c>
      <c r="AE109" s="81" t="e">
        <f>SUMPRODUCT(A109:E109,'Pollutant Annual Calibration'!$BG$59:$BK$59)</f>
        <v>#DIV/0!</v>
      </c>
      <c r="AF109" s="81" t="e">
        <f>SUMPRODUCT(A109:E109,'Pollutant Annual Calibration'!$BG$60:$BK$60)</f>
        <v>#DIV/0!</v>
      </c>
      <c r="AG109" s="81" t="e">
        <f>SUMPRODUCT(A109:E109,'Pollutant Annual Calibration'!$BG$61:$BK$61)</f>
        <v>#DIV/0!</v>
      </c>
      <c r="AH109" s="81" t="e">
        <f>SUMPRODUCT(A109:E109,'Pollutant Annual Calibration'!$BG$62:$BK$62)</f>
        <v>#DIV/0!</v>
      </c>
      <c r="AI109" s="135" t="e">
        <f>SUMPRODUCT(A109:E109,'Pollutant Annual Calibration'!$BG$63:$BK$63)</f>
        <v>#DIV/0!</v>
      </c>
    </row>
    <row r="110" spans="1:35" ht="18" customHeight="1" x14ac:dyDescent="0.2">
      <c r="A110" s="124">
        <v>1</v>
      </c>
      <c r="B110" s="125">
        <f t="shared" si="0"/>
        <v>75.720000000000013</v>
      </c>
      <c r="C110" s="126">
        <f t="shared" si="1"/>
        <v>5733.5184000000017</v>
      </c>
      <c r="D110" s="127">
        <f t="shared" si="2"/>
        <v>434142.01324800024</v>
      </c>
      <c r="E110" s="128">
        <f t="shared" si="3"/>
        <v>32873233.243138582</v>
      </c>
      <c r="F110" s="129">
        <f>'Pollutant Annual Calibration'!$K$27+'Pollutant Annual Calibration'!$K$28*'Chart Data Pollutant'!B110</f>
        <v>76.091941899135463</v>
      </c>
      <c r="G110" s="72">
        <f t="shared" si="4"/>
        <v>75.891895462535132</v>
      </c>
      <c r="H110" s="108">
        <f t="shared" si="10"/>
        <v>76.291988335735795</v>
      </c>
      <c r="I110" s="90"/>
      <c r="J110" s="130">
        <f>'Pollutant Annual Calibration'!$U$30+'Chart Data Pollutant'!B110*'Pollutant Annual Calibration'!$U$31+'Chart Data Pollutant'!B110^2*'Pollutant Annual Calibration'!$U$32</f>
        <v>76.091502565523513</v>
      </c>
      <c r="K110" s="75">
        <f t="shared" si="11"/>
        <v>75.734023587960564</v>
      </c>
      <c r="L110" s="110">
        <f t="shared" si="5"/>
        <v>76.448981543086461</v>
      </c>
      <c r="M110" s="91"/>
      <c r="N110" s="111">
        <f>'Pollutant Annual Calibration'!$AD$30+B110*'Pollutant Annual Calibration'!$AD$31+B110^2*'Pollutant Annual Calibration'!$AD$32+B110^3*'Pollutant Annual Calibration'!$AD$33</f>
        <v>76.077173370352142</v>
      </c>
      <c r="O110" s="131">
        <f t="shared" si="6"/>
        <v>75.778106279939024</v>
      </c>
      <c r="P110" s="112">
        <f t="shared" si="7"/>
        <v>76.37624046076526</v>
      </c>
      <c r="Q110" s="92"/>
      <c r="R110" s="132">
        <f>SUMPRODUCT(A110:E110,'Pollutant Annual Calibration'!$BI$43:$BM$43)</f>
        <v>76.033218954447022</v>
      </c>
      <c r="S110" s="81" t="e">
        <f t="shared" si="8"/>
        <v>#DIV/0!</v>
      </c>
      <c r="T110" s="114" t="e">
        <f t="shared" si="9"/>
        <v>#DIV/0!</v>
      </c>
      <c r="U110" s="81"/>
      <c r="V110" s="71">
        <f>SUMPRODUCT($A110:$B110,'Pollutant Annual Calibration'!$K$52:$L$52)</f>
        <v>-6.8991815632917855E-3</v>
      </c>
      <c r="W110" s="90">
        <f>SUMPRODUCT($A110:$B110,'Pollutant Annual Calibration'!$K$53:$L$53)</f>
        <v>1.4329736790600278E-4</v>
      </c>
      <c r="X110" s="74">
        <f>SUMPRODUCT($A110:$C110,'Pollutant Annual Calibration'!$U$59:$W$59)</f>
        <v>2.4026242696926658E-2</v>
      </c>
      <c r="Y110" s="75">
        <f>SUMPRODUCT($A110:$C110,'Pollutant Annual Calibration'!$U$60:$W$60)</f>
        <v>-1.0150833608474075E-3</v>
      </c>
      <c r="Z110" s="75">
        <f>SUMPRODUCT($A110:$C110,'Pollutant Annual Calibration'!$U$61:$W$61)</f>
        <v>1.0419207722049749E-5</v>
      </c>
      <c r="AA110" s="133">
        <f>SUMPRODUCT($A110:$D110,'Pollutant Annual Calibration'!$AD$59:$AG$59)</f>
        <v>9.8649115338332649E-2</v>
      </c>
      <c r="AB110" s="112">
        <f>SUMPRODUCT($A110:$D110,'Pollutant Annual Calibration'!$AD$60:$AG$60)</f>
        <v>-5.0589306241546339E-3</v>
      </c>
      <c r="AC110" s="112">
        <f>SUMPRODUCT($A110:$D110,'Pollutant Annual Calibration'!$AD$61:$AG$61)</f>
        <v>8.1112993590232163E-5</v>
      </c>
      <c r="AD110" s="134">
        <f>SUMPRODUCT($A110:$D110,'Pollutant Annual Calibration'!$AD$62:$AG$62)</f>
        <v>-3.9989348011573375E-7</v>
      </c>
      <c r="AE110" s="81" t="e">
        <f>SUMPRODUCT(A110:E110,'Pollutant Annual Calibration'!$BG$59:$BK$59)</f>
        <v>#DIV/0!</v>
      </c>
      <c r="AF110" s="81" t="e">
        <f>SUMPRODUCT(A110:E110,'Pollutant Annual Calibration'!$BG$60:$BK$60)</f>
        <v>#DIV/0!</v>
      </c>
      <c r="AG110" s="81" t="e">
        <f>SUMPRODUCT(A110:E110,'Pollutant Annual Calibration'!$BG$61:$BK$61)</f>
        <v>#DIV/0!</v>
      </c>
      <c r="AH110" s="81" t="e">
        <f>SUMPRODUCT(A110:E110,'Pollutant Annual Calibration'!$BG$62:$BK$62)</f>
        <v>#DIV/0!</v>
      </c>
      <c r="AI110" s="135" t="e">
        <f>SUMPRODUCT(A110:E110,'Pollutant Annual Calibration'!$BG$63:$BK$63)</f>
        <v>#DIV/0!</v>
      </c>
    </row>
    <row r="111" spans="1:35" ht="18" customHeight="1" x14ac:dyDescent="0.2">
      <c r="A111" s="124">
        <v>1</v>
      </c>
      <c r="B111" s="125">
        <f t="shared" si="0"/>
        <v>76.480000000000018</v>
      </c>
      <c r="C111" s="126">
        <f t="shared" si="1"/>
        <v>5849.1904000000031</v>
      </c>
      <c r="D111" s="127">
        <f t="shared" si="2"/>
        <v>447346.08179200033</v>
      </c>
      <c r="E111" s="128">
        <f t="shared" si="3"/>
        <v>34213028.335452199</v>
      </c>
      <c r="F111" s="129">
        <f>'Pollutant Annual Calibration'!$K$27+'Pollutant Annual Calibration'!$K$28*'Chart Data Pollutant'!B111</f>
        <v>76.858599974521567</v>
      </c>
      <c r="G111" s="72">
        <f t="shared" si="4"/>
        <v>76.652987301549942</v>
      </c>
      <c r="H111" s="108">
        <f t="shared" si="10"/>
        <v>77.064212647493193</v>
      </c>
      <c r="I111" s="90"/>
      <c r="J111" s="130">
        <f>'Pollutant Annual Calibration'!$U$30+'Chart Data Pollutant'!B111*'Pollutant Annual Calibration'!$U$31+'Chart Data Pollutant'!B111^2*'Pollutant Annual Calibration'!$U$32</f>
        <v>76.858038983149967</v>
      </c>
      <c r="K111" s="75">
        <f t="shared" si="11"/>
        <v>76.476751984642405</v>
      </c>
      <c r="L111" s="110">
        <f t="shared" si="5"/>
        <v>77.239325981657529</v>
      </c>
      <c r="M111" s="91"/>
      <c r="N111" s="111">
        <f>'Pollutant Annual Calibration'!$AD$30+B111*'Pollutant Annual Calibration'!$AD$31+B111^2*'Pollutant Annual Calibration'!$AD$32+B111^3*'Pollutant Annual Calibration'!$AD$33</f>
        <v>76.86223663156828</v>
      </c>
      <c r="O111" s="131">
        <f t="shared" si="6"/>
        <v>76.546120349299429</v>
      </c>
      <c r="P111" s="112">
        <f t="shared" si="7"/>
        <v>77.178352913837131</v>
      </c>
      <c r="Q111" s="92"/>
      <c r="R111" s="132">
        <f>SUMPRODUCT(A111:E111,'Pollutant Annual Calibration'!$BI$43:$BM$43)</f>
        <v>76.832050304714045</v>
      </c>
      <c r="S111" s="81" t="e">
        <f t="shared" si="8"/>
        <v>#DIV/0!</v>
      </c>
      <c r="T111" s="114" t="e">
        <f t="shared" si="9"/>
        <v>#DIV/0!</v>
      </c>
      <c r="U111" s="81"/>
      <c r="V111" s="71">
        <f>SUMPRODUCT($A111:$B111,'Pollutant Annual Calibration'!$K$52:$L$52)</f>
        <v>-7.3018364998097968E-3</v>
      </c>
      <c r="W111" s="90">
        <f>SUMPRODUCT($A111:$B111,'Pollutant Annual Calibration'!$K$53:$L$53)</f>
        <v>1.5005332321670767E-4</v>
      </c>
      <c r="X111" s="74">
        <f>SUMPRODUCT($A111:$C111,'Pollutant Annual Calibration'!$U$59:$W$59)</f>
        <v>3.2940971377508177E-2</v>
      </c>
      <c r="Y111" s="75">
        <f>SUMPRODUCT($A111:$C111,'Pollutant Annual Calibration'!$U$60:$W$60)</f>
        <v>-1.3455573202603849E-3</v>
      </c>
      <c r="Z111" s="75">
        <f>SUMPRODUCT($A111:$C111,'Pollutant Annual Calibration'!$U$61:$W$61)</f>
        <v>1.3304435537408337E-5</v>
      </c>
      <c r="AA111" s="133">
        <f>SUMPRODUCT($A111:$D111,'Pollutant Annual Calibration'!$AD$59:$AG$59)</f>
        <v>1.1080680802322718E-2</v>
      </c>
      <c r="AB111" s="112">
        <f>SUMPRODUCT($A111:$D111,'Pollutant Annual Calibration'!$AD$60:$AG$60)</f>
        <v>-1.6093827400442962E-4</v>
      </c>
      <c r="AC111" s="112">
        <f>SUMPRODUCT($A111:$D111,'Pollutant Annual Calibration'!$AD$61:$AG$61)</f>
        <v>-7.4048543388105514E-6</v>
      </c>
      <c r="AD111" s="134">
        <f>SUMPRODUCT($A111:$D111,'Pollutant Annual Calibration'!$AD$62:$AG$62)</f>
        <v>1.1714622293295795E-7</v>
      </c>
      <c r="AE111" s="81" t="e">
        <f>SUMPRODUCT(A111:E111,'Pollutant Annual Calibration'!$BG$59:$BK$59)</f>
        <v>#DIV/0!</v>
      </c>
      <c r="AF111" s="81" t="e">
        <f>SUMPRODUCT(A111:E111,'Pollutant Annual Calibration'!$BG$60:$BK$60)</f>
        <v>#DIV/0!</v>
      </c>
      <c r="AG111" s="81" t="e">
        <f>SUMPRODUCT(A111:E111,'Pollutant Annual Calibration'!$BG$61:$BK$61)</f>
        <v>#DIV/0!</v>
      </c>
      <c r="AH111" s="81" t="e">
        <f>SUMPRODUCT(A111:E111,'Pollutant Annual Calibration'!$BG$62:$BK$62)</f>
        <v>#DIV/0!</v>
      </c>
      <c r="AI111" s="135" t="e">
        <f>SUMPRODUCT(A111:E111,'Pollutant Annual Calibration'!$BG$63:$BK$63)</f>
        <v>#DIV/0!</v>
      </c>
    </row>
    <row r="112" spans="1:35" ht="18" customHeight="1" x14ac:dyDescent="0.2">
      <c r="A112" s="124">
        <v>1</v>
      </c>
      <c r="B112" s="125">
        <f t="shared" si="0"/>
        <v>77.240000000000023</v>
      </c>
      <c r="C112" s="126">
        <f t="shared" si="1"/>
        <v>5966.0176000000038</v>
      </c>
      <c r="D112" s="127">
        <f t="shared" si="2"/>
        <v>460815.19942400046</v>
      </c>
      <c r="E112" s="128">
        <f t="shared" si="3"/>
        <v>35593366.003509805</v>
      </c>
      <c r="F112" s="129">
        <f>'Pollutant Annual Calibration'!$K$27+'Pollutant Annual Calibration'!$K$28*'Chart Data Pollutant'!B112</f>
        <v>77.625258049907686</v>
      </c>
      <c r="G112" s="72">
        <f t="shared" si="4"/>
        <v>77.413979630822169</v>
      </c>
      <c r="H112" s="108">
        <f t="shared" si="10"/>
        <v>77.836536468993202</v>
      </c>
      <c r="I112" s="90"/>
      <c r="J112" s="130">
        <f>'Pollutant Annual Calibration'!$U$30+'Chart Data Pollutant'!B112*'Pollutant Annual Calibration'!$U$31+'Chart Data Pollutant'!B112^2*'Pollutant Annual Calibration'!$U$32</f>
        <v>77.624569985532318</v>
      </c>
      <c r="K112" s="75">
        <f t="shared" si="11"/>
        <v>77.216255015709265</v>
      </c>
      <c r="L112" s="110">
        <f t="shared" si="5"/>
        <v>78.032884955355371</v>
      </c>
      <c r="M112" s="91"/>
      <c r="N112" s="111">
        <f>'Pollutant Annual Calibration'!$AD$30+B112*'Pollutant Annual Calibration'!$AD$31+B112^2*'Pollutant Annual Calibration'!$AD$32+B112^3*'Pollutant Annual Calibration'!$AD$33</f>
        <v>77.649851496586294</v>
      </c>
      <c r="O112" s="131">
        <f t="shared" si="6"/>
        <v>77.303700903323289</v>
      </c>
      <c r="P112" s="112">
        <f t="shared" si="7"/>
        <v>77.996002089849298</v>
      </c>
      <c r="Q112" s="92"/>
      <c r="R112" s="132">
        <f>SUMPRODUCT(A112:E112,'Pollutant Annual Calibration'!$BI$43:$BM$43)</f>
        <v>77.638382423086483</v>
      </c>
      <c r="S112" s="81" t="e">
        <f t="shared" si="8"/>
        <v>#DIV/0!</v>
      </c>
      <c r="T112" s="114" t="e">
        <f t="shared" si="9"/>
        <v>#DIV/0!</v>
      </c>
      <c r="U112" s="81"/>
      <c r="V112" s="71">
        <f>SUMPRODUCT($A112:$B112,'Pollutant Annual Calibration'!$K$52:$L$52)</f>
        <v>-7.704491436327808E-3</v>
      </c>
      <c r="W112" s="90">
        <f>SUMPRODUCT($A112:$B112,'Pollutant Annual Calibration'!$K$53:$L$53)</f>
        <v>1.5680927852741256E-4</v>
      </c>
      <c r="X112" s="74">
        <f>SUMPRODUCT($A112:$C112,'Pollutant Annual Calibration'!$U$59:$W$59)</f>
        <v>4.2279395368870709E-2</v>
      </c>
      <c r="Y112" s="75">
        <f>SUMPRODUCT($A112:$C112,'Pollutant Annual Calibration'!$U$60:$W$60)</f>
        <v>-1.6911924127957501E-3</v>
      </c>
      <c r="Z112" s="75">
        <f>SUMPRODUCT($A112:$C112,'Pollutant Annual Calibration'!$U$61:$W$61)</f>
        <v>1.6318090944105411E-5</v>
      </c>
      <c r="AA112" s="133">
        <f>SUMPRODUCT($A112:$D112,'Pollutant Annual Calibration'!$AD$59:$AG$59)</f>
        <v>-8.9380373485326459E-2</v>
      </c>
      <c r="AB112" s="112">
        <f>SUMPRODUCT($A112:$D112,'Pollutant Annual Calibration'!$AD$60:$AG$60)</f>
        <v>5.4435100868923669E-3</v>
      </c>
      <c r="AC112" s="112">
        <f>SUMPRODUCT($A112:$D112,'Pollutant Annual Calibration'!$AD$61:$AG$61)</f>
        <v>-1.0840945139455049E-4</v>
      </c>
      <c r="AD112" s="134">
        <f>SUMPRODUCT($A112:$D112,'Pollutant Annual Calibration'!$AD$62:$AG$62)</f>
        <v>7.0554618570011635E-7</v>
      </c>
      <c r="AE112" s="81" t="e">
        <f>SUMPRODUCT(A112:E112,'Pollutant Annual Calibration'!$BG$59:$BK$59)</f>
        <v>#DIV/0!</v>
      </c>
      <c r="AF112" s="81" t="e">
        <f>SUMPRODUCT(A112:E112,'Pollutant Annual Calibration'!$BG$60:$BK$60)</f>
        <v>#DIV/0!</v>
      </c>
      <c r="AG112" s="81" t="e">
        <f>SUMPRODUCT(A112:E112,'Pollutant Annual Calibration'!$BG$61:$BK$61)</f>
        <v>#DIV/0!</v>
      </c>
      <c r="AH112" s="81" t="e">
        <f>SUMPRODUCT(A112:E112,'Pollutant Annual Calibration'!$BG$62:$BK$62)</f>
        <v>#DIV/0!</v>
      </c>
      <c r="AI112" s="135" t="e">
        <f>SUMPRODUCT(A112:E112,'Pollutant Annual Calibration'!$BG$63:$BK$63)</f>
        <v>#DIV/0!</v>
      </c>
    </row>
    <row r="113" spans="1:35" ht="18" customHeight="1" x14ac:dyDescent="0.2">
      <c r="A113" s="136">
        <v>1</v>
      </c>
      <c r="B113" s="137">
        <f>B112+0.02*($A$7-$B$63)</f>
        <v>78.000000000000028</v>
      </c>
      <c r="C113" s="138">
        <f t="shared" si="1"/>
        <v>6084.0000000000045</v>
      </c>
      <c r="D113" s="139">
        <f t="shared" si="2"/>
        <v>474552.00000000052</v>
      </c>
      <c r="E113" s="140">
        <f t="shared" si="3"/>
        <v>37015056.000000052</v>
      </c>
      <c r="F113" s="141">
        <f>'Pollutant Annual Calibration'!$K$27+'Pollutant Annual Calibration'!$K$28*'Chart Data Pollutant'!B113</f>
        <v>78.39191612529379</v>
      </c>
      <c r="G113" s="142">
        <f t="shared" si="4"/>
        <v>78.174880243350955</v>
      </c>
      <c r="H113" s="143">
        <f t="shared" si="10"/>
        <v>78.608952007236624</v>
      </c>
      <c r="I113" s="144"/>
      <c r="J113" s="145">
        <f>'Pollutant Annual Calibration'!$U$30+'Chart Data Pollutant'!B113*'Pollutant Annual Calibration'!$U$31+'Chart Data Pollutant'!B113^2*'Pollutant Annual Calibration'!$U$32</f>
        <v>78.391095572670508</v>
      </c>
      <c r="K113" s="146">
        <f t="shared" si="11"/>
        <v>77.952687158239229</v>
      </c>
      <c r="L113" s="147">
        <f t="shared" si="5"/>
        <v>78.829503987101788</v>
      </c>
      <c r="M113" s="148"/>
      <c r="N113" s="149">
        <f>'Pollutant Annual Calibration'!$AD$30+B113*'Pollutant Annual Calibration'!$AD$31+B113^2*'Pollutant Annual Calibration'!$AD$32+B113^3*'Pollutant Annual Calibration'!$AD$33</f>
        <v>78.440128678928659</v>
      </c>
      <c r="O113" s="150">
        <f t="shared" si="6"/>
        <v>78.050001817512836</v>
      </c>
      <c r="P113" s="151">
        <f t="shared" si="7"/>
        <v>78.830255540344481</v>
      </c>
      <c r="Q113" s="152"/>
      <c r="R113" s="153">
        <f>SUMPRODUCT(A113:E113,'Pollutant Annual Calibration'!$BI$43:$BM$43)</f>
        <v>78.452901838816942</v>
      </c>
      <c r="S113" s="154" t="e">
        <f t="shared" si="8"/>
        <v>#DIV/0!</v>
      </c>
      <c r="T113" s="155" t="e">
        <f t="shared" si="9"/>
        <v>#DIV/0!</v>
      </c>
      <c r="U113" s="154"/>
      <c r="V113" s="156">
        <f>SUMPRODUCT($A113:$B113,'Pollutant Annual Calibration'!$K$52:$L$52)</f>
        <v>-8.1071463728458193E-3</v>
      </c>
      <c r="W113" s="144">
        <f>SUMPRODUCT($A113:$B113,'Pollutant Annual Calibration'!$K$53:$L$53)</f>
        <v>1.6356523383811745E-4</v>
      </c>
      <c r="X113" s="157">
        <f>SUMPRODUCT($A113:$C113,'Pollutant Annual Calibration'!$U$59:$W$59)</f>
        <v>5.2041514671013811E-2</v>
      </c>
      <c r="Y113" s="146">
        <f>SUMPRODUCT($A113:$C113,'Pollutant Annual Calibration'!$U$60:$W$60)</f>
        <v>-2.0519886384535307E-3</v>
      </c>
      <c r="Z113" s="146">
        <f>SUMPRODUCT($A113:$C113,'Pollutant Annual Calibration'!$U$61:$W$61)</f>
        <v>1.9460173942141188E-5</v>
      </c>
      <c r="AA113" s="158">
        <f>SUMPRODUCT($A113:$D113,'Pollutant Annual Calibration'!$AD$59:$AG$59)</f>
        <v>-0.20331061583354426</v>
      </c>
      <c r="AB113" s="151">
        <f>SUMPRODUCT($A113:$D113,'Pollutant Annual Calibration'!$AD$60:$AG$60)</f>
        <v>1.1785658956302569E-2</v>
      </c>
      <c r="AC113" s="151">
        <f>SUMPRODUCT($A113:$D113,'Pollutant Annual Calibration'!$AD$61:$AG$61)</f>
        <v>-2.2244700807680373E-4</v>
      </c>
      <c r="AD113" s="159">
        <f>SUMPRODUCT($A113:$D113,'Pollutant Annual Calibration'!$AD$62:$AG$62)</f>
        <v>1.3683961566690649E-6</v>
      </c>
      <c r="AE113" s="154" t="e">
        <f>SUMPRODUCT(A113:E113,'Pollutant Annual Calibration'!$BG$59:$BK$59)</f>
        <v>#DIV/0!</v>
      </c>
      <c r="AF113" s="154" t="e">
        <f>SUMPRODUCT(A113:E113,'Pollutant Annual Calibration'!$BG$60:$BK$60)</f>
        <v>#DIV/0!</v>
      </c>
      <c r="AG113" s="154" t="e">
        <f>SUMPRODUCT(A113:E113,'Pollutant Annual Calibration'!$BG$61:$BK$61)</f>
        <v>#DIV/0!</v>
      </c>
      <c r="AH113" s="154" t="e">
        <f>SUMPRODUCT(A113:E113,'Pollutant Annual Calibration'!$BG$62:$BK$62)</f>
        <v>#DIV/0!</v>
      </c>
      <c r="AI113" s="160" t="e">
        <f>SUMPRODUCT(A113:E113,'Pollutant Annual Calibration'!$BG$63:$BK$63)</f>
        <v>#DIV/0!</v>
      </c>
    </row>
  </sheetData>
  <sheetProtection sheet="1" objects="1" scenarios="1"/>
  <phoneticPr fontId="35" type="noConversion"/>
  <pageMargins left="0.75" right="0.75" top="0.17" bottom="0.23" header="0.17" footer="0.18"/>
  <pageSetup scale="27" orientation="landscape"/>
  <headerFooter alignWithMargins="0">
    <oddFooter>&amp;L&amp;F&amp;CPage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3"/>
  <sheetViews>
    <sheetView showGridLines="0" zoomScale="80" workbookViewId="0">
      <selection activeCell="D84" sqref="D84"/>
    </sheetView>
  </sheetViews>
  <sheetFormatPr defaultColWidth="7.875" defaultRowHeight="18" customHeight="1" x14ac:dyDescent="0.2"/>
  <cols>
    <col min="1" max="3" width="7.875" style="1"/>
    <col min="4" max="4" width="11.375" style="1" customWidth="1"/>
    <col min="5" max="15" width="7.875" style="1"/>
    <col min="16" max="16" width="11.375" style="1" customWidth="1"/>
    <col min="17" max="21" width="11.875" style="1" customWidth="1"/>
    <col min="22" max="26" width="7.875" style="1"/>
    <col min="27" max="31" width="14.375" style="1" customWidth="1"/>
    <col min="32" max="32" width="14.875" style="1" customWidth="1"/>
    <col min="33" max="33" width="14.375" style="1" customWidth="1"/>
    <col min="34" max="34" width="14.875" style="1" customWidth="1"/>
    <col min="35" max="35" width="11.875" style="1" customWidth="1"/>
    <col min="36" max="16384" width="7.875" style="1"/>
  </cols>
  <sheetData>
    <row r="1" spans="1:21" ht="18" customHeight="1" x14ac:dyDescent="0.2">
      <c r="A1" s="18"/>
      <c r="B1" s="9" t="s">
        <v>129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1" ht="18" customHeight="1" x14ac:dyDescent="0.2">
      <c r="A2" s="18"/>
      <c r="B2" s="9" t="s">
        <v>130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21" ht="18" customHeight="1" thickBot="1" x14ac:dyDescent="0.25">
      <c r="A3" s="18"/>
      <c r="B3" s="9" t="s">
        <v>131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1" ht="18" customHeight="1" thickTop="1" thickBot="1" x14ac:dyDescent="0.25">
      <c r="A4" s="18"/>
      <c r="B4" s="1" t="s">
        <v>132</v>
      </c>
      <c r="C4" s="18"/>
      <c r="D4" s="18"/>
      <c r="E4" s="18"/>
      <c r="F4" s="18"/>
      <c r="G4" s="18"/>
      <c r="H4" s="19">
        <v>0.95</v>
      </c>
      <c r="I4" s="20" t="s">
        <v>133</v>
      </c>
      <c r="J4" s="18"/>
      <c r="K4" s="18"/>
      <c r="L4" s="18"/>
      <c r="M4" s="18"/>
      <c r="N4" s="18"/>
    </row>
    <row r="5" spans="1:21" ht="18" customHeight="1" thickTop="1" x14ac:dyDescent="0.2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21" ht="18" customHeight="1" x14ac:dyDescent="0.2">
      <c r="A6" s="21">
        <f>MIN('Zero Gas Annual Calibration'!C12:C61)</f>
        <v>4000</v>
      </c>
      <c r="B6" s="9" t="s">
        <v>134</v>
      </c>
      <c r="C6" s="18"/>
      <c r="D6" s="18"/>
      <c r="E6" s="18"/>
      <c r="F6" s="18"/>
      <c r="G6" s="18"/>
      <c r="H6" s="22">
        <f>TINV(1-$H$4,df_new)</f>
        <v>3.1824463052837078</v>
      </c>
      <c r="I6" s="23" t="s">
        <v>135</v>
      </c>
      <c r="J6" s="24"/>
      <c r="K6" s="24"/>
      <c r="L6" s="18"/>
      <c r="M6" s="18"/>
      <c r="N6" s="18"/>
    </row>
    <row r="7" spans="1:21" ht="18" customHeight="1" x14ac:dyDescent="0.2">
      <c r="A7" s="21">
        <f>MAX('Zero Gas Annual Calibration'!C12:C61)</f>
        <v>16000</v>
      </c>
      <c r="B7" s="9" t="s">
        <v>136</v>
      </c>
      <c r="C7" s="18"/>
      <c r="D7" s="18"/>
      <c r="E7" s="18"/>
      <c r="F7" s="18"/>
      <c r="G7" s="18"/>
      <c r="H7" s="25">
        <f>TINV(1-$H$4,df_new-1)</f>
        <v>4.3026527297494619</v>
      </c>
      <c r="I7" s="26" t="s">
        <v>137</v>
      </c>
      <c r="J7" s="27"/>
      <c r="K7" s="27"/>
      <c r="L7" s="18"/>
      <c r="M7" s="18"/>
      <c r="N7" s="18"/>
    </row>
    <row r="8" spans="1:21" ht="18" customHeight="1" x14ac:dyDescent="0.2">
      <c r="A8" s="28">
        <f>n_new</f>
        <v>5</v>
      </c>
      <c r="B8" s="9" t="s">
        <v>138</v>
      </c>
      <c r="C8" s="18"/>
      <c r="D8" s="18"/>
      <c r="E8" s="18"/>
      <c r="F8" s="18"/>
      <c r="G8" s="18"/>
      <c r="H8" s="29">
        <f>TINV(1-$H$4,df_new-2)</f>
        <v>12.706204736174694</v>
      </c>
      <c r="I8" s="30" t="s">
        <v>139</v>
      </c>
      <c r="J8" s="31"/>
      <c r="K8" s="31"/>
      <c r="L8" s="18"/>
      <c r="M8" s="18"/>
      <c r="N8" s="18"/>
    </row>
    <row r="9" spans="1:21" ht="18" customHeight="1" x14ac:dyDescent="0.2">
      <c r="A9" s="32"/>
      <c r="B9" s="9"/>
      <c r="C9" s="18"/>
      <c r="D9" s="18"/>
      <c r="E9" s="18"/>
      <c r="F9" s="18"/>
      <c r="G9" s="18"/>
      <c r="H9" s="33" t="e">
        <f>TINV(1-$H$4,df_new-3)</f>
        <v>#NUM!</v>
      </c>
      <c r="I9" s="34" t="s">
        <v>140</v>
      </c>
      <c r="J9" s="35"/>
      <c r="K9" s="35"/>
      <c r="L9" s="18"/>
      <c r="M9" s="18"/>
      <c r="N9" s="18"/>
    </row>
    <row r="10" spans="1:21" ht="18" customHeight="1" x14ac:dyDescent="0.2">
      <c r="A10" s="3" t="s">
        <v>141</v>
      </c>
      <c r="B10" s="18"/>
      <c r="C10" s="18"/>
      <c r="D10" s="18"/>
      <c r="E10" s="18"/>
      <c r="F10" s="36" t="s">
        <v>142</v>
      </c>
      <c r="G10" s="37"/>
      <c r="H10" s="37"/>
      <c r="I10" s="38"/>
      <c r="J10" s="39" t="s">
        <v>143</v>
      </c>
      <c r="K10" s="40"/>
      <c r="L10" s="40"/>
      <c r="M10" s="41"/>
      <c r="N10" s="42" t="s">
        <v>144</v>
      </c>
      <c r="O10" s="43"/>
      <c r="P10" s="43"/>
      <c r="Q10" s="44"/>
      <c r="R10" s="45" t="s">
        <v>145</v>
      </c>
      <c r="S10" s="46"/>
      <c r="T10" s="46"/>
      <c r="U10" s="47"/>
    </row>
    <row r="11" spans="1:21" ht="18" customHeight="1" x14ac:dyDescent="0.2">
      <c r="A11" s="48" t="s">
        <v>33</v>
      </c>
      <c r="B11" s="48" t="s">
        <v>146</v>
      </c>
      <c r="C11" s="48" t="s">
        <v>147</v>
      </c>
      <c r="D11" s="49"/>
      <c r="E11" s="50"/>
      <c r="F11" s="51" t="s">
        <v>126</v>
      </c>
      <c r="G11" s="52" t="s">
        <v>127</v>
      </c>
      <c r="H11" s="53" t="s">
        <v>128</v>
      </c>
      <c r="I11" s="54" t="s">
        <v>148</v>
      </c>
      <c r="J11" s="55" t="s">
        <v>126</v>
      </c>
      <c r="K11" s="56" t="s">
        <v>127</v>
      </c>
      <c r="L11" s="57" t="s">
        <v>128</v>
      </c>
      <c r="M11" s="58" t="s">
        <v>148</v>
      </c>
      <c r="N11" s="59" t="s">
        <v>126</v>
      </c>
      <c r="O11" s="60" t="s">
        <v>127</v>
      </c>
      <c r="P11" s="61" t="s">
        <v>128</v>
      </c>
      <c r="Q11" s="62" t="s">
        <v>148</v>
      </c>
      <c r="R11" s="63" t="s">
        <v>126</v>
      </c>
      <c r="S11" s="64" t="s">
        <v>127</v>
      </c>
      <c r="T11" s="65" t="s">
        <v>128</v>
      </c>
      <c r="U11" s="66" t="s">
        <v>148</v>
      </c>
    </row>
    <row r="12" spans="1:21" ht="18" customHeight="1" x14ac:dyDescent="0.2">
      <c r="A12" s="67">
        <v>1</v>
      </c>
      <c r="B12" s="68">
        <f>IF($A12&gt;n_new,"",+'Zero Gas Annual Calibration'!C12)</f>
        <v>16000</v>
      </c>
      <c r="C12" s="69">
        <f>IF($A12&gt;n_new,-999,+'Zero Gas Annual Calibration'!D12)</f>
        <v>16023.021428571428</v>
      </c>
      <c r="D12" s="70"/>
      <c r="E12" s="70"/>
      <c r="F12" s="71"/>
      <c r="G12" s="72"/>
      <c r="H12" s="72"/>
      <c r="I12" s="73">
        <f>+C12-('Zero Gas Annual Calibration'!$K$27+'Zero Gas Annual Calibration'!$K$28*B12)</f>
        <v>-13.993404150964125</v>
      </c>
      <c r="J12" s="74"/>
      <c r="K12" s="75"/>
      <c r="L12" s="75"/>
      <c r="M12" s="76">
        <f>+C12-('Zero Gas Annual Calibration'!$U$30+B12*'Zero Gas Annual Calibration'!$U$31+B12^2*'Zero Gas Annual Calibration'!$U$32)</f>
        <v>-1.2002513766929042</v>
      </c>
      <c r="N12" s="77"/>
      <c r="O12" s="78"/>
      <c r="P12" s="78"/>
      <c r="Q12" s="79">
        <f>+C12-('Zero Gas Annual Calibration'!$AD$30+B12*'Zero Gas Annual Calibration'!$AD$31+B12^2*'Zero Gas Annual Calibration'!$AD$32+B12^3*'Zero Gas Annual Calibration'!$AD$33)</f>
        <v>0.65331921065262577</v>
      </c>
      <c r="R12" s="80"/>
      <c r="S12" s="81"/>
      <c r="T12" s="81"/>
      <c r="U12" s="82">
        <f>+C12-('Zero Gas Annual Calibration'!$BI$26+B12*'Zero Gas Annual Calibration'!$BI$27+B12^2*'Zero Gas Annual Calibration'!$BI$28+B12^3*'Zero Gas Annual Calibration'!$BI$29+B12^4*'Zero Gas Annual Calibration'!$BI$30)</f>
        <v>-3.890818334184587E-7</v>
      </c>
    </row>
    <row r="13" spans="1:21" ht="18" customHeight="1" x14ac:dyDescent="0.2">
      <c r="A13" s="83">
        <v>2</v>
      </c>
      <c r="B13" s="70">
        <f>IF($A13&gt;n_new,"",+'Zero Gas Annual Calibration'!C13)</f>
        <v>12000</v>
      </c>
      <c r="C13" s="84">
        <f>IF($A13&gt;n_new,-999,+'Zero Gas Annual Calibration'!D13)</f>
        <v>12049.85367647059</v>
      </c>
      <c r="D13" s="70"/>
      <c r="E13" s="70"/>
      <c r="F13" s="71"/>
      <c r="G13" s="72"/>
      <c r="H13" s="72"/>
      <c r="I13" s="73">
        <f>IF(A13&gt;n_new,+I12,+C13-('Zero Gas Annual Calibration'!$K$27+'Zero Gas Annual Calibration'!$K$28*B13))</f>
        <v>14.4286446113274</v>
      </c>
      <c r="J13" s="74"/>
      <c r="K13" s="75"/>
      <c r="L13" s="75"/>
      <c r="M13" s="76">
        <f>IF(A13&gt;n_new,M12,+C13-('Zero Gas Annual Calibration'!$U$30+B13*'Zero Gas Annual Calibration'!$U$31+B13^2*'Zero Gas Annual Calibration'!$U$32))</f>
        <v>1.8579814498843916</v>
      </c>
      <c r="N13" s="77"/>
      <c r="O13" s="78"/>
      <c r="P13" s="78"/>
      <c r="Q13" s="79">
        <f>IF(A13&gt;n_new,Q12,+C13-('Zero Gas Annual Calibration'!$AD$30+B13*'Zero Gas Annual Calibration'!$AD$31+B13^2*'Zero Gas Annual Calibration'!$AD$32+B13^3*'Zero Gas Annual Calibration'!$AD$33))</f>
        <v>-3.2665960615358927</v>
      </c>
      <c r="R13" s="80"/>
      <c r="S13" s="81"/>
      <c r="T13" s="81"/>
      <c r="U13" s="82">
        <f>IF(A13&gt;n_new,+U12,+C13-('Zero Gas Annual Calibration'!$BI$26+B13*'Zero Gas Annual Calibration'!$BI$27+B13^2*'Zero Gas Annual Calibration'!$BI$28+B13^3*'Zero Gas Annual Calibration'!$BI$29+B13^4*'Zero Gas Annual Calibration'!$BI$30))</f>
        <v>6.7374458012636751E-7</v>
      </c>
    </row>
    <row r="14" spans="1:21" ht="18" customHeight="1" x14ac:dyDescent="0.2">
      <c r="A14" s="83">
        <v>3</v>
      </c>
      <c r="B14" s="70">
        <f>IF($A14&gt;n_new,"",+'Zero Gas Annual Calibration'!C14)</f>
        <v>8000</v>
      </c>
      <c r="C14" s="84">
        <f>IF($A14&gt;n_new,-999,+'Zero Gas Annual Calibration'!D14)</f>
        <v>8052.8167968750076</v>
      </c>
      <c r="D14" s="70"/>
      <c r="E14" s="70"/>
      <c r="F14" s="71"/>
      <c r="G14" s="72"/>
      <c r="H14" s="72"/>
      <c r="I14" s="73">
        <f>IF(A14&gt;n_new,+I13,+C14-('Zero Gas Annual Calibration'!$K$27+'Zero Gas Annual Calibration'!$K$28*B14))</f>
        <v>18.98156587887479</v>
      </c>
      <c r="J14" s="74"/>
      <c r="K14" s="75"/>
      <c r="L14" s="75"/>
      <c r="M14" s="76">
        <f>IF(A14&gt;n_new,M13,+C14-('Zero Gas Annual Calibration'!$U$30+B14*'Zero Gas Annual Calibration'!$U$31+B14^2*'Zero Gas Annual Calibration'!$U$32))</f>
        <v>6.855881944419707</v>
      </c>
      <c r="N14" s="77"/>
      <c r="O14" s="78"/>
      <c r="P14" s="78"/>
      <c r="Q14" s="79">
        <f>IF(A14&gt;n_new,Q13,+C14-('Zero Gas Annual Calibration'!$AD$30+B14*'Zero Gas Annual Calibration'!$AD$31+B14^2*'Zero Gas Annual Calibration'!$AD$32+B14^3*'Zero Gas Annual Calibration'!$AD$33))</f>
        <v>9.7997881673354641</v>
      </c>
      <c r="R14" s="80"/>
      <c r="S14" s="81"/>
      <c r="T14" s="81"/>
      <c r="U14" s="82">
        <f>IF(A14&gt;n_new,+U13,+C14-('Zero Gas Annual Calibration'!$BI$26+B14*'Zero Gas Annual Calibration'!$BI$27+B14^2*'Zero Gas Annual Calibration'!$BI$28+B14^3*'Zero Gas Annual Calibration'!$BI$29+B14^4*'Zero Gas Annual Calibration'!$BI$30))</f>
        <v>8.433225957560353E-7</v>
      </c>
    </row>
    <row r="15" spans="1:21" ht="18" customHeight="1" x14ac:dyDescent="0.2">
      <c r="A15" s="83">
        <v>4</v>
      </c>
      <c r="B15" s="70">
        <f>IF($A15&gt;n_new,"",+'Zero Gas Annual Calibration'!C15)</f>
        <v>6000</v>
      </c>
      <c r="C15" s="84">
        <f>IF($A15&gt;n_new,-999,+'Zero Gas Annual Calibration'!D15)</f>
        <v>6021.3230452674898</v>
      </c>
      <c r="D15" s="70"/>
      <c r="E15" s="70"/>
      <c r="F15" s="71"/>
      <c r="G15" s="72"/>
      <c r="H15" s="72"/>
      <c r="I15" s="73">
        <f>IF(A15&gt;n_new,+I14,+C15-('Zero Gas Annual Calibration'!$K$27+'Zero Gas Annual Calibration'!$K$28*B15))</f>
        <v>-11.717285297077979</v>
      </c>
      <c r="J15" s="74"/>
      <c r="K15" s="75"/>
      <c r="L15" s="75"/>
      <c r="M15" s="76">
        <f>IF(A15&gt;n_new,M14,+C15-('Zero Gas Annual Calibration'!$U$30+B15*'Zero Gas Annual Calibration'!$U$31+B15^2*'Zero Gas Annual Calibration'!$U$32))</f>
        <v>-13.9421814320267</v>
      </c>
      <c r="N15" s="77"/>
      <c r="O15" s="78"/>
      <c r="P15" s="78"/>
      <c r="Q15" s="79">
        <f>IF(A15&gt;n_new,Q14,+C15-('Zero Gas Annual Calibration'!$AD$30+B15*'Zero Gas Annual Calibration'!$AD$31+B15^2*'Zero Gas Annual Calibration'!$AD$32+B15^3*'Zero Gas Annual Calibration'!$AD$33))</f>
        <v>-10.453107388987519</v>
      </c>
      <c r="R15" s="80"/>
      <c r="S15" s="81"/>
      <c r="T15" s="81"/>
      <c r="U15" s="82">
        <f>IF(A15&gt;n_new,+U14,+C15-('Zero Gas Annual Calibration'!$BI$26+B15*'Zero Gas Annual Calibration'!$BI$27+B15^2*'Zero Gas Annual Calibration'!$BI$28+B15^3*'Zero Gas Annual Calibration'!$BI$29+B15^4*'Zero Gas Annual Calibration'!$BI$30))</f>
        <v>7.2243619797518477E-7</v>
      </c>
    </row>
    <row r="16" spans="1:21" ht="18" customHeight="1" x14ac:dyDescent="0.2">
      <c r="A16" s="83">
        <v>5</v>
      </c>
      <c r="B16" s="70">
        <f>IF($A16&gt;n_new,-999,+'Zero Gas Annual Calibration'!C16)</f>
        <v>4000</v>
      </c>
      <c r="C16" s="84">
        <f>IF($A16&gt;n_new,-999,+'Zero Gas Annual Calibration'!D16)</f>
        <v>4024.5459090909085</v>
      </c>
      <c r="D16" s="70"/>
      <c r="E16" s="70"/>
      <c r="F16" s="71"/>
      <c r="G16" s="72"/>
      <c r="H16" s="72"/>
      <c r="I16" s="73">
        <f>IF(A16&gt;n_new,+I15,+C16-('Zero Gas Annual Calibration'!$K$27+'Zero Gas Annual Calibration'!$K$28*B16))</f>
        <v>-7.6995210420946023</v>
      </c>
      <c r="J16" s="74"/>
      <c r="K16" s="75"/>
      <c r="L16" s="75"/>
      <c r="M16" s="76">
        <f>IF(A16&gt;n_new,M15,+C16-('Zero Gas Annual Calibration'!$U$30+B16*'Zero Gas Annual Calibration'!$U$31+B16^2*'Zero Gas Annual Calibration'!$U$32))</f>
        <v>6.4285694131399396</v>
      </c>
      <c r="N16" s="77"/>
      <c r="O16" s="78"/>
      <c r="P16" s="78"/>
      <c r="Q16" s="79">
        <f>IF(A16&gt;n_new,Q15,+C16-('Zero Gas Annual Calibration'!$AD$30+B16*'Zero Gas Annual Calibration'!$AD$31+B16^2*'Zero Gas Annual Calibration'!$AD$32+B16^3*'Zero Gas Annual Calibration'!$AD$33))</f>
        <v>3.2665960532276586</v>
      </c>
      <c r="R16" s="80"/>
      <c r="S16" s="81"/>
      <c r="T16" s="81"/>
      <c r="U16" s="82">
        <f>IF(A16&gt;n_new,+U15,+C16-('Zero Gas Annual Calibration'!$BI$26+B16*'Zero Gas Annual Calibration'!$BI$27+B16^2*'Zero Gas Annual Calibration'!$BI$28+B16^3*'Zero Gas Annual Calibration'!$BI$29+B16^4*'Zero Gas Annual Calibration'!$BI$30))</f>
        <v>5.2181439968990162E-7</v>
      </c>
    </row>
    <row r="17" spans="1:21" ht="18" customHeight="1" x14ac:dyDescent="0.2">
      <c r="A17" s="83">
        <v>6</v>
      </c>
      <c r="B17" s="70">
        <f>IF($A17&gt;n_new,-999,+'Zero Gas Annual Calibration'!C17)</f>
        <v>-999</v>
      </c>
      <c r="C17" s="84">
        <f>IF($A17&gt;n_new,-999,+'Zero Gas Annual Calibration'!D17)</f>
        <v>-999</v>
      </c>
      <c r="D17" s="70"/>
      <c r="E17" s="70"/>
      <c r="F17" s="71"/>
      <c r="G17" s="72"/>
      <c r="H17" s="72"/>
      <c r="I17" s="73">
        <f>IF(A17&gt;n_new,+I16,+C17-('Zero Gas Annual Calibration'!$K$27+'Zero Gas Annual Calibration'!$K$28*B17))</f>
        <v>-7.6995210420946023</v>
      </c>
      <c r="J17" s="74"/>
      <c r="K17" s="75"/>
      <c r="L17" s="75"/>
      <c r="M17" s="76">
        <f>IF(A17&gt;n_new,M16,+C17-('Zero Gas Annual Calibration'!$U$30+B17*'Zero Gas Annual Calibration'!$U$31+B17^2*'Zero Gas Annual Calibration'!$U$32))</f>
        <v>6.4285694131399396</v>
      </c>
      <c r="N17" s="77"/>
      <c r="O17" s="78"/>
      <c r="P17" s="78"/>
      <c r="Q17" s="79">
        <f>IF(A17&gt;n_new,Q16,+C17-('Zero Gas Annual Calibration'!$AD$30+B17*'Zero Gas Annual Calibration'!$AD$31+B17^2*'Zero Gas Annual Calibration'!$AD$32+B17^3*'Zero Gas Annual Calibration'!$AD$33))</f>
        <v>3.2665960532276586</v>
      </c>
      <c r="R17" s="80"/>
      <c r="S17" s="81"/>
      <c r="T17" s="81"/>
      <c r="U17" s="82">
        <f>IF(A17&gt;n_new,+U16,+C17-('Zero Gas Annual Calibration'!$BI$26+B17*'Zero Gas Annual Calibration'!$BI$27+B17^2*'Zero Gas Annual Calibration'!$BI$28+B17^3*'Zero Gas Annual Calibration'!$BI$29+B17^4*'Zero Gas Annual Calibration'!$BI$30))</f>
        <v>5.2181439968990162E-7</v>
      </c>
    </row>
    <row r="18" spans="1:21" ht="18" customHeight="1" x14ac:dyDescent="0.2">
      <c r="A18" s="83">
        <v>7</v>
      </c>
      <c r="B18" s="70">
        <f>IF($A18&gt;n_new,-999,+'Zero Gas Annual Calibration'!C18)</f>
        <v>-999</v>
      </c>
      <c r="C18" s="84">
        <f>IF($A18&gt;n_new,-999,+'Zero Gas Annual Calibration'!D18)</f>
        <v>-999</v>
      </c>
      <c r="D18" s="70"/>
      <c r="E18" s="70"/>
      <c r="F18" s="71"/>
      <c r="G18" s="72"/>
      <c r="H18" s="72"/>
      <c r="I18" s="73">
        <f>IF(A18&gt;n_new,+I17,+C18-('Zero Gas Annual Calibration'!$K$27+'Zero Gas Annual Calibration'!$K$28*B18))</f>
        <v>-7.6995210420946023</v>
      </c>
      <c r="J18" s="74"/>
      <c r="K18" s="75"/>
      <c r="L18" s="75"/>
      <c r="M18" s="76">
        <f>IF(A18&gt;n_new,M17,+C18-('Zero Gas Annual Calibration'!$U$30+B18*'Zero Gas Annual Calibration'!$U$31+B18^2*'Zero Gas Annual Calibration'!$U$32))</f>
        <v>6.4285694131399396</v>
      </c>
      <c r="N18" s="77"/>
      <c r="O18" s="78"/>
      <c r="P18" s="78"/>
      <c r="Q18" s="79">
        <f>IF(A18&gt;n_new,Q17,+C18-('Zero Gas Annual Calibration'!$AD$30+B18*'Zero Gas Annual Calibration'!$AD$31+B18^2*'Zero Gas Annual Calibration'!$AD$32+B18^3*'Zero Gas Annual Calibration'!$AD$33))</f>
        <v>3.2665960532276586</v>
      </c>
      <c r="R18" s="80"/>
      <c r="S18" s="81"/>
      <c r="T18" s="81"/>
      <c r="U18" s="82">
        <f>IF(A18&gt;n_new,+U17,+C18-('Zero Gas Annual Calibration'!$BI$26+B18*'Zero Gas Annual Calibration'!$BI$27+B18^2*'Zero Gas Annual Calibration'!$BI$28+B18^3*'Zero Gas Annual Calibration'!$BI$29+B18^4*'Zero Gas Annual Calibration'!$BI$30))</f>
        <v>5.2181439968990162E-7</v>
      </c>
    </row>
    <row r="19" spans="1:21" ht="18" customHeight="1" x14ac:dyDescent="0.2">
      <c r="A19" s="83">
        <v>8</v>
      </c>
      <c r="B19" s="70">
        <f>IF($A19&gt;n_new,-999,+'Zero Gas Annual Calibration'!C19)</f>
        <v>-999</v>
      </c>
      <c r="C19" s="84">
        <f>IF($A19&gt;n_new,-999,+'Zero Gas Annual Calibration'!D19)</f>
        <v>-999</v>
      </c>
      <c r="D19" s="70"/>
      <c r="E19" s="70"/>
      <c r="F19" s="71"/>
      <c r="G19" s="72"/>
      <c r="H19" s="72"/>
      <c r="I19" s="73">
        <f>IF(A19&gt;n_new,+I18,+C19-('Zero Gas Annual Calibration'!$K$27+'Zero Gas Annual Calibration'!$K$28*B19))</f>
        <v>-7.6995210420946023</v>
      </c>
      <c r="J19" s="74"/>
      <c r="K19" s="75"/>
      <c r="L19" s="75"/>
      <c r="M19" s="76">
        <f>IF(A19&gt;n_new,M18,+C19-('Zero Gas Annual Calibration'!$U$30+B19*'Zero Gas Annual Calibration'!$U$31+B19^2*'Zero Gas Annual Calibration'!$U$32))</f>
        <v>6.4285694131399396</v>
      </c>
      <c r="N19" s="77"/>
      <c r="O19" s="78"/>
      <c r="P19" s="78"/>
      <c r="Q19" s="79">
        <f>IF(A19&gt;n_new,Q18,+C19-('Zero Gas Annual Calibration'!$AD$30+B19*'Zero Gas Annual Calibration'!$AD$31+B19^2*'Zero Gas Annual Calibration'!$AD$32+B19^3*'Zero Gas Annual Calibration'!$AD$33))</f>
        <v>3.2665960532276586</v>
      </c>
      <c r="R19" s="80"/>
      <c r="S19" s="81"/>
      <c r="T19" s="81"/>
      <c r="U19" s="82">
        <f>IF(A19&gt;n_new,+U18,+C19-('Zero Gas Annual Calibration'!$BI$26+B19*'Zero Gas Annual Calibration'!$BI$27+B19^2*'Zero Gas Annual Calibration'!$BI$28+B19^3*'Zero Gas Annual Calibration'!$BI$29+B19^4*'Zero Gas Annual Calibration'!$BI$30))</f>
        <v>5.2181439968990162E-7</v>
      </c>
    </row>
    <row r="20" spans="1:21" ht="18" customHeight="1" x14ac:dyDescent="0.2">
      <c r="A20" s="83">
        <v>9</v>
      </c>
      <c r="B20" s="70">
        <f>IF($A20&gt;n_new,-999,+'Zero Gas Annual Calibration'!C20)</f>
        <v>-999</v>
      </c>
      <c r="C20" s="84">
        <f>IF($A20&gt;n_new,-999,+'Zero Gas Annual Calibration'!D20)</f>
        <v>-999</v>
      </c>
      <c r="D20" s="70"/>
      <c r="E20" s="70"/>
      <c r="F20" s="71"/>
      <c r="G20" s="72"/>
      <c r="H20" s="72"/>
      <c r="I20" s="73">
        <f>IF(A20&gt;n_new,+I19,+C20-('Zero Gas Annual Calibration'!$K$27+'Zero Gas Annual Calibration'!$K$28*B20))</f>
        <v>-7.6995210420946023</v>
      </c>
      <c r="J20" s="74"/>
      <c r="K20" s="75"/>
      <c r="L20" s="75"/>
      <c r="M20" s="76">
        <f>IF(A20&gt;n_new,M19,+C20-('Zero Gas Annual Calibration'!$U$30+B20*'Zero Gas Annual Calibration'!$U$31+B20^2*'Zero Gas Annual Calibration'!$U$32))</f>
        <v>6.4285694131399396</v>
      </c>
      <c r="N20" s="77"/>
      <c r="O20" s="78"/>
      <c r="P20" s="78"/>
      <c r="Q20" s="79">
        <f>IF(A20&gt;n_new,Q19,+C20-('Zero Gas Annual Calibration'!$AD$30+B20*'Zero Gas Annual Calibration'!$AD$31+B20^2*'Zero Gas Annual Calibration'!$AD$32+B20^3*'Zero Gas Annual Calibration'!$AD$33))</f>
        <v>3.2665960532276586</v>
      </c>
      <c r="R20" s="80"/>
      <c r="S20" s="81"/>
      <c r="T20" s="81"/>
      <c r="U20" s="82">
        <f>IF(A20&gt;n_new,+U19,+C20-('Zero Gas Annual Calibration'!$BI$26+B20*'Zero Gas Annual Calibration'!$BI$27+B20^2*'Zero Gas Annual Calibration'!$BI$28+B20^3*'Zero Gas Annual Calibration'!$BI$29+B20^4*'Zero Gas Annual Calibration'!$BI$30))</f>
        <v>5.2181439968990162E-7</v>
      </c>
    </row>
    <row r="21" spans="1:21" ht="18" customHeight="1" x14ac:dyDescent="0.2">
      <c r="A21" s="83">
        <v>10</v>
      </c>
      <c r="B21" s="70">
        <f>IF($A21&gt;n_new,-999,+'Zero Gas Annual Calibration'!C21)</f>
        <v>-999</v>
      </c>
      <c r="C21" s="84">
        <f>IF($A21&gt;n_new,-999,+'Zero Gas Annual Calibration'!D21)</f>
        <v>-999</v>
      </c>
      <c r="D21" s="70"/>
      <c r="E21" s="70"/>
      <c r="F21" s="71"/>
      <c r="G21" s="72"/>
      <c r="H21" s="72"/>
      <c r="I21" s="73">
        <f>IF(A21&gt;n_new,+I20,+C21-('Zero Gas Annual Calibration'!$K$27+'Zero Gas Annual Calibration'!$K$28*B21))</f>
        <v>-7.6995210420946023</v>
      </c>
      <c r="J21" s="74"/>
      <c r="K21" s="75"/>
      <c r="L21" s="75"/>
      <c r="M21" s="76">
        <f>IF(A21&gt;n_new,M20,+C21-('Zero Gas Annual Calibration'!$U$30+B21*'Zero Gas Annual Calibration'!$U$31+B21^2*'Zero Gas Annual Calibration'!$U$32))</f>
        <v>6.4285694131399396</v>
      </c>
      <c r="N21" s="77"/>
      <c r="O21" s="78"/>
      <c r="P21" s="78"/>
      <c r="Q21" s="79">
        <f>IF(A21&gt;n_new,Q20,+C21-('Zero Gas Annual Calibration'!$AD$30+B21*'Zero Gas Annual Calibration'!$AD$31+B21^2*'Zero Gas Annual Calibration'!$AD$32+B21^3*'Zero Gas Annual Calibration'!$AD$33))</f>
        <v>3.2665960532276586</v>
      </c>
      <c r="R21" s="80"/>
      <c r="S21" s="81"/>
      <c r="T21" s="81"/>
      <c r="U21" s="82">
        <f>IF(A21&gt;n_new,+U20,+C21-('Zero Gas Annual Calibration'!$BI$26+B21*'Zero Gas Annual Calibration'!$BI$27+B21^2*'Zero Gas Annual Calibration'!$BI$28+B21^3*'Zero Gas Annual Calibration'!$BI$29+B21^4*'Zero Gas Annual Calibration'!$BI$30))</f>
        <v>5.2181439968990162E-7</v>
      </c>
    </row>
    <row r="22" spans="1:21" ht="18" customHeight="1" x14ac:dyDescent="0.2">
      <c r="A22" s="83">
        <v>11</v>
      </c>
      <c r="B22" s="70">
        <f>IF($A22&gt;n_new,-999,+'Zero Gas Annual Calibration'!C22)</f>
        <v>-999</v>
      </c>
      <c r="C22" s="84">
        <f>IF($A22&gt;n_new,-999,+'Zero Gas Annual Calibration'!D22)</f>
        <v>-999</v>
      </c>
      <c r="D22" s="70"/>
      <c r="E22" s="70"/>
      <c r="F22" s="71"/>
      <c r="G22" s="72"/>
      <c r="H22" s="72"/>
      <c r="I22" s="73">
        <f>IF(A22&gt;n_new,+I21,+C22-('Zero Gas Annual Calibration'!$K$27+'Zero Gas Annual Calibration'!$K$28*B22))</f>
        <v>-7.6995210420946023</v>
      </c>
      <c r="J22" s="74"/>
      <c r="K22" s="75"/>
      <c r="L22" s="75"/>
      <c r="M22" s="76">
        <f>IF(A22&gt;n_new,M21,+C22-('Zero Gas Annual Calibration'!$U$30+B22*'Zero Gas Annual Calibration'!$U$31+B22^2*'Zero Gas Annual Calibration'!$U$32))</f>
        <v>6.4285694131399396</v>
      </c>
      <c r="N22" s="77"/>
      <c r="O22" s="78"/>
      <c r="P22" s="78"/>
      <c r="Q22" s="79">
        <f>IF(A22&gt;n_new,Q21,+C22-('Zero Gas Annual Calibration'!$AD$30+B22*'Zero Gas Annual Calibration'!$AD$31+B22^2*'Zero Gas Annual Calibration'!$AD$32+B22^3*'Zero Gas Annual Calibration'!$AD$33))</f>
        <v>3.2665960532276586</v>
      </c>
      <c r="R22" s="80"/>
      <c r="S22" s="81"/>
      <c r="T22" s="81"/>
      <c r="U22" s="82">
        <f>IF(A22&gt;n_new,+U21,+C22-('Zero Gas Annual Calibration'!$BI$26+B22*'Zero Gas Annual Calibration'!$BI$27+B22^2*'Zero Gas Annual Calibration'!$BI$28+B22^3*'Zero Gas Annual Calibration'!$BI$29+B22^4*'Zero Gas Annual Calibration'!$BI$30))</f>
        <v>5.2181439968990162E-7</v>
      </c>
    </row>
    <row r="23" spans="1:21" ht="18" customHeight="1" x14ac:dyDescent="0.2">
      <c r="A23" s="83">
        <v>12</v>
      </c>
      <c r="B23" s="70">
        <f>IF($A23&gt;n_new,-999,+'Zero Gas Annual Calibration'!C23)</f>
        <v>-999</v>
      </c>
      <c r="C23" s="84">
        <f>IF($A23&gt;n_new,-999,+'Zero Gas Annual Calibration'!D23)</f>
        <v>-999</v>
      </c>
      <c r="D23" s="70"/>
      <c r="E23" s="70"/>
      <c r="F23" s="71"/>
      <c r="G23" s="72"/>
      <c r="H23" s="72"/>
      <c r="I23" s="73">
        <f>IF(A23&gt;n_new,+I22,+C23-('Zero Gas Annual Calibration'!$K$27+'Zero Gas Annual Calibration'!$K$28*B23))</f>
        <v>-7.6995210420946023</v>
      </c>
      <c r="J23" s="74"/>
      <c r="K23" s="75"/>
      <c r="L23" s="75"/>
      <c r="M23" s="76">
        <f>IF(A23&gt;n_new,M22,+C23-('Zero Gas Annual Calibration'!$U$30+B23*'Zero Gas Annual Calibration'!$U$31+B23^2*'Zero Gas Annual Calibration'!$U$32))</f>
        <v>6.4285694131399396</v>
      </c>
      <c r="N23" s="77"/>
      <c r="O23" s="78"/>
      <c r="P23" s="78"/>
      <c r="Q23" s="79">
        <f>IF(A23&gt;n_new,Q22,+C23-('Zero Gas Annual Calibration'!$AD$30+B23*'Zero Gas Annual Calibration'!$AD$31+B23^2*'Zero Gas Annual Calibration'!$AD$32+B23^3*'Zero Gas Annual Calibration'!$AD$33))</f>
        <v>3.2665960532276586</v>
      </c>
      <c r="R23" s="80"/>
      <c r="S23" s="81"/>
      <c r="T23" s="81"/>
      <c r="U23" s="82">
        <f>IF(A23&gt;n_new,+U22,+C23-('Zero Gas Annual Calibration'!$BI$26+B23*'Zero Gas Annual Calibration'!$BI$27+B23^2*'Zero Gas Annual Calibration'!$BI$28+B23^3*'Zero Gas Annual Calibration'!$BI$29+B23^4*'Zero Gas Annual Calibration'!$BI$30))</f>
        <v>5.2181439968990162E-7</v>
      </c>
    </row>
    <row r="24" spans="1:21" ht="18" customHeight="1" x14ac:dyDescent="0.2">
      <c r="A24" s="83">
        <v>13</v>
      </c>
      <c r="B24" s="70">
        <f>IF($A24&gt;n_new,-999,+'Zero Gas Annual Calibration'!C24)</f>
        <v>-999</v>
      </c>
      <c r="C24" s="84">
        <f>IF($A24&gt;n_new,-999,+'Zero Gas Annual Calibration'!D24)</f>
        <v>-999</v>
      </c>
      <c r="D24" s="70"/>
      <c r="E24" s="70"/>
      <c r="F24" s="71"/>
      <c r="G24" s="72"/>
      <c r="H24" s="72"/>
      <c r="I24" s="73">
        <f>IF(A24&gt;n_new,+I23,+C24-('Zero Gas Annual Calibration'!$K$27+'Zero Gas Annual Calibration'!$K$28*B24))</f>
        <v>-7.6995210420946023</v>
      </c>
      <c r="J24" s="74"/>
      <c r="K24" s="75"/>
      <c r="L24" s="75"/>
      <c r="M24" s="76">
        <f>IF(A24&gt;n_new,M23,+C24-('Zero Gas Annual Calibration'!$U$30+B24*'Zero Gas Annual Calibration'!$U$31+B24^2*'Zero Gas Annual Calibration'!$U$32))</f>
        <v>6.4285694131399396</v>
      </c>
      <c r="N24" s="77"/>
      <c r="O24" s="78"/>
      <c r="P24" s="78"/>
      <c r="Q24" s="79">
        <f>IF(A24&gt;n_new,Q23,+C24-('Zero Gas Annual Calibration'!$AD$30+B24*'Zero Gas Annual Calibration'!$AD$31+B24^2*'Zero Gas Annual Calibration'!$AD$32+B24^3*'Zero Gas Annual Calibration'!$AD$33))</f>
        <v>3.2665960532276586</v>
      </c>
      <c r="R24" s="80"/>
      <c r="S24" s="81"/>
      <c r="T24" s="81"/>
      <c r="U24" s="82">
        <f>IF(A24&gt;n_new,+U23,+C24-('Zero Gas Annual Calibration'!$BI$26+B24*'Zero Gas Annual Calibration'!$BI$27+B24^2*'Zero Gas Annual Calibration'!$BI$28+B24^3*'Zero Gas Annual Calibration'!$BI$29+B24^4*'Zero Gas Annual Calibration'!$BI$30))</f>
        <v>5.2181439968990162E-7</v>
      </c>
    </row>
    <row r="25" spans="1:21" ht="18" customHeight="1" x14ac:dyDescent="0.2">
      <c r="A25" s="83">
        <v>14</v>
      </c>
      <c r="B25" s="70">
        <f>IF($A25&gt;n_new,-999,+'Zero Gas Annual Calibration'!C25)</f>
        <v>-999</v>
      </c>
      <c r="C25" s="84">
        <f>IF($A25&gt;n_new,-999,+'Zero Gas Annual Calibration'!D25)</f>
        <v>-999</v>
      </c>
      <c r="D25" s="70"/>
      <c r="E25" s="70"/>
      <c r="F25" s="71"/>
      <c r="G25" s="72"/>
      <c r="H25" s="72"/>
      <c r="I25" s="73">
        <f>IF(A25&gt;n_new,+I24,+C25-('Zero Gas Annual Calibration'!$K$27+'Zero Gas Annual Calibration'!$K$28*B25))</f>
        <v>-7.6995210420946023</v>
      </c>
      <c r="J25" s="74"/>
      <c r="K25" s="75"/>
      <c r="L25" s="75"/>
      <c r="M25" s="76">
        <f>IF(A25&gt;n_new,M24,+C25-('Zero Gas Annual Calibration'!$U$30+B25*'Zero Gas Annual Calibration'!$U$31+B25^2*'Zero Gas Annual Calibration'!$U$32))</f>
        <v>6.4285694131399396</v>
      </c>
      <c r="N25" s="77"/>
      <c r="O25" s="78"/>
      <c r="P25" s="78"/>
      <c r="Q25" s="79">
        <f>IF(A25&gt;n_new,Q24,+C25-('Zero Gas Annual Calibration'!$AD$30+B25*'Zero Gas Annual Calibration'!$AD$31+B25^2*'Zero Gas Annual Calibration'!$AD$32+B25^3*'Zero Gas Annual Calibration'!$AD$33))</f>
        <v>3.2665960532276586</v>
      </c>
      <c r="R25" s="80"/>
      <c r="S25" s="81"/>
      <c r="T25" s="81"/>
      <c r="U25" s="82">
        <f>IF(A25&gt;n_new,+U24,+C25-('Zero Gas Annual Calibration'!$BI$26+B25*'Zero Gas Annual Calibration'!$BI$27+B25^2*'Zero Gas Annual Calibration'!$BI$28+B25^3*'Zero Gas Annual Calibration'!$BI$29+B25^4*'Zero Gas Annual Calibration'!$BI$30))</f>
        <v>5.2181439968990162E-7</v>
      </c>
    </row>
    <row r="26" spans="1:21" ht="18" customHeight="1" x14ac:dyDescent="0.2">
      <c r="A26" s="83">
        <v>15</v>
      </c>
      <c r="B26" s="70">
        <f>IF($A26&gt;n_new,-999,+'Zero Gas Annual Calibration'!C26)</f>
        <v>-999</v>
      </c>
      <c r="C26" s="84">
        <f>IF($A26&gt;n_new,-999,+'Zero Gas Annual Calibration'!D26)</f>
        <v>-999</v>
      </c>
      <c r="D26" s="70"/>
      <c r="E26" s="70"/>
      <c r="F26" s="71"/>
      <c r="G26" s="72"/>
      <c r="H26" s="72"/>
      <c r="I26" s="73">
        <f>IF(A26&gt;n_new,+I25,+C26-('Zero Gas Annual Calibration'!$K$27+'Zero Gas Annual Calibration'!$K$28*B26))</f>
        <v>-7.6995210420946023</v>
      </c>
      <c r="J26" s="74"/>
      <c r="K26" s="75"/>
      <c r="L26" s="75"/>
      <c r="M26" s="76">
        <f>IF(A26&gt;n_new,M25,+C26-('Zero Gas Annual Calibration'!$U$30+B26*'Zero Gas Annual Calibration'!$U$31+B26^2*'Zero Gas Annual Calibration'!$U$32))</f>
        <v>6.4285694131399396</v>
      </c>
      <c r="N26" s="77"/>
      <c r="O26" s="78"/>
      <c r="P26" s="78"/>
      <c r="Q26" s="79">
        <f>IF(A26&gt;n_new,Q25,+C26-('Zero Gas Annual Calibration'!$AD$30+B26*'Zero Gas Annual Calibration'!$AD$31+B26^2*'Zero Gas Annual Calibration'!$AD$32+B26^3*'Zero Gas Annual Calibration'!$AD$33))</f>
        <v>3.2665960532276586</v>
      </c>
      <c r="R26" s="80"/>
      <c r="S26" s="81"/>
      <c r="T26" s="81"/>
      <c r="U26" s="82">
        <f>IF(A26&gt;n_new,+U25,+C26-('Zero Gas Annual Calibration'!$BI$26+B26*'Zero Gas Annual Calibration'!$BI$27+B26^2*'Zero Gas Annual Calibration'!$BI$28+B26^3*'Zero Gas Annual Calibration'!$BI$29+B26^4*'Zero Gas Annual Calibration'!$BI$30))</f>
        <v>5.2181439968990162E-7</v>
      </c>
    </row>
    <row r="27" spans="1:21" ht="18" customHeight="1" x14ac:dyDescent="0.2">
      <c r="A27" s="83">
        <v>16</v>
      </c>
      <c r="B27" s="70">
        <f>IF($A27&gt;n_new,-999,+'Zero Gas Annual Calibration'!C27)</f>
        <v>-999</v>
      </c>
      <c r="C27" s="84">
        <f>IF($A27&gt;n_new,-999,+'Zero Gas Annual Calibration'!D27)</f>
        <v>-999</v>
      </c>
      <c r="D27" s="70"/>
      <c r="E27" s="70"/>
      <c r="F27" s="71"/>
      <c r="G27" s="72"/>
      <c r="H27" s="72"/>
      <c r="I27" s="73">
        <f>IF(A27&gt;n_new,+I26,+C27-('Zero Gas Annual Calibration'!$K$27+'Zero Gas Annual Calibration'!$K$28*B27))</f>
        <v>-7.6995210420946023</v>
      </c>
      <c r="J27" s="74"/>
      <c r="K27" s="75"/>
      <c r="L27" s="75"/>
      <c r="M27" s="76">
        <f>IF(A27&gt;n_new,M26,+C27-('Zero Gas Annual Calibration'!$U$30+B27*'Zero Gas Annual Calibration'!$U$31+B27^2*'Zero Gas Annual Calibration'!$U$32))</f>
        <v>6.4285694131399396</v>
      </c>
      <c r="N27" s="77"/>
      <c r="O27" s="78"/>
      <c r="P27" s="78"/>
      <c r="Q27" s="79">
        <f>IF(A27&gt;n_new,Q26,+C27-('Zero Gas Annual Calibration'!$AD$30+B27*'Zero Gas Annual Calibration'!$AD$31+B27^2*'Zero Gas Annual Calibration'!$AD$32+B27^3*'Zero Gas Annual Calibration'!$AD$33))</f>
        <v>3.2665960532276586</v>
      </c>
      <c r="R27" s="80"/>
      <c r="S27" s="81"/>
      <c r="T27" s="81"/>
      <c r="U27" s="82">
        <f>IF(A27&gt;n_new,+U26,+C27-('Zero Gas Annual Calibration'!$BI$26+B27*'Zero Gas Annual Calibration'!$BI$27+B27^2*'Zero Gas Annual Calibration'!$BI$28+B27^3*'Zero Gas Annual Calibration'!$BI$29+B27^4*'Zero Gas Annual Calibration'!$BI$30))</f>
        <v>5.2181439968990162E-7</v>
      </c>
    </row>
    <row r="28" spans="1:21" ht="18" customHeight="1" x14ac:dyDescent="0.2">
      <c r="A28" s="83">
        <v>17</v>
      </c>
      <c r="B28" s="70">
        <f>IF($A28&gt;n_new,-999,+'Zero Gas Annual Calibration'!C28)</f>
        <v>-999</v>
      </c>
      <c r="C28" s="84">
        <f>IF($A28&gt;n_new,-999,+'Zero Gas Annual Calibration'!D28)</f>
        <v>-999</v>
      </c>
      <c r="D28" s="70"/>
      <c r="E28" s="70"/>
      <c r="F28" s="71"/>
      <c r="G28" s="72"/>
      <c r="H28" s="72"/>
      <c r="I28" s="73">
        <f>IF(A28&gt;n_new,+I27,+C28-('Zero Gas Annual Calibration'!$K$27+'Zero Gas Annual Calibration'!$K$28*B28))</f>
        <v>-7.6995210420946023</v>
      </c>
      <c r="J28" s="74"/>
      <c r="K28" s="75"/>
      <c r="L28" s="75"/>
      <c r="M28" s="76">
        <f>IF(A28&gt;n_new,M27,+C28-('Zero Gas Annual Calibration'!$U$30+B28*'Zero Gas Annual Calibration'!$U$31+B28^2*'Zero Gas Annual Calibration'!$U$32))</f>
        <v>6.4285694131399396</v>
      </c>
      <c r="N28" s="77"/>
      <c r="O28" s="78"/>
      <c r="P28" s="78"/>
      <c r="Q28" s="79">
        <f>IF(A28&gt;n_new,Q27,+C28-('Zero Gas Annual Calibration'!$AD$30+B28*'Zero Gas Annual Calibration'!$AD$31+B28^2*'Zero Gas Annual Calibration'!$AD$32+B28^3*'Zero Gas Annual Calibration'!$AD$33))</f>
        <v>3.2665960532276586</v>
      </c>
      <c r="R28" s="80"/>
      <c r="S28" s="81"/>
      <c r="T28" s="81"/>
      <c r="U28" s="82">
        <f>IF(A28&gt;n_new,+U27,+C28-('Zero Gas Annual Calibration'!$BI$26+B28*'Zero Gas Annual Calibration'!$BI$27+B28^2*'Zero Gas Annual Calibration'!$BI$28+B28^3*'Zero Gas Annual Calibration'!$BI$29+B28^4*'Zero Gas Annual Calibration'!$BI$30))</f>
        <v>5.2181439968990162E-7</v>
      </c>
    </row>
    <row r="29" spans="1:21" ht="18" customHeight="1" x14ac:dyDescent="0.2">
      <c r="A29" s="83">
        <v>18</v>
      </c>
      <c r="B29" s="70">
        <f>IF($A29&gt;n_new,-999,+'Zero Gas Annual Calibration'!C29)</f>
        <v>-999</v>
      </c>
      <c r="C29" s="84">
        <f>IF($A29&gt;n_new,-999,+'Zero Gas Annual Calibration'!D29)</f>
        <v>-999</v>
      </c>
      <c r="D29" s="70"/>
      <c r="E29" s="70"/>
      <c r="F29" s="71"/>
      <c r="G29" s="72"/>
      <c r="H29" s="72"/>
      <c r="I29" s="73">
        <f>IF(A29&gt;n_new,+I28,+C29-('Zero Gas Annual Calibration'!$K$27+'Zero Gas Annual Calibration'!$K$28*B29))</f>
        <v>-7.6995210420946023</v>
      </c>
      <c r="J29" s="74"/>
      <c r="K29" s="75"/>
      <c r="L29" s="75"/>
      <c r="M29" s="76">
        <f>IF(A29&gt;n_new,M28,+C29-('Zero Gas Annual Calibration'!$U$30+B29*'Zero Gas Annual Calibration'!$U$31+B29^2*'Zero Gas Annual Calibration'!$U$32))</f>
        <v>6.4285694131399396</v>
      </c>
      <c r="N29" s="77"/>
      <c r="O29" s="78"/>
      <c r="P29" s="78"/>
      <c r="Q29" s="79">
        <f>IF(A29&gt;n_new,Q28,+C29-('Zero Gas Annual Calibration'!$AD$30+B29*'Zero Gas Annual Calibration'!$AD$31+B29^2*'Zero Gas Annual Calibration'!$AD$32+B29^3*'Zero Gas Annual Calibration'!$AD$33))</f>
        <v>3.2665960532276586</v>
      </c>
      <c r="R29" s="80"/>
      <c r="S29" s="81"/>
      <c r="T29" s="81"/>
      <c r="U29" s="82">
        <f>IF(A29&gt;n_new,+U28,+C29-('Zero Gas Annual Calibration'!$BI$26+B29*'Zero Gas Annual Calibration'!$BI$27+B29^2*'Zero Gas Annual Calibration'!$BI$28+B29^3*'Zero Gas Annual Calibration'!$BI$29+B29^4*'Zero Gas Annual Calibration'!$BI$30))</f>
        <v>5.2181439968990162E-7</v>
      </c>
    </row>
    <row r="30" spans="1:21" ht="18" customHeight="1" x14ac:dyDescent="0.2">
      <c r="A30" s="83">
        <v>19</v>
      </c>
      <c r="B30" s="70">
        <f>IF($A30&gt;n_new,-999,+'Zero Gas Annual Calibration'!C30)</f>
        <v>-999</v>
      </c>
      <c r="C30" s="84">
        <f>IF($A30&gt;n_new,-999,+'Zero Gas Annual Calibration'!D30)</f>
        <v>-999</v>
      </c>
      <c r="D30" s="70"/>
      <c r="E30" s="70"/>
      <c r="F30" s="71"/>
      <c r="G30" s="72"/>
      <c r="H30" s="72"/>
      <c r="I30" s="73">
        <f>IF(A30&gt;n_new,+I29,+C30-('Zero Gas Annual Calibration'!$K$27+'Zero Gas Annual Calibration'!$K$28*B30))</f>
        <v>-7.6995210420946023</v>
      </c>
      <c r="J30" s="74"/>
      <c r="K30" s="75"/>
      <c r="L30" s="75"/>
      <c r="M30" s="76">
        <f>IF(A30&gt;n_new,M29,+C30-('Zero Gas Annual Calibration'!$U$30+B30*'Zero Gas Annual Calibration'!$U$31+B30^2*'Zero Gas Annual Calibration'!$U$32))</f>
        <v>6.4285694131399396</v>
      </c>
      <c r="N30" s="77"/>
      <c r="O30" s="78"/>
      <c r="P30" s="78"/>
      <c r="Q30" s="79">
        <f>IF(A30&gt;n_new,Q29,+C30-('Zero Gas Annual Calibration'!$AD$30+B30*'Zero Gas Annual Calibration'!$AD$31+B30^2*'Zero Gas Annual Calibration'!$AD$32+B30^3*'Zero Gas Annual Calibration'!$AD$33))</f>
        <v>3.2665960532276586</v>
      </c>
      <c r="R30" s="80"/>
      <c r="S30" s="81"/>
      <c r="T30" s="81"/>
      <c r="U30" s="82">
        <f>IF(A30&gt;n_new,+U29,+C30-('Zero Gas Annual Calibration'!$BI$26+B30*'Zero Gas Annual Calibration'!$BI$27+B30^2*'Zero Gas Annual Calibration'!$BI$28+B30^3*'Zero Gas Annual Calibration'!$BI$29+B30^4*'Zero Gas Annual Calibration'!$BI$30))</f>
        <v>5.2181439968990162E-7</v>
      </c>
    </row>
    <row r="31" spans="1:21" ht="18" customHeight="1" x14ac:dyDescent="0.2">
      <c r="A31" s="83">
        <v>20</v>
      </c>
      <c r="B31" s="70">
        <f>IF($A31&gt;n_new,-999,+'Zero Gas Annual Calibration'!C31)</f>
        <v>-999</v>
      </c>
      <c r="C31" s="84">
        <f>IF($A31&gt;n_new,-999,+'Zero Gas Annual Calibration'!D31)</f>
        <v>-999</v>
      </c>
      <c r="D31" s="70"/>
      <c r="E31" s="70"/>
      <c r="F31" s="71"/>
      <c r="G31" s="72"/>
      <c r="H31" s="72"/>
      <c r="I31" s="73">
        <f>IF(A31&gt;n_new,+I30,+C31-('Zero Gas Annual Calibration'!$K$27+'Zero Gas Annual Calibration'!$K$28*B31))</f>
        <v>-7.6995210420946023</v>
      </c>
      <c r="J31" s="74"/>
      <c r="K31" s="75"/>
      <c r="L31" s="75"/>
      <c r="M31" s="76">
        <f>IF(A31&gt;n_new,M30,+C31-('Zero Gas Annual Calibration'!$U$30+B31*'Zero Gas Annual Calibration'!$U$31+B31^2*'Zero Gas Annual Calibration'!$U$32))</f>
        <v>6.4285694131399396</v>
      </c>
      <c r="N31" s="77"/>
      <c r="O31" s="78"/>
      <c r="P31" s="78"/>
      <c r="Q31" s="79">
        <f>IF(A31&gt;n_new,Q30,+C31-('Zero Gas Annual Calibration'!$AD$30+B31*'Zero Gas Annual Calibration'!$AD$31+B31^2*'Zero Gas Annual Calibration'!$AD$32+B31^3*'Zero Gas Annual Calibration'!$AD$33))</f>
        <v>3.2665960532276586</v>
      </c>
      <c r="R31" s="80"/>
      <c r="S31" s="81"/>
      <c r="T31" s="81"/>
      <c r="U31" s="82">
        <f>IF(A31&gt;n_new,+U30,+C31-('Zero Gas Annual Calibration'!$BI$26+B31*'Zero Gas Annual Calibration'!$BI$27+B31^2*'Zero Gas Annual Calibration'!$BI$28+B31^3*'Zero Gas Annual Calibration'!$BI$29+B31^4*'Zero Gas Annual Calibration'!$BI$30))</f>
        <v>5.2181439968990162E-7</v>
      </c>
    </row>
    <row r="32" spans="1:21" ht="18" customHeight="1" x14ac:dyDescent="0.2">
      <c r="A32" s="83">
        <v>21</v>
      </c>
      <c r="B32" s="70">
        <f>IF($A32&gt;n_new,-999,+'Zero Gas Annual Calibration'!C32)</f>
        <v>-999</v>
      </c>
      <c r="C32" s="84">
        <f>IF($A32&gt;n_new,-999,+'Zero Gas Annual Calibration'!D32)</f>
        <v>-999</v>
      </c>
      <c r="D32" s="70"/>
      <c r="E32" s="70"/>
      <c r="F32" s="71"/>
      <c r="G32" s="72"/>
      <c r="H32" s="72"/>
      <c r="I32" s="73">
        <f>IF(A32&gt;n_new,+I31,+C32-('Zero Gas Annual Calibration'!$K$27+'Zero Gas Annual Calibration'!$K$28*B32))</f>
        <v>-7.6995210420946023</v>
      </c>
      <c r="J32" s="74"/>
      <c r="K32" s="75"/>
      <c r="L32" s="75"/>
      <c r="M32" s="76">
        <f>IF(A32&gt;n_new,M31,+C32-('Zero Gas Annual Calibration'!$U$30+B32*'Zero Gas Annual Calibration'!$U$31+B32^2*'Zero Gas Annual Calibration'!$U$32))</f>
        <v>6.4285694131399396</v>
      </c>
      <c r="N32" s="77"/>
      <c r="O32" s="78"/>
      <c r="P32" s="78"/>
      <c r="Q32" s="79">
        <f>IF(A32&gt;n_new,Q31,+C32-('Zero Gas Annual Calibration'!$AD$30+B32*'Zero Gas Annual Calibration'!$AD$31+B32^2*'Zero Gas Annual Calibration'!$AD$32+B32^3*'Zero Gas Annual Calibration'!$AD$33))</f>
        <v>3.2665960532276586</v>
      </c>
      <c r="R32" s="80"/>
      <c r="S32" s="81"/>
      <c r="T32" s="81"/>
      <c r="U32" s="82">
        <f>IF(A32&gt;n_new,+U31,+C32-('Zero Gas Annual Calibration'!$BI$26+B32*'Zero Gas Annual Calibration'!$BI$27+B32^2*'Zero Gas Annual Calibration'!$BI$28+B32^3*'Zero Gas Annual Calibration'!$BI$29+B32^4*'Zero Gas Annual Calibration'!$BI$30))</f>
        <v>5.2181439968990162E-7</v>
      </c>
    </row>
    <row r="33" spans="1:21" ht="18" customHeight="1" x14ac:dyDescent="0.2">
      <c r="A33" s="83">
        <v>22</v>
      </c>
      <c r="B33" s="70">
        <f>IF($A33&gt;n_new,-999,+'Zero Gas Annual Calibration'!C33)</f>
        <v>-999</v>
      </c>
      <c r="C33" s="84">
        <f>IF($A33&gt;n_new,-999,+'Zero Gas Annual Calibration'!D33)</f>
        <v>-999</v>
      </c>
      <c r="D33" s="70"/>
      <c r="E33" s="70"/>
      <c r="F33" s="71"/>
      <c r="G33" s="72"/>
      <c r="H33" s="72"/>
      <c r="I33" s="73">
        <f>IF(A33&gt;n_new,+I32,+C33-('Zero Gas Annual Calibration'!$K$27+'Zero Gas Annual Calibration'!$K$28*B33))</f>
        <v>-7.6995210420946023</v>
      </c>
      <c r="J33" s="74"/>
      <c r="K33" s="75"/>
      <c r="L33" s="75"/>
      <c r="M33" s="76">
        <f>IF(A33&gt;n_new,M32,+C33-('Zero Gas Annual Calibration'!$U$30+B33*'Zero Gas Annual Calibration'!$U$31+B33^2*'Zero Gas Annual Calibration'!$U$32))</f>
        <v>6.4285694131399396</v>
      </c>
      <c r="N33" s="77"/>
      <c r="O33" s="78"/>
      <c r="P33" s="78"/>
      <c r="Q33" s="79">
        <f>IF(A33&gt;n_new,Q32,+C33-('Zero Gas Annual Calibration'!$AD$30+B33*'Zero Gas Annual Calibration'!$AD$31+B33^2*'Zero Gas Annual Calibration'!$AD$32+B33^3*'Zero Gas Annual Calibration'!$AD$33))</f>
        <v>3.2665960532276586</v>
      </c>
      <c r="R33" s="80"/>
      <c r="S33" s="81"/>
      <c r="T33" s="81"/>
      <c r="U33" s="82">
        <f>IF(A33&gt;n_new,+U32,+C33-('Zero Gas Annual Calibration'!$BI$26+B33*'Zero Gas Annual Calibration'!$BI$27+B33^2*'Zero Gas Annual Calibration'!$BI$28+B33^3*'Zero Gas Annual Calibration'!$BI$29+B33^4*'Zero Gas Annual Calibration'!$BI$30))</f>
        <v>5.2181439968990162E-7</v>
      </c>
    </row>
    <row r="34" spans="1:21" ht="18" customHeight="1" x14ac:dyDescent="0.2">
      <c r="A34" s="83">
        <v>23</v>
      </c>
      <c r="B34" s="70">
        <f>IF($A34&gt;n_new,-999,+'Zero Gas Annual Calibration'!C34)</f>
        <v>-999</v>
      </c>
      <c r="C34" s="84">
        <f>IF($A34&gt;n_new,-999,+'Zero Gas Annual Calibration'!D34)</f>
        <v>-999</v>
      </c>
      <c r="D34" s="70"/>
      <c r="E34" s="70"/>
      <c r="F34" s="71"/>
      <c r="G34" s="72"/>
      <c r="H34" s="72"/>
      <c r="I34" s="73">
        <f>IF(A34&gt;n_new,+I33,+C34-('Zero Gas Annual Calibration'!$K$27+'Zero Gas Annual Calibration'!$K$28*B34))</f>
        <v>-7.6995210420946023</v>
      </c>
      <c r="J34" s="74"/>
      <c r="K34" s="75"/>
      <c r="L34" s="75"/>
      <c r="M34" s="76">
        <f>IF(A34&gt;n_new,M33,+C34-('Zero Gas Annual Calibration'!$U$30+B34*'Zero Gas Annual Calibration'!$U$31+B34^2*'Zero Gas Annual Calibration'!$U$32))</f>
        <v>6.4285694131399396</v>
      </c>
      <c r="N34" s="77"/>
      <c r="O34" s="78"/>
      <c r="P34" s="78"/>
      <c r="Q34" s="79">
        <f>IF(A34&gt;n_new,Q33,+C34-('Zero Gas Annual Calibration'!$AD$30+B34*'Zero Gas Annual Calibration'!$AD$31+B34^2*'Zero Gas Annual Calibration'!$AD$32+B34^3*'Zero Gas Annual Calibration'!$AD$33))</f>
        <v>3.2665960532276586</v>
      </c>
      <c r="R34" s="80"/>
      <c r="S34" s="81"/>
      <c r="T34" s="81"/>
      <c r="U34" s="82">
        <f>IF(A34&gt;n_new,+U33,+C34-('Zero Gas Annual Calibration'!$BI$26+B34*'Zero Gas Annual Calibration'!$BI$27+B34^2*'Zero Gas Annual Calibration'!$BI$28+B34^3*'Zero Gas Annual Calibration'!$BI$29+B34^4*'Zero Gas Annual Calibration'!$BI$30))</f>
        <v>5.2181439968990162E-7</v>
      </c>
    </row>
    <row r="35" spans="1:21" ht="18" customHeight="1" x14ac:dyDescent="0.2">
      <c r="A35" s="83">
        <v>24</v>
      </c>
      <c r="B35" s="70">
        <f>IF($A35&gt;n_new,-999,+'Zero Gas Annual Calibration'!C35)</f>
        <v>-999</v>
      </c>
      <c r="C35" s="84">
        <f>IF($A35&gt;n_new,-999,+'Zero Gas Annual Calibration'!D35)</f>
        <v>-999</v>
      </c>
      <c r="D35" s="70"/>
      <c r="E35" s="70"/>
      <c r="F35" s="71"/>
      <c r="G35" s="72"/>
      <c r="H35" s="72"/>
      <c r="I35" s="73">
        <f>IF(A35&gt;n_new,+I34,+C35-('Zero Gas Annual Calibration'!$K$27+'Zero Gas Annual Calibration'!$K$28*B35))</f>
        <v>-7.6995210420946023</v>
      </c>
      <c r="J35" s="74"/>
      <c r="K35" s="75"/>
      <c r="L35" s="75"/>
      <c r="M35" s="76">
        <f>IF(A35&gt;n_new,M34,+C35-('Zero Gas Annual Calibration'!$U$30+B35*'Zero Gas Annual Calibration'!$U$31+B35^2*'Zero Gas Annual Calibration'!$U$32))</f>
        <v>6.4285694131399396</v>
      </c>
      <c r="N35" s="77"/>
      <c r="O35" s="78"/>
      <c r="P35" s="78"/>
      <c r="Q35" s="79">
        <f>IF(A35&gt;n_new,Q34,+C35-('Zero Gas Annual Calibration'!$AD$30+B35*'Zero Gas Annual Calibration'!$AD$31+B35^2*'Zero Gas Annual Calibration'!$AD$32+B35^3*'Zero Gas Annual Calibration'!$AD$33))</f>
        <v>3.2665960532276586</v>
      </c>
      <c r="R35" s="80"/>
      <c r="S35" s="81"/>
      <c r="T35" s="81"/>
      <c r="U35" s="82">
        <f>IF(A35&gt;n_new,+U34,+C35-('Zero Gas Annual Calibration'!$BI$26+B35*'Zero Gas Annual Calibration'!$BI$27+B35^2*'Zero Gas Annual Calibration'!$BI$28+B35^3*'Zero Gas Annual Calibration'!$BI$29+B35^4*'Zero Gas Annual Calibration'!$BI$30))</f>
        <v>5.2181439968990162E-7</v>
      </c>
    </row>
    <row r="36" spans="1:21" ht="18" customHeight="1" x14ac:dyDescent="0.2">
      <c r="A36" s="83">
        <v>25</v>
      </c>
      <c r="B36" s="70">
        <f>IF($A36&gt;n_new,-999,+'Zero Gas Annual Calibration'!C36)</f>
        <v>-999</v>
      </c>
      <c r="C36" s="84">
        <f>IF($A36&gt;n_new,-999,+'Zero Gas Annual Calibration'!D36)</f>
        <v>-999</v>
      </c>
      <c r="D36" s="70"/>
      <c r="E36" s="70"/>
      <c r="F36" s="71"/>
      <c r="G36" s="72"/>
      <c r="H36" s="72"/>
      <c r="I36" s="73">
        <f>IF(A36&gt;n_new,+I35,+C36-('Zero Gas Annual Calibration'!$K$27+'Zero Gas Annual Calibration'!$K$28*B36))</f>
        <v>-7.6995210420946023</v>
      </c>
      <c r="J36" s="74"/>
      <c r="K36" s="75"/>
      <c r="L36" s="75"/>
      <c r="M36" s="76">
        <f>IF(A36&gt;n_new,M35,+C36-('Zero Gas Annual Calibration'!$U$30+B36*'Zero Gas Annual Calibration'!$U$31+B36^2*'Zero Gas Annual Calibration'!$U$32))</f>
        <v>6.4285694131399396</v>
      </c>
      <c r="N36" s="77"/>
      <c r="O36" s="78"/>
      <c r="P36" s="78"/>
      <c r="Q36" s="79">
        <f>IF(A36&gt;n_new,Q35,+C36-('Zero Gas Annual Calibration'!$AD$30+B36*'Zero Gas Annual Calibration'!$AD$31+B36^2*'Zero Gas Annual Calibration'!$AD$32+B36^3*'Zero Gas Annual Calibration'!$AD$33))</f>
        <v>3.2665960532276586</v>
      </c>
      <c r="R36" s="80"/>
      <c r="S36" s="81"/>
      <c r="T36" s="81"/>
      <c r="U36" s="82">
        <f>IF(A36&gt;n_new,+U35,+C36-('Zero Gas Annual Calibration'!$BI$26+B36*'Zero Gas Annual Calibration'!$BI$27+B36^2*'Zero Gas Annual Calibration'!$BI$28+B36^3*'Zero Gas Annual Calibration'!$BI$29+B36^4*'Zero Gas Annual Calibration'!$BI$30))</f>
        <v>5.2181439968990162E-7</v>
      </c>
    </row>
    <row r="37" spans="1:21" ht="18" customHeight="1" x14ac:dyDescent="0.2">
      <c r="A37" s="83">
        <v>26</v>
      </c>
      <c r="B37" s="70">
        <f>IF($A37&gt;n_new,-999,+'Zero Gas Annual Calibration'!C37)</f>
        <v>-999</v>
      </c>
      <c r="C37" s="84">
        <f>IF($A37&gt;n_new,-999,+'Zero Gas Annual Calibration'!D37)</f>
        <v>-999</v>
      </c>
      <c r="D37" s="70"/>
      <c r="E37" s="70"/>
      <c r="F37" s="71"/>
      <c r="G37" s="72"/>
      <c r="H37" s="72"/>
      <c r="I37" s="73">
        <f>IF(A37&gt;n_new,+I36,+C37-('Zero Gas Annual Calibration'!$K$27+'Zero Gas Annual Calibration'!$K$28*B37))</f>
        <v>-7.6995210420946023</v>
      </c>
      <c r="J37" s="74"/>
      <c r="K37" s="75"/>
      <c r="L37" s="75"/>
      <c r="M37" s="76">
        <f>IF(A37&gt;n_new,M36,+C37-('Zero Gas Annual Calibration'!$U$30+B37*'Zero Gas Annual Calibration'!$U$31+B37^2*'Zero Gas Annual Calibration'!$U$32))</f>
        <v>6.4285694131399396</v>
      </c>
      <c r="N37" s="77"/>
      <c r="O37" s="78"/>
      <c r="P37" s="78"/>
      <c r="Q37" s="79">
        <f>IF(A37&gt;n_new,Q36,+C37-('Zero Gas Annual Calibration'!$AD$30+B37*'Zero Gas Annual Calibration'!$AD$31+B37^2*'Zero Gas Annual Calibration'!$AD$32+B37^3*'Zero Gas Annual Calibration'!$AD$33))</f>
        <v>3.2665960532276586</v>
      </c>
      <c r="R37" s="80"/>
      <c r="S37" s="81"/>
      <c r="T37" s="81"/>
      <c r="U37" s="82">
        <f>IF(A37&gt;n_new,+U36,+C37-('Zero Gas Annual Calibration'!$BI$26+B37*'Zero Gas Annual Calibration'!$BI$27+B37^2*'Zero Gas Annual Calibration'!$BI$28+B37^3*'Zero Gas Annual Calibration'!$BI$29+B37^4*'Zero Gas Annual Calibration'!$BI$30))</f>
        <v>5.2181439968990162E-7</v>
      </c>
    </row>
    <row r="38" spans="1:21" ht="18" customHeight="1" x14ac:dyDescent="0.2">
      <c r="A38" s="83">
        <v>27</v>
      </c>
      <c r="B38" s="70">
        <f>IF($A38&gt;n_new,-999,+'Zero Gas Annual Calibration'!C38)</f>
        <v>-999</v>
      </c>
      <c r="C38" s="84">
        <f>IF($A38&gt;n_new,-999,+'Zero Gas Annual Calibration'!D38)</f>
        <v>-999</v>
      </c>
      <c r="D38" s="70"/>
      <c r="E38" s="70"/>
      <c r="F38" s="71"/>
      <c r="G38" s="72"/>
      <c r="H38" s="72"/>
      <c r="I38" s="73">
        <f>IF(A38&gt;n_new,+I37,+C38-('Zero Gas Annual Calibration'!$K$27+'Zero Gas Annual Calibration'!$K$28*B38))</f>
        <v>-7.6995210420946023</v>
      </c>
      <c r="J38" s="74"/>
      <c r="K38" s="75"/>
      <c r="L38" s="75"/>
      <c r="M38" s="76">
        <f>IF(A38&gt;n_new,M37,+C38-('Zero Gas Annual Calibration'!$U$30+B38*'Zero Gas Annual Calibration'!$U$31+B38^2*'Zero Gas Annual Calibration'!$U$32))</f>
        <v>6.4285694131399396</v>
      </c>
      <c r="N38" s="77"/>
      <c r="O38" s="78"/>
      <c r="P38" s="78"/>
      <c r="Q38" s="79">
        <f>IF(A38&gt;n_new,Q37,+C38-('Zero Gas Annual Calibration'!$AD$30+B38*'Zero Gas Annual Calibration'!$AD$31+B38^2*'Zero Gas Annual Calibration'!$AD$32+B38^3*'Zero Gas Annual Calibration'!$AD$33))</f>
        <v>3.2665960532276586</v>
      </c>
      <c r="R38" s="80"/>
      <c r="S38" s="81"/>
      <c r="T38" s="81"/>
      <c r="U38" s="82">
        <f>IF(A38&gt;n_new,+U37,+C38-('Zero Gas Annual Calibration'!$BI$26+B38*'Zero Gas Annual Calibration'!$BI$27+B38^2*'Zero Gas Annual Calibration'!$BI$28+B38^3*'Zero Gas Annual Calibration'!$BI$29+B38^4*'Zero Gas Annual Calibration'!$BI$30))</f>
        <v>5.2181439968990162E-7</v>
      </c>
    </row>
    <row r="39" spans="1:21" ht="18" customHeight="1" x14ac:dyDescent="0.2">
      <c r="A39" s="83">
        <v>28</v>
      </c>
      <c r="B39" s="70">
        <f>IF($A39&gt;n_new,-999,+'Zero Gas Annual Calibration'!C39)</f>
        <v>-999</v>
      </c>
      <c r="C39" s="84">
        <f>IF($A39&gt;n_new,-999,+'Zero Gas Annual Calibration'!D39)</f>
        <v>-999</v>
      </c>
      <c r="D39" s="70"/>
      <c r="E39" s="70"/>
      <c r="F39" s="71"/>
      <c r="G39" s="72"/>
      <c r="H39" s="72"/>
      <c r="I39" s="73">
        <f>IF(A39&gt;n_new,+I38,+C39-('Zero Gas Annual Calibration'!$K$27+'Zero Gas Annual Calibration'!$K$28*B39))</f>
        <v>-7.6995210420946023</v>
      </c>
      <c r="J39" s="74"/>
      <c r="K39" s="75"/>
      <c r="L39" s="75"/>
      <c r="M39" s="76">
        <f>IF(A39&gt;n_new,M38,+C39-('Zero Gas Annual Calibration'!$U$30+B39*'Zero Gas Annual Calibration'!$U$31+B39^2*'Zero Gas Annual Calibration'!$U$32))</f>
        <v>6.4285694131399396</v>
      </c>
      <c r="N39" s="77"/>
      <c r="O39" s="78"/>
      <c r="P39" s="78"/>
      <c r="Q39" s="79">
        <f>IF(A39&gt;n_new,Q38,+C39-('Zero Gas Annual Calibration'!$AD$30+B39*'Zero Gas Annual Calibration'!$AD$31+B39^2*'Zero Gas Annual Calibration'!$AD$32+B39^3*'Zero Gas Annual Calibration'!$AD$33))</f>
        <v>3.2665960532276586</v>
      </c>
      <c r="R39" s="80"/>
      <c r="S39" s="81"/>
      <c r="T39" s="81"/>
      <c r="U39" s="82">
        <f>IF(A39&gt;n_new,+U38,+C39-('Zero Gas Annual Calibration'!$BI$26+B39*'Zero Gas Annual Calibration'!$BI$27+B39^2*'Zero Gas Annual Calibration'!$BI$28+B39^3*'Zero Gas Annual Calibration'!$BI$29+B39^4*'Zero Gas Annual Calibration'!$BI$30))</f>
        <v>5.2181439968990162E-7</v>
      </c>
    </row>
    <row r="40" spans="1:21" ht="18" customHeight="1" x14ac:dyDescent="0.2">
      <c r="A40" s="83">
        <v>29</v>
      </c>
      <c r="B40" s="70">
        <f>IF($A40&gt;n_new,-999,+'Zero Gas Annual Calibration'!C40)</f>
        <v>-999</v>
      </c>
      <c r="C40" s="84">
        <f>IF($A40&gt;n_new,-999,+'Zero Gas Annual Calibration'!D40)</f>
        <v>-999</v>
      </c>
      <c r="D40" s="70"/>
      <c r="E40" s="70"/>
      <c r="F40" s="71"/>
      <c r="G40" s="72"/>
      <c r="H40" s="72"/>
      <c r="I40" s="73">
        <f>IF(A40&gt;n_new,+I39,+C40-('Zero Gas Annual Calibration'!$K$27+'Zero Gas Annual Calibration'!$K$28*B40))</f>
        <v>-7.6995210420946023</v>
      </c>
      <c r="J40" s="74"/>
      <c r="K40" s="75"/>
      <c r="L40" s="75"/>
      <c r="M40" s="76">
        <f>IF(A40&gt;n_new,M39,+C40-('Zero Gas Annual Calibration'!$U$30+B40*'Zero Gas Annual Calibration'!$U$31+B40^2*'Zero Gas Annual Calibration'!$U$32))</f>
        <v>6.4285694131399396</v>
      </c>
      <c r="N40" s="77"/>
      <c r="O40" s="78"/>
      <c r="P40" s="78"/>
      <c r="Q40" s="79">
        <f>IF(A40&gt;n_new,Q39,+C40-('Zero Gas Annual Calibration'!$AD$30+B40*'Zero Gas Annual Calibration'!$AD$31+B40^2*'Zero Gas Annual Calibration'!$AD$32+B40^3*'Zero Gas Annual Calibration'!$AD$33))</f>
        <v>3.2665960532276586</v>
      </c>
      <c r="R40" s="80"/>
      <c r="S40" s="81"/>
      <c r="T40" s="81"/>
      <c r="U40" s="82">
        <f>IF(A40&gt;n_new,+U39,+C40-('Zero Gas Annual Calibration'!$BI$26+B40*'Zero Gas Annual Calibration'!$BI$27+B40^2*'Zero Gas Annual Calibration'!$BI$28+B40^3*'Zero Gas Annual Calibration'!$BI$29+B40^4*'Zero Gas Annual Calibration'!$BI$30))</f>
        <v>5.2181439968990162E-7</v>
      </c>
    </row>
    <row r="41" spans="1:21" ht="18" customHeight="1" x14ac:dyDescent="0.2">
      <c r="A41" s="83">
        <v>30</v>
      </c>
      <c r="B41" s="70">
        <f>IF($A41&gt;n_new,-999,+'Zero Gas Annual Calibration'!C41)</f>
        <v>-999</v>
      </c>
      <c r="C41" s="84">
        <f>IF($A41&gt;n_new,-999,+'Zero Gas Annual Calibration'!D41)</f>
        <v>-999</v>
      </c>
      <c r="D41" s="70"/>
      <c r="E41" s="70"/>
      <c r="F41" s="71"/>
      <c r="G41" s="72"/>
      <c r="H41" s="72"/>
      <c r="I41" s="73">
        <f>IF(A41&gt;n_new,+I40,+C41-('Zero Gas Annual Calibration'!$K$27+'Zero Gas Annual Calibration'!$K$28*B41))</f>
        <v>-7.6995210420946023</v>
      </c>
      <c r="J41" s="74"/>
      <c r="K41" s="75"/>
      <c r="L41" s="75"/>
      <c r="M41" s="76">
        <f>IF(A41&gt;n_new,M40,+C41-('Zero Gas Annual Calibration'!$U$30+B41*'Zero Gas Annual Calibration'!$U$31+B41^2*'Zero Gas Annual Calibration'!$U$32))</f>
        <v>6.4285694131399396</v>
      </c>
      <c r="N41" s="77"/>
      <c r="O41" s="78"/>
      <c r="P41" s="78"/>
      <c r="Q41" s="79">
        <f>IF(A41&gt;n_new,Q40,+C41-('Zero Gas Annual Calibration'!$AD$30+B41*'Zero Gas Annual Calibration'!$AD$31+B41^2*'Zero Gas Annual Calibration'!$AD$32+B41^3*'Zero Gas Annual Calibration'!$AD$33))</f>
        <v>3.2665960532276586</v>
      </c>
      <c r="R41" s="80"/>
      <c r="S41" s="81"/>
      <c r="T41" s="81"/>
      <c r="U41" s="82">
        <f>IF(A41&gt;n_new,+U40,+C41-('Zero Gas Annual Calibration'!$BI$26+B41*'Zero Gas Annual Calibration'!$BI$27+B41^2*'Zero Gas Annual Calibration'!$BI$28+B41^3*'Zero Gas Annual Calibration'!$BI$29+B41^4*'Zero Gas Annual Calibration'!$BI$30))</f>
        <v>5.2181439968990162E-7</v>
      </c>
    </row>
    <row r="42" spans="1:21" ht="18" customHeight="1" x14ac:dyDescent="0.2">
      <c r="A42" s="83">
        <v>31</v>
      </c>
      <c r="B42" s="70">
        <f>IF($A42&gt;n_new,-999,+'Zero Gas Annual Calibration'!C42)</f>
        <v>-999</v>
      </c>
      <c r="C42" s="84">
        <f>IF($A42&gt;n_new,-999,+'Zero Gas Annual Calibration'!D42)</f>
        <v>-999</v>
      </c>
      <c r="D42" s="70"/>
      <c r="E42" s="70"/>
      <c r="F42" s="71"/>
      <c r="G42" s="72"/>
      <c r="H42" s="72"/>
      <c r="I42" s="73">
        <f>IF(A42&gt;n_new,+I41,+C42-('Zero Gas Annual Calibration'!$K$27+'Zero Gas Annual Calibration'!$K$28*B42))</f>
        <v>-7.6995210420946023</v>
      </c>
      <c r="J42" s="74"/>
      <c r="K42" s="75"/>
      <c r="L42" s="75"/>
      <c r="M42" s="76">
        <f>IF(A42&gt;n_new,M41,+C42-('Zero Gas Annual Calibration'!$U$30+B42*'Zero Gas Annual Calibration'!$U$31+B42^2*'Zero Gas Annual Calibration'!$U$32))</f>
        <v>6.4285694131399396</v>
      </c>
      <c r="N42" s="77"/>
      <c r="O42" s="78"/>
      <c r="P42" s="78"/>
      <c r="Q42" s="79">
        <f>IF(A42&gt;n_new,Q41,+C42-('Zero Gas Annual Calibration'!$AD$30+B42*'Zero Gas Annual Calibration'!$AD$31+B42^2*'Zero Gas Annual Calibration'!$AD$32+B42^3*'Zero Gas Annual Calibration'!$AD$33))</f>
        <v>3.2665960532276586</v>
      </c>
      <c r="R42" s="80"/>
      <c r="S42" s="81"/>
      <c r="T42" s="81"/>
      <c r="U42" s="82">
        <f>IF(A42&gt;n_new,+U41,+C42-('Zero Gas Annual Calibration'!$BI$26+B42*'Zero Gas Annual Calibration'!$BI$27+B42^2*'Zero Gas Annual Calibration'!$BI$28+B42^3*'Zero Gas Annual Calibration'!$BI$29+B42^4*'Zero Gas Annual Calibration'!$BI$30))</f>
        <v>5.2181439968990162E-7</v>
      </c>
    </row>
    <row r="43" spans="1:21" ht="18" customHeight="1" x14ac:dyDescent="0.2">
      <c r="A43" s="83">
        <v>32</v>
      </c>
      <c r="B43" s="70">
        <f>IF($A43&gt;n_new,-999,+'Zero Gas Annual Calibration'!C43)</f>
        <v>-999</v>
      </c>
      <c r="C43" s="84">
        <f>IF($A43&gt;n_new,-999,+'Zero Gas Annual Calibration'!D43)</f>
        <v>-999</v>
      </c>
      <c r="D43" s="70"/>
      <c r="E43" s="70"/>
      <c r="F43" s="71"/>
      <c r="G43" s="72"/>
      <c r="H43" s="72"/>
      <c r="I43" s="73">
        <f>IF(A43&gt;n_new,+I42,+C43-('Zero Gas Annual Calibration'!$K$27+'Zero Gas Annual Calibration'!$K$28*B43))</f>
        <v>-7.6995210420946023</v>
      </c>
      <c r="J43" s="74"/>
      <c r="K43" s="75"/>
      <c r="L43" s="75"/>
      <c r="M43" s="76">
        <f>IF(A43&gt;n_new,M42,+C43-('Zero Gas Annual Calibration'!$U$30+B43*'Zero Gas Annual Calibration'!$U$31+B43^2*'Zero Gas Annual Calibration'!$U$32))</f>
        <v>6.4285694131399396</v>
      </c>
      <c r="N43" s="77"/>
      <c r="O43" s="78"/>
      <c r="P43" s="78"/>
      <c r="Q43" s="79">
        <f>IF(A43&gt;n_new,Q42,+C43-('Zero Gas Annual Calibration'!$AD$30+B43*'Zero Gas Annual Calibration'!$AD$31+B43^2*'Zero Gas Annual Calibration'!$AD$32+B43^3*'Zero Gas Annual Calibration'!$AD$33))</f>
        <v>3.2665960532276586</v>
      </c>
      <c r="R43" s="80"/>
      <c r="S43" s="81"/>
      <c r="T43" s="81"/>
      <c r="U43" s="82">
        <f>IF(A43&gt;n_new,+U42,+C43-('Zero Gas Annual Calibration'!$BI$26+B43*'Zero Gas Annual Calibration'!$BI$27+B43^2*'Zero Gas Annual Calibration'!$BI$28+B43^3*'Zero Gas Annual Calibration'!$BI$29+B43^4*'Zero Gas Annual Calibration'!$BI$30))</f>
        <v>5.2181439968990162E-7</v>
      </c>
    </row>
    <row r="44" spans="1:21" ht="18" customHeight="1" x14ac:dyDescent="0.2">
      <c r="A44" s="83">
        <v>33</v>
      </c>
      <c r="B44" s="70">
        <f>IF($A44&gt;n_new,-999,+'Zero Gas Annual Calibration'!C44)</f>
        <v>-999</v>
      </c>
      <c r="C44" s="84">
        <f>IF($A44&gt;n_new,-999,+'Zero Gas Annual Calibration'!D44)</f>
        <v>-999</v>
      </c>
      <c r="D44" s="70"/>
      <c r="E44" s="70"/>
      <c r="F44" s="71"/>
      <c r="G44" s="72"/>
      <c r="H44" s="72"/>
      <c r="I44" s="73">
        <f>IF(A44&gt;n_new,+I43,+C44-('Zero Gas Annual Calibration'!$K$27+'Zero Gas Annual Calibration'!$K$28*B44))</f>
        <v>-7.6995210420946023</v>
      </c>
      <c r="J44" s="74"/>
      <c r="K44" s="75"/>
      <c r="L44" s="75"/>
      <c r="M44" s="76">
        <f>IF(A44&gt;n_new,M43,+C44-('Zero Gas Annual Calibration'!$U$30+B44*'Zero Gas Annual Calibration'!$U$31+B44^2*'Zero Gas Annual Calibration'!$U$32))</f>
        <v>6.4285694131399396</v>
      </c>
      <c r="N44" s="77"/>
      <c r="O44" s="78"/>
      <c r="P44" s="78"/>
      <c r="Q44" s="79">
        <f>IF(A44&gt;n_new,Q43,+C44-('Zero Gas Annual Calibration'!$AD$30+B44*'Zero Gas Annual Calibration'!$AD$31+B44^2*'Zero Gas Annual Calibration'!$AD$32+B44^3*'Zero Gas Annual Calibration'!$AD$33))</f>
        <v>3.2665960532276586</v>
      </c>
      <c r="R44" s="80"/>
      <c r="S44" s="81"/>
      <c r="T44" s="81"/>
      <c r="U44" s="82">
        <f>IF(A44&gt;n_new,+U43,+C44-('Zero Gas Annual Calibration'!$BI$26+B44*'Zero Gas Annual Calibration'!$BI$27+B44^2*'Zero Gas Annual Calibration'!$BI$28+B44^3*'Zero Gas Annual Calibration'!$BI$29+B44^4*'Zero Gas Annual Calibration'!$BI$30))</f>
        <v>5.2181439968990162E-7</v>
      </c>
    </row>
    <row r="45" spans="1:21" ht="18" customHeight="1" x14ac:dyDescent="0.2">
      <c r="A45" s="83">
        <v>34</v>
      </c>
      <c r="B45" s="70">
        <f>IF($A45&gt;n_new,-999,+'Zero Gas Annual Calibration'!C45)</f>
        <v>-999</v>
      </c>
      <c r="C45" s="84">
        <f>IF($A45&gt;n_new,-999,+'Zero Gas Annual Calibration'!D45)</f>
        <v>-999</v>
      </c>
      <c r="D45" s="70"/>
      <c r="E45" s="70"/>
      <c r="F45" s="71"/>
      <c r="G45" s="72"/>
      <c r="H45" s="72"/>
      <c r="I45" s="73">
        <f>IF(A45&gt;n_new,+I44,+C45-('Zero Gas Annual Calibration'!$K$27+'Zero Gas Annual Calibration'!$K$28*B45))</f>
        <v>-7.6995210420946023</v>
      </c>
      <c r="J45" s="74"/>
      <c r="K45" s="75"/>
      <c r="L45" s="75"/>
      <c r="M45" s="76">
        <f>IF(A45&gt;n_new,M44,+C45-('Zero Gas Annual Calibration'!$U$30+B45*'Zero Gas Annual Calibration'!$U$31+B45^2*'Zero Gas Annual Calibration'!$U$32))</f>
        <v>6.4285694131399396</v>
      </c>
      <c r="N45" s="77"/>
      <c r="O45" s="78"/>
      <c r="P45" s="78"/>
      <c r="Q45" s="79">
        <f>IF(A45&gt;n_new,Q44,+C45-('Zero Gas Annual Calibration'!$AD$30+B45*'Zero Gas Annual Calibration'!$AD$31+B45^2*'Zero Gas Annual Calibration'!$AD$32+B45^3*'Zero Gas Annual Calibration'!$AD$33))</f>
        <v>3.2665960532276586</v>
      </c>
      <c r="R45" s="80"/>
      <c r="S45" s="81"/>
      <c r="T45" s="81"/>
      <c r="U45" s="82">
        <f>IF(A45&gt;n_new,+U44,+C45-('Zero Gas Annual Calibration'!$BI$26+B45*'Zero Gas Annual Calibration'!$BI$27+B45^2*'Zero Gas Annual Calibration'!$BI$28+B45^3*'Zero Gas Annual Calibration'!$BI$29+B45^4*'Zero Gas Annual Calibration'!$BI$30))</f>
        <v>5.2181439968990162E-7</v>
      </c>
    </row>
    <row r="46" spans="1:21" ht="18" customHeight="1" x14ac:dyDescent="0.2">
      <c r="A46" s="83">
        <v>35</v>
      </c>
      <c r="B46" s="70">
        <f>IF($A46&gt;n_new,-999,+'Zero Gas Annual Calibration'!C46)</f>
        <v>-999</v>
      </c>
      <c r="C46" s="84">
        <f>IF($A46&gt;n_new,-999,+'Zero Gas Annual Calibration'!D46)</f>
        <v>-999</v>
      </c>
      <c r="D46" s="70"/>
      <c r="E46" s="70"/>
      <c r="F46" s="71"/>
      <c r="G46" s="72"/>
      <c r="H46" s="72"/>
      <c r="I46" s="73">
        <f>IF(A46&gt;n_new,+I45,+C46-('Zero Gas Annual Calibration'!$K$27+'Zero Gas Annual Calibration'!$K$28*B46))</f>
        <v>-7.6995210420946023</v>
      </c>
      <c r="J46" s="74"/>
      <c r="K46" s="75"/>
      <c r="L46" s="75"/>
      <c r="M46" s="76">
        <f>IF(A46&gt;n_new,M45,+C46-('Zero Gas Annual Calibration'!$U$30+B46*'Zero Gas Annual Calibration'!$U$31+B46^2*'Zero Gas Annual Calibration'!$U$32))</f>
        <v>6.4285694131399396</v>
      </c>
      <c r="N46" s="77"/>
      <c r="O46" s="78"/>
      <c r="P46" s="78"/>
      <c r="Q46" s="79">
        <f>IF(A46&gt;n_new,Q45,+C46-('Zero Gas Annual Calibration'!$AD$30+B46*'Zero Gas Annual Calibration'!$AD$31+B46^2*'Zero Gas Annual Calibration'!$AD$32+B46^3*'Zero Gas Annual Calibration'!$AD$33))</f>
        <v>3.2665960532276586</v>
      </c>
      <c r="R46" s="80"/>
      <c r="S46" s="81"/>
      <c r="T46" s="81"/>
      <c r="U46" s="82">
        <f>IF(A46&gt;n_new,+U45,+C46-('Zero Gas Annual Calibration'!$BI$26+B46*'Zero Gas Annual Calibration'!$BI$27+B46^2*'Zero Gas Annual Calibration'!$BI$28+B46^3*'Zero Gas Annual Calibration'!$BI$29+B46^4*'Zero Gas Annual Calibration'!$BI$30))</f>
        <v>5.2181439968990162E-7</v>
      </c>
    </row>
    <row r="47" spans="1:21" ht="18" customHeight="1" x14ac:dyDescent="0.2">
      <c r="A47" s="83">
        <v>36</v>
      </c>
      <c r="B47" s="70">
        <f>IF($A47&gt;n_new,-999,+'Zero Gas Annual Calibration'!C47)</f>
        <v>-999</v>
      </c>
      <c r="C47" s="84">
        <f>IF($A47&gt;n_new,-999,+'Zero Gas Annual Calibration'!D47)</f>
        <v>-999</v>
      </c>
      <c r="D47" s="70"/>
      <c r="E47" s="70"/>
      <c r="F47" s="71"/>
      <c r="G47" s="72"/>
      <c r="H47" s="72"/>
      <c r="I47" s="73">
        <f>IF(A47&gt;n_new,+I46,+C47-('Zero Gas Annual Calibration'!$K$27+'Zero Gas Annual Calibration'!$K$28*B47))</f>
        <v>-7.6995210420946023</v>
      </c>
      <c r="J47" s="74"/>
      <c r="K47" s="75"/>
      <c r="L47" s="75"/>
      <c r="M47" s="76">
        <f>IF(A47&gt;n_new,M46,+C47-('Zero Gas Annual Calibration'!$U$30+B47*'Zero Gas Annual Calibration'!$U$31+B47^2*'Zero Gas Annual Calibration'!$U$32))</f>
        <v>6.4285694131399396</v>
      </c>
      <c r="N47" s="77"/>
      <c r="O47" s="78"/>
      <c r="P47" s="78"/>
      <c r="Q47" s="79">
        <f>IF(A47&gt;n_new,Q46,+C47-('Zero Gas Annual Calibration'!$AD$30+B47*'Zero Gas Annual Calibration'!$AD$31+B47^2*'Zero Gas Annual Calibration'!$AD$32+B47^3*'Zero Gas Annual Calibration'!$AD$33))</f>
        <v>3.2665960532276586</v>
      </c>
      <c r="R47" s="80"/>
      <c r="S47" s="81"/>
      <c r="T47" s="81"/>
      <c r="U47" s="82">
        <f>IF(A47&gt;n_new,+U46,+C47-('Zero Gas Annual Calibration'!$BI$26+B47*'Zero Gas Annual Calibration'!$BI$27+B47^2*'Zero Gas Annual Calibration'!$BI$28+B47^3*'Zero Gas Annual Calibration'!$BI$29+B47^4*'Zero Gas Annual Calibration'!$BI$30))</f>
        <v>5.2181439968990162E-7</v>
      </c>
    </row>
    <row r="48" spans="1:21" ht="18" customHeight="1" x14ac:dyDescent="0.2">
      <c r="A48" s="83">
        <v>37</v>
      </c>
      <c r="B48" s="70">
        <f>IF($A48&gt;n_new,-999,+'Zero Gas Annual Calibration'!C48)</f>
        <v>-999</v>
      </c>
      <c r="C48" s="84">
        <f>IF($A48&gt;n_new,-999,+'Zero Gas Annual Calibration'!D48)</f>
        <v>-999</v>
      </c>
      <c r="D48" s="70"/>
      <c r="E48" s="70"/>
      <c r="F48" s="71"/>
      <c r="G48" s="72"/>
      <c r="H48" s="72"/>
      <c r="I48" s="73">
        <f>IF(A48&gt;n_new,+I47,+C48-('Zero Gas Annual Calibration'!$K$27+'Zero Gas Annual Calibration'!$K$28*B48))</f>
        <v>-7.6995210420946023</v>
      </c>
      <c r="J48" s="74"/>
      <c r="K48" s="75"/>
      <c r="L48" s="75"/>
      <c r="M48" s="76">
        <f>IF(A48&gt;n_new,M47,+C48-('Zero Gas Annual Calibration'!$U$30+B48*'Zero Gas Annual Calibration'!$U$31+B48^2*'Zero Gas Annual Calibration'!$U$32))</f>
        <v>6.4285694131399396</v>
      </c>
      <c r="N48" s="77"/>
      <c r="O48" s="78"/>
      <c r="P48" s="78"/>
      <c r="Q48" s="79">
        <f>IF(A48&gt;n_new,Q47,+C48-('Zero Gas Annual Calibration'!$AD$30+B48*'Zero Gas Annual Calibration'!$AD$31+B48^2*'Zero Gas Annual Calibration'!$AD$32+B48^3*'Zero Gas Annual Calibration'!$AD$33))</f>
        <v>3.2665960532276586</v>
      </c>
      <c r="R48" s="80"/>
      <c r="S48" s="81"/>
      <c r="T48" s="81"/>
      <c r="U48" s="82">
        <f>IF(A48&gt;n_new,+U47,+C48-('Zero Gas Annual Calibration'!$BI$26+B48*'Zero Gas Annual Calibration'!$BI$27+B48^2*'Zero Gas Annual Calibration'!$BI$28+B48^3*'Zero Gas Annual Calibration'!$BI$29+B48^4*'Zero Gas Annual Calibration'!$BI$30))</f>
        <v>5.2181439968990162E-7</v>
      </c>
    </row>
    <row r="49" spans="1:35" ht="18" customHeight="1" x14ac:dyDescent="0.2">
      <c r="A49" s="83">
        <v>38</v>
      </c>
      <c r="B49" s="70">
        <f>IF($A49&gt;n_new,-999,+'Zero Gas Annual Calibration'!C49)</f>
        <v>-999</v>
      </c>
      <c r="C49" s="84">
        <f>IF($A49&gt;n_new,-999,+'Zero Gas Annual Calibration'!D49)</f>
        <v>-999</v>
      </c>
      <c r="D49" s="70"/>
      <c r="E49" s="70"/>
      <c r="F49" s="71"/>
      <c r="G49" s="72"/>
      <c r="H49" s="72"/>
      <c r="I49" s="73">
        <f>IF(A49&gt;n_new,+I48,+C49-('Zero Gas Annual Calibration'!$K$27+'Zero Gas Annual Calibration'!$K$28*B49))</f>
        <v>-7.6995210420946023</v>
      </c>
      <c r="J49" s="74"/>
      <c r="K49" s="75"/>
      <c r="L49" s="75"/>
      <c r="M49" s="76">
        <f>IF(A49&gt;n_new,M48,+C49-('Zero Gas Annual Calibration'!$U$30+B49*'Zero Gas Annual Calibration'!$U$31+B49^2*'Zero Gas Annual Calibration'!$U$32))</f>
        <v>6.4285694131399396</v>
      </c>
      <c r="N49" s="77"/>
      <c r="O49" s="78"/>
      <c r="P49" s="78"/>
      <c r="Q49" s="79">
        <f>IF(A49&gt;n_new,Q48,+C49-('Zero Gas Annual Calibration'!$AD$30+B49*'Zero Gas Annual Calibration'!$AD$31+B49^2*'Zero Gas Annual Calibration'!$AD$32+B49^3*'Zero Gas Annual Calibration'!$AD$33))</f>
        <v>3.2665960532276586</v>
      </c>
      <c r="R49" s="80"/>
      <c r="S49" s="81"/>
      <c r="T49" s="81"/>
      <c r="U49" s="82">
        <f>IF(A49&gt;n_new,+U48,+C49-('Zero Gas Annual Calibration'!$BI$26+B49*'Zero Gas Annual Calibration'!$BI$27+B49^2*'Zero Gas Annual Calibration'!$BI$28+B49^3*'Zero Gas Annual Calibration'!$BI$29+B49^4*'Zero Gas Annual Calibration'!$BI$30))</f>
        <v>5.2181439968990162E-7</v>
      </c>
    </row>
    <row r="50" spans="1:35" ht="18" customHeight="1" x14ac:dyDescent="0.2">
      <c r="A50" s="83">
        <v>39</v>
      </c>
      <c r="B50" s="70">
        <f>IF($A50&gt;n_new,-999,+'Zero Gas Annual Calibration'!C50)</f>
        <v>-999</v>
      </c>
      <c r="C50" s="84">
        <f>IF($A50&gt;n_new,-999,+'Zero Gas Annual Calibration'!D50)</f>
        <v>-999</v>
      </c>
      <c r="D50" s="70"/>
      <c r="E50" s="70"/>
      <c r="F50" s="71"/>
      <c r="G50" s="72"/>
      <c r="H50" s="72"/>
      <c r="I50" s="73">
        <f>IF(A50&gt;n_new,+I49,+C50-('Zero Gas Annual Calibration'!$K$27+'Zero Gas Annual Calibration'!$K$28*B50))</f>
        <v>-7.6995210420946023</v>
      </c>
      <c r="J50" s="74"/>
      <c r="K50" s="75"/>
      <c r="L50" s="75"/>
      <c r="M50" s="76">
        <f>IF(A50&gt;n_new,M49,+C50-('Zero Gas Annual Calibration'!$U$30+B50*'Zero Gas Annual Calibration'!$U$31+B50^2*'Zero Gas Annual Calibration'!$U$32))</f>
        <v>6.4285694131399396</v>
      </c>
      <c r="N50" s="77"/>
      <c r="O50" s="78"/>
      <c r="P50" s="78"/>
      <c r="Q50" s="79">
        <f>IF(A50&gt;n_new,Q49,+C50-('Zero Gas Annual Calibration'!$AD$30+B50*'Zero Gas Annual Calibration'!$AD$31+B50^2*'Zero Gas Annual Calibration'!$AD$32+B50^3*'Zero Gas Annual Calibration'!$AD$33))</f>
        <v>3.2665960532276586</v>
      </c>
      <c r="R50" s="80"/>
      <c r="S50" s="81"/>
      <c r="T50" s="81"/>
      <c r="U50" s="82">
        <f>IF(A50&gt;n_new,+U49,+C50-('Zero Gas Annual Calibration'!$BI$26+B50*'Zero Gas Annual Calibration'!$BI$27+B50^2*'Zero Gas Annual Calibration'!$BI$28+B50^3*'Zero Gas Annual Calibration'!$BI$29+B50^4*'Zero Gas Annual Calibration'!$BI$30))</f>
        <v>5.2181439968990162E-7</v>
      </c>
    </row>
    <row r="51" spans="1:35" ht="18" customHeight="1" x14ac:dyDescent="0.2">
      <c r="A51" s="83">
        <v>40</v>
      </c>
      <c r="B51" s="70">
        <f>IF($A51&gt;n_new,-999,+'Zero Gas Annual Calibration'!C51)</f>
        <v>-999</v>
      </c>
      <c r="C51" s="84">
        <f>IF($A51&gt;n_new,-999,+'Zero Gas Annual Calibration'!D51)</f>
        <v>-999</v>
      </c>
      <c r="D51" s="70"/>
      <c r="E51" s="70"/>
      <c r="F51" s="71"/>
      <c r="G51" s="72"/>
      <c r="H51" s="72"/>
      <c r="I51" s="73">
        <f>IF(A51&gt;n_new,+I50,+C51-('Zero Gas Annual Calibration'!$K$27+'Zero Gas Annual Calibration'!$K$28*B51))</f>
        <v>-7.6995210420946023</v>
      </c>
      <c r="J51" s="74"/>
      <c r="K51" s="75"/>
      <c r="L51" s="75"/>
      <c r="M51" s="76">
        <f>IF(A51&gt;n_new,M50,+C51-('Zero Gas Annual Calibration'!$U$30+B51*'Zero Gas Annual Calibration'!$U$31+B51^2*'Zero Gas Annual Calibration'!$U$32))</f>
        <v>6.4285694131399396</v>
      </c>
      <c r="N51" s="77"/>
      <c r="O51" s="78"/>
      <c r="P51" s="78"/>
      <c r="Q51" s="79">
        <f>IF(A51&gt;n_new,Q50,+C51-('Zero Gas Annual Calibration'!$AD$30+B51*'Zero Gas Annual Calibration'!$AD$31+B51^2*'Zero Gas Annual Calibration'!$AD$32+B51^3*'Zero Gas Annual Calibration'!$AD$33))</f>
        <v>3.2665960532276586</v>
      </c>
      <c r="R51" s="80"/>
      <c r="S51" s="81"/>
      <c r="T51" s="81"/>
      <c r="U51" s="82">
        <f>IF(A51&gt;n_new,+U50,+C51-('Zero Gas Annual Calibration'!$BI$26+B51*'Zero Gas Annual Calibration'!$BI$27+B51^2*'Zero Gas Annual Calibration'!$BI$28+B51^3*'Zero Gas Annual Calibration'!$BI$29+B51^4*'Zero Gas Annual Calibration'!$BI$30))</f>
        <v>5.2181439968990162E-7</v>
      </c>
    </row>
    <row r="52" spans="1:35" ht="18" customHeight="1" x14ac:dyDescent="0.2">
      <c r="A52" s="83">
        <v>41</v>
      </c>
      <c r="B52" s="70">
        <f>IF($A52&gt;n_new,-999,+'Zero Gas Annual Calibration'!C52)</f>
        <v>-999</v>
      </c>
      <c r="C52" s="84">
        <f>IF($A52&gt;n_new,-999,+'Zero Gas Annual Calibration'!D52)</f>
        <v>-999</v>
      </c>
      <c r="D52" s="70"/>
      <c r="E52" s="70"/>
      <c r="F52" s="71"/>
      <c r="G52" s="72"/>
      <c r="H52" s="72"/>
      <c r="I52" s="73">
        <f>IF(A52&gt;n_new,+I51,+C52-('Zero Gas Annual Calibration'!$K$27+'Zero Gas Annual Calibration'!$K$28*B52))</f>
        <v>-7.6995210420946023</v>
      </c>
      <c r="J52" s="74"/>
      <c r="K52" s="75"/>
      <c r="L52" s="75"/>
      <c r="M52" s="76">
        <f>IF(A52&gt;n_new,M51,+C52-('Zero Gas Annual Calibration'!$U$30+B52*'Zero Gas Annual Calibration'!$U$31+B52^2*'Zero Gas Annual Calibration'!$U$32))</f>
        <v>6.4285694131399396</v>
      </c>
      <c r="N52" s="77"/>
      <c r="O52" s="78"/>
      <c r="P52" s="78"/>
      <c r="Q52" s="79">
        <f>IF(A52&gt;n_new,Q51,+C52-('Zero Gas Annual Calibration'!$AD$30+B52*'Zero Gas Annual Calibration'!$AD$31+B52^2*'Zero Gas Annual Calibration'!$AD$32+B52^3*'Zero Gas Annual Calibration'!$AD$33))</f>
        <v>3.2665960532276586</v>
      </c>
      <c r="R52" s="80"/>
      <c r="S52" s="81"/>
      <c r="T52" s="81"/>
      <c r="U52" s="82">
        <f>IF(A52&gt;n_new,+U51,+C52-('Zero Gas Annual Calibration'!$BI$26+B52*'Zero Gas Annual Calibration'!$BI$27+B52^2*'Zero Gas Annual Calibration'!$BI$28+B52^3*'Zero Gas Annual Calibration'!$BI$29+B52^4*'Zero Gas Annual Calibration'!$BI$30))</f>
        <v>5.2181439968990162E-7</v>
      </c>
    </row>
    <row r="53" spans="1:35" ht="18" customHeight="1" x14ac:dyDescent="0.2">
      <c r="A53" s="83">
        <v>42</v>
      </c>
      <c r="B53" s="70">
        <f>IF($A53&gt;n_new,-999,+'Zero Gas Annual Calibration'!C53)</f>
        <v>-999</v>
      </c>
      <c r="C53" s="84">
        <f>IF($A53&gt;n_new,-999,+'Zero Gas Annual Calibration'!D53)</f>
        <v>-999</v>
      </c>
      <c r="D53" s="70"/>
      <c r="E53" s="70"/>
      <c r="F53" s="71"/>
      <c r="G53" s="72"/>
      <c r="H53" s="72"/>
      <c r="I53" s="73">
        <f>IF(A53&gt;n_new,+I52,+C53-('Zero Gas Annual Calibration'!$K$27+'Zero Gas Annual Calibration'!$K$28*B53))</f>
        <v>-7.6995210420946023</v>
      </c>
      <c r="J53" s="74"/>
      <c r="K53" s="75"/>
      <c r="L53" s="75"/>
      <c r="M53" s="76">
        <f>IF(A53&gt;n_new,M52,+C53-('Zero Gas Annual Calibration'!$U$30+B53*'Zero Gas Annual Calibration'!$U$31+B53^2*'Zero Gas Annual Calibration'!$U$32))</f>
        <v>6.4285694131399396</v>
      </c>
      <c r="N53" s="77"/>
      <c r="O53" s="78"/>
      <c r="P53" s="78"/>
      <c r="Q53" s="79">
        <f>IF(A53&gt;n_new,Q52,+C53-('Zero Gas Annual Calibration'!$AD$30+B53*'Zero Gas Annual Calibration'!$AD$31+B53^2*'Zero Gas Annual Calibration'!$AD$32+B53^3*'Zero Gas Annual Calibration'!$AD$33))</f>
        <v>3.2665960532276586</v>
      </c>
      <c r="R53" s="80"/>
      <c r="S53" s="81"/>
      <c r="T53" s="81"/>
      <c r="U53" s="82">
        <f>IF(A53&gt;n_new,+U52,+C53-('Zero Gas Annual Calibration'!$BI$26+B53*'Zero Gas Annual Calibration'!$BI$27+B53^2*'Zero Gas Annual Calibration'!$BI$28+B53^3*'Zero Gas Annual Calibration'!$BI$29+B53^4*'Zero Gas Annual Calibration'!$BI$30))</f>
        <v>5.2181439968990162E-7</v>
      </c>
    </row>
    <row r="54" spans="1:35" ht="18" customHeight="1" x14ac:dyDescent="0.2">
      <c r="A54" s="83">
        <v>43</v>
      </c>
      <c r="B54" s="70">
        <f>IF($A54&gt;n_new,-999,+'Zero Gas Annual Calibration'!C54)</f>
        <v>-999</v>
      </c>
      <c r="C54" s="84">
        <f>IF($A54&gt;n_new,-999,+'Zero Gas Annual Calibration'!D54)</f>
        <v>-999</v>
      </c>
      <c r="D54" s="70"/>
      <c r="E54" s="70"/>
      <c r="F54" s="71"/>
      <c r="G54" s="72"/>
      <c r="H54" s="72"/>
      <c r="I54" s="73">
        <f>IF(A54&gt;n_new,+I53,+C54-('Zero Gas Annual Calibration'!$K$27+'Zero Gas Annual Calibration'!$K$28*B54))</f>
        <v>-7.6995210420946023</v>
      </c>
      <c r="J54" s="74"/>
      <c r="K54" s="75"/>
      <c r="L54" s="75"/>
      <c r="M54" s="76">
        <f>IF(A54&gt;n_new,M53,+C54-('Zero Gas Annual Calibration'!$U$30+B54*'Zero Gas Annual Calibration'!$U$31+B54^2*'Zero Gas Annual Calibration'!$U$32))</f>
        <v>6.4285694131399396</v>
      </c>
      <c r="N54" s="77"/>
      <c r="O54" s="78"/>
      <c r="P54" s="78"/>
      <c r="Q54" s="79">
        <f>IF(A54&gt;n_new,Q53,+C54-('Zero Gas Annual Calibration'!$AD$30+B54*'Zero Gas Annual Calibration'!$AD$31+B54^2*'Zero Gas Annual Calibration'!$AD$32+B54^3*'Zero Gas Annual Calibration'!$AD$33))</f>
        <v>3.2665960532276586</v>
      </c>
      <c r="R54" s="80"/>
      <c r="S54" s="81"/>
      <c r="T54" s="81"/>
      <c r="U54" s="82">
        <f>IF(A54&gt;n_new,+U53,+C54-('Zero Gas Annual Calibration'!$BI$26+B54*'Zero Gas Annual Calibration'!$BI$27+B54^2*'Zero Gas Annual Calibration'!$BI$28+B54^3*'Zero Gas Annual Calibration'!$BI$29+B54^4*'Zero Gas Annual Calibration'!$BI$30))</f>
        <v>5.2181439968990162E-7</v>
      </c>
    </row>
    <row r="55" spans="1:35" ht="18" customHeight="1" x14ac:dyDescent="0.2">
      <c r="A55" s="83">
        <v>44</v>
      </c>
      <c r="B55" s="70">
        <f>IF($A55&gt;n_new,-999,+'Zero Gas Annual Calibration'!C55)</f>
        <v>-999</v>
      </c>
      <c r="C55" s="84">
        <f>IF($A55&gt;n_new,-999,+'Zero Gas Annual Calibration'!D55)</f>
        <v>-999</v>
      </c>
      <c r="D55" s="70"/>
      <c r="E55" s="70"/>
      <c r="F55" s="71"/>
      <c r="G55" s="72"/>
      <c r="H55" s="72"/>
      <c r="I55" s="73">
        <f>IF(A55&gt;n_new,+I54,+C55-('Zero Gas Annual Calibration'!$K$27+'Zero Gas Annual Calibration'!$K$28*B55))</f>
        <v>-7.6995210420946023</v>
      </c>
      <c r="J55" s="74"/>
      <c r="K55" s="75"/>
      <c r="L55" s="75"/>
      <c r="M55" s="76">
        <f>IF(A55&gt;n_new,M54,+C55-('Zero Gas Annual Calibration'!$U$30+B55*'Zero Gas Annual Calibration'!$U$31+B55^2*'Zero Gas Annual Calibration'!$U$32))</f>
        <v>6.4285694131399396</v>
      </c>
      <c r="N55" s="77"/>
      <c r="O55" s="78"/>
      <c r="P55" s="78"/>
      <c r="Q55" s="79">
        <f>IF(A55&gt;n_new,Q54,+C55-('Zero Gas Annual Calibration'!$AD$30+B55*'Zero Gas Annual Calibration'!$AD$31+B55^2*'Zero Gas Annual Calibration'!$AD$32+B55^3*'Zero Gas Annual Calibration'!$AD$33))</f>
        <v>3.2665960532276586</v>
      </c>
      <c r="R55" s="80"/>
      <c r="S55" s="81"/>
      <c r="T55" s="81"/>
      <c r="U55" s="82">
        <f>IF(A55&gt;n_new,+U54,+C55-('Zero Gas Annual Calibration'!$BI$26+B55*'Zero Gas Annual Calibration'!$BI$27+B55^2*'Zero Gas Annual Calibration'!$BI$28+B55^3*'Zero Gas Annual Calibration'!$BI$29+B55^4*'Zero Gas Annual Calibration'!$BI$30))</f>
        <v>5.2181439968990162E-7</v>
      </c>
    </row>
    <row r="56" spans="1:35" ht="18" customHeight="1" x14ac:dyDescent="0.2">
      <c r="A56" s="83">
        <v>45</v>
      </c>
      <c r="B56" s="70">
        <f>IF($A56&gt;n_new,-999,+'Zero Gas Annual Calibration'!C56)</f>
        <v>-999</v>
      </c>
      <c r="C56" s="84">
        <f>IF($A56&gt;n_new,-999,+'Zero Gas Annual Calibration'!D56)</f>
        <v>-999</v>
      </c>
      <c r="D56" s="70"/>
      <c r="E56" s="70"/>
      <c r="F56" s="71"/>
      <c r="G56" s="72"/>
      <c r="H56" s="72"/>
      <c r="I56" s="73">
        <f>IF(A56&gt;n_new,+I55,+C56-('Zero Gas Annual Calibration'!$K$27+'Zero Gas Annual Calibration'!$K$28*B56))</f>
        <v>-7.6995210420946023</v>
      </c>
      <c r="J56" s="74"/>
      <c r="K56" s="75"/>
      <c r="L56" s="75"/>
      <c r="M56" s="76">
        <f>IF(A56&gt;n_new,M55,+C56-('Zero Gas Annual Calibration'!$U$30+B56*'Zero Gas Annual Calibration'!$U$31+B56^2*'Zero Gas Annual Calibration'!$U$32))</f>
        <v>6.4285694131399396</v>
      </c>
      <c r="N56" s="77"/>
      <c r="O56" s="78"/>
      <c r="P56" s="78"/>
      <c r="Q56" s="79">
        <f>IF(A56&gt;n_new,Q55,+C56-('Zero Gas Annual Calibration'!$AD$30+B56*'Zero Gas Annual Calibration'!$AD$31+B56^2*'Zero Gas Annual Calibration'!$AD$32+B56^3*'Zero Gas Annual Calibration'!$AD$33))</f>
        <v>3.2665960532276586</v>
      </c>
      <c r="R56" s="80"/>
      <c r="S56" s="81"/>
      <c r="T56" s="81"/>
      <c r="U56" s="82">
        <f>IF(A56&gt;n_new,+U55,+C56-('Zero Gas Annual Calibration'!$BI$26+B56*'Zero Gas Annual Calibration'!$BI$27+B56^2*'Zero Gas Annual Calibration'!$BI$28+B56^3*'Zero Gas Annual Calibration'!$BI$29+B56^4*'Zero Gas Annual Calibration'!$BI$30))</f>
        <v>5.2181439968990162E-7</v>
      </c>
    </row>
    <row r="57" spans="1:35" ht="18" customHeight="1" x14ac:dyDescent="0.2">
      <c r="A57" s="83">
        <v>46</v>
      </c>
      <c r="B57" s="70">
        <f>IF($A57&gt;n_new,-999,+'Zero Gas Annual Calibration'!C57)</f>
        <v>-999</v>
      </c>
      <c r="C57" s="84">
        <f>IF($A57&gt;n_new,-999,+'Zero Gas Annual Calibration'!D57)</f>
        <v>-999</v>
      </c>
      <c r="D57" s="70"/>
      <c r="E57" s="70"/>
      <c r="F57" s="71"/>
      <c r="G57" s="72"/>
      <c r="H57" s="72"/>
      <c r="I57" s="73">
        <f>IF(A57&gt;n_new,+I56,+C57-('Zero Gas Annual Calibration'!$K$27+'Zero Gas Annual Calibration'!$K$28*B57))</f>
        <v>-7.6995210420946023</v>
      </c>
      <c r="J57" s="74"/>
      <c r="K57" s="75"/>
      <c r="L57" s="75"/>
      <c r="M57" s="76">
        <f>IF(A57&gt;n_new,M56,+C57-('Zero Gas Annual Calibration'!$U$30+B57*'Zero Gas Annual Calibration'!$U$31+B57^2*'Zero Gas Annual Calibration'!$U$32))</f>
        <v>6.4285694131399396</v>
      </c>
      <c r="N57" s="77"/>
      <c r="O57" s="78"/>
      <c r="P57" s="78"/>
      <c r="Q57" s="79">
        <f>IF(A57&gt;n_new,Q56,+C57-('Zero Gas Annual Calibration'!$AD$30+B57*'Zero Gas Annual Calibration'!$AD$31+B57^2*'Zero Gas Annual Calibration'!$AD$32+B57^3*'Zero Gas Annual Calibration'!$AD$33))</f>
        <v>3.2665960532276586</v>
      </c>
      <c r="R57" s="80"/>
      <c r="S57" s="81"/>
      <c r="T57" s="81"/>
      <c r="U57" s="82">
        <f>IF(A57&gt;n_new,+U56,+C57-('Zero Gas Annual Calibration'!$BI$26+B57*'Zero Gas Annual Calibration'!$BI$27+B57^2*'Zero Gas Annual Calibration'!$BI$28+B57^3*'Zero Gas Annual Calibration'!$BI$29+B57^4*'Zero Gas Annual Calibration'!$BI$30))</f>
        <v>5.2181439968990162E-7</v>
      </c>
    </row>
    <row r="58" spans="1:35" ht="18" customHeight="1" x14ac:dyDescent="0.2">
      <c r="A58" s="83">
        <v>47</v>
      </c>
      <c r="B58" s="70">
        <f>IF($A58&gt;n_new,-999,+'Zero Gas Annual Calibration'!C58)</f>
        <v>-999</v>
      </c>
      <c r="C58" s="84">
        <f>IF($A58&gt;n_new,-999,+'Zero Gas Annual Calibration'!D58)</f>
        <v>-999</v>
      </c>
      <c r="D58" s="70"/>
      <c r="E58" s="70"/>
      <c r="F58" s="71"/>
      <c r="G58" s="72"/>
      <c r="H58" s="72"/>
      <c r="I58" s="73">
        <f>IF(A58&gt;n_new,+I57,+C58-('Zero Gas Annual Calibration'!$K$27+'Zero Gas Annual Calibration'!$K$28*B58))</f>
        <v>-7.6995210420946023</v>
      </c>
      <c r="J58" s="74"/>
      <c r="K58" s="75"/>
      <c r="L58" s="75"/>
      <c r="M58" s="76">
        <f>IF(A58&gt;n_new,M57,+C58-('Zero Gas Annual Calibration'!$U$30+B58*'Zero Gas Annual Calibration'!$U$31+B58^2*'Zero Gas Annual Calibration'!$U$32))</f>
        <v>6.4285694131399396</v>
      </c>
      <c r="N58" s="77"/>
      <c r="O58" s="78"/>
      <c r="P58" s="78"/>
      <c r="Q58" s="79">
        <f>IF(A58&gt;n_new,Q57,+C58-('Zero Gas Annual Calibration'!$AD$30+B58*'Zero Gas Annual Calibration'!$AD$31+B58^2*'Zero Gas Annual Calibration'!$AD$32+B58^3*'Zero Gas Annual Calibration'!$AD$33))</f>
        <v>3.2665960532276586</v>
      </c>
      <c r="R58" s="80"/>
      <c r="S58" s="81"/>
      <c r="T58" s="81"/>
      <c r="U58" s="82">
        <f>IF(A58&gt;n_new,+U57,+C58-('Zero Gas Annual Calibration'!$BI$26+B58*'Zero Gas Annual Calibration'!$BI$27+B58^2*'Zero Gas Annual Calibration'!$BI$28+B58^3*'Zero Gas Annual Calibration'!$BI$29+B58^4*'Zero Gas Annual Calibration'!$BI$30))</f>
        <v>5.2181439968990162E-7</v>
      </c>
    </row>
    <row r="59" spans="1:35" ht="18" customHeight="1" x14ac:dyDescent="0.2">
      <c r="A59" s="83">
        <v>48</v>
      </c>
      <c r="B59" s="70">
        <f>IF($A59&gt;n_new,-999,+'Zero Gas Annual Calibration'!C59)</f>
        <v>-999</v>
      </c>
      <c r="C59" s="84">
        <f>IF($A59&gt;n_new,-999,+'Zero Gas Annual Calibration'!D59)</f>
        <v>-999</v>
      </c>
      <c r="D59" s="70"/>
      <c r="E59" s="70"/>
      <c r="F59" s="71"/>
      <c r="G59" s="72"/>
      <c r="H59" s="72"/>
      <c r="I59" s="73">
        <f>IF(A59&gt;n_new,+I58,+C59-('Zero Gas Annual Calibration'!$K$27+'Zero Gas Annual Calibration'!$K$28*B59))</f>
        <v>-7.6995210420946023</v>
      </c>
      <c r="J59" s="74"/>
      <c r="K59" s="75"/>
      <c r="L59" s="75"/>
      <c r="M59" s="76">
        <f>IF(A59&gt;n_new,M58,+C59-('Zero Gas Annual Calibration'!$U$30+B59*'Zero Gas Annual Calibration'!$U$31+B59^2*'Zero Gas Annual Calibration'!$U$32))</f>
        <v>6.4285694131399396</v>
      </c>
      <c r="N59" s="77"/>
      <c r="O59" s="78"/>
      <c r="P59" s="78"/>
      <c r="Q59" s="79">
        <f>IF(A59&gt;n_new,Q58,+C59-('Zero Gas Annual Calibration'!$AD$30+B59*'Zero Gas Annual Calibration'!$AD$31+B59^2*'Zero Gas Annual Calibration'!$AD$32+B59^3*'Zero Gas Annual Calibration'!$AD$33))</f>
        <v>3.2665960532276586</v>
      </c>
      <c r="R59" s="80"/>
      <c r="S59" s="81"/>
      <c r="T59" s="81"/>
      <c r="U59" s="82">
        <f>IF(A59&gt;n_new,+U58,+C59-('Zero Gas Annual Calibration'!$BI$26+B59*'Zero Gas Annual Calibration'!$BI$27+B59^2*'Zero Gas Annual Calibration'!$BI$28+B59^3*'Zero Gas Annual Calibration'!$BI$29+B59^4*'Zero Gas Annual Calibration'!$BI$30))</f>
        <v>5.2181439968990162E-7</v>
      </c>
    </row>
    <row r="60" spans="1:35" ht="18" customHeight="1" x14ac:dyDescent="0.2">
      <c r="A60" s="83">
        <v>49</v>
      </c>
      <c r="B60" s="70">
        <f>IF($A60&gt;n_new,-999,+'Zero Gas Annual Calibration'!C60)</f>
        <v>-999</v>
      </c>
      <c r="C60" s="84">
        <f>IF($A60&gt;n_new,-999,+'Zero Gas Annual Calibration'!D60)</f>
        <v>-999</v>
      </c>
      <c r="D60" s="70"/>
      <c r="E60" s="70"/>
      <c r="F60" s="71"/>
      <c r="G60" s="72"/>
      <c r="H60" s="72"/>
      <c r="I60" s="73">
        <f>IF(A60&gt;n_new,+I59,+C60-('Zero Gas Annual Calibration'!$K$27+'Zero Gas Annual Calibration'!$K$28*B60))</f>
        <v>-7.6995210420946023</v>
      </c>
      <c r="J60" s="74"/>
      <c r="K60" s="75"/>
      <c r="L60" s="75"/>
      <c r="M60" s="76">
        <f>IF(A60&gt;n_new,M59,+C60-('Zero Gas Annual Calibration'!$U$30+B60*'Zero Gas Annual Calibration'!$U$31+B60^2*'Zero Gas Annual Calibration'!$U$32))</f>
        <v>6.4285694131399396</v>
      </c>
      <c r="N60" s="77"/>
      <c r="O60" s="78"/>
      <c r="P60" s="78"/>
      <c r="Q60" s="79">
        <f>IF(A60&gt;n_new,Q59,+C60-('Zero Gas Annual Calibration'!$AD$30+B60*'Zero Gas Annual Calibration'!$AD$31+B60^2*'Zero Gas Annual Calibration'!$AD$32+B60^3*'Zero Gas Annual Calibration'!$AD$33))</f>
        <v>3.2665960532276586</v>
      </c>
      <c r="R60" s="80"/>
      <c r="S60" s="81"/>
      <c r="T60" s="81"/>
      <c r="U60" s="82">
        <f>IF(A60&gt;n_new,+U59,+C60-('Zero Gas Annual Calibration'!$BI$26+B60*'Zero Gas Annual Calibration'!$BI$27+B60^2*'Zero Gas Annual Calibration'!$BI$28+B60^3*'Zero Gas Annual Calibration'!$BI$29+B60^4*'Zero Gas Annual Calibration'!$BI$30))</f>
        <v>5.2181439968990162E-7</v>
      </c>
    </row>
    <row r="61" spans="1:35" ht="18" customHeight="1" x14ac:dyDescent="0.2">
      <c r="A61" s="85">
        <v>50</v>
      </c>
      <c r="B61" s="86">
        <f>IF($A61&gt;n_new,-999,+'Zero Gas Annual Calibration'!C61)</f>
        <v>-999</v>
      </c>
      <c r="C61" s="87">
        <f>IF($A61&gt;n_new,-999,+'Zero Gas Annual Calibration'!D61)</f>
        <v>-999</v>
      </c>
      <c r="D61" s="70"/>
      <c r="E61" s="70"/>
      <c r="F61" s="71"/>
      <c r="G61" s="72"/>
      <c r="H61" s="72"/>
      <c r="I61" s="73">
        <f>IF(A61&gt;n_new,+I60,+C61-('Zero Gas Annual Calibration'!$K$27+'Zero Gas Annual Calibration'!$K$28*B61))</f>
        <v>-7.6995210420946023</v>
      </c>
      <c r="J61" s="74"/>
      <c r="K61" s="75"/>
      <c r="L61" s="75"/>
      <c r="M61" s="76">
        <f>IF(A61&gt;n_new,M60,+C61-('Zero Gas Annual Calibration'!$U$30+B61*'Zero Gas Annual Calibration'!$U$31+B61^2*'Zero Gas Annual Calibration'!$U$32))</f>
        <v>6.4285694131399396</v>
      </c>
      <c r="N61" s="77"/>
      <c r="O61" s="78"/>
      <c r="P61" s="78"/>
      <c r="Q61" s="79">
        <f>IF(A61&gt;n_new,Q60,+C61-('Zero Gas Annual Calibration'!$AD$30+B61*'Zero Gas Annual Calibration'!$AD$31+B61^2*'Zero Gas Annual Calibration'!$AD$32+B61^3*'Zero Gas Annual Calibration'!$AD$33))</f>
        <v>3.2665960532276586</v>
      </c>
      <c r="R61" s="80"/>
      <c r="S61" s="81"/>
      <c r="T61" s="81"/>
      <c r="U61" s="82">
        <f>IF(A61&gt;n_new,+U60,+C61-('Zero Gas Annual Calibration'!$BI$26+B61*'Zero Gas Annual Calibration'!$BI$27+B61^2*'Zero Gas Annual Calibration'!$BI$28+B61^3*'Zero Gas Annual Calibration'!$BI$29+B61^4*'Zero Gas Annual Calibration'!$BI$30))</f>
        <v>5.2181439968990162E-7</v>
      </c>
    </row>
    <row r="62" spans="1:35" ht="18" customHeight="1" x14ac:dyDescent="0.2">
      <c r="A62" s="88"/>
      <c r="B62" s="89"/>
      <c r="C62" s="89"/>
      <c r="D62" s="89"/>
      <c r="E62" s="89"/>
      <c r="F62" s="71"/>
      <c r="G62" s="72"/>
      <c r="H62" s="72"/>
      <c r="I62" s="90"/>
      <c r="J62" s="74"/>
      <c r="K62" s="75"/>
      <c r="L62" s="75"/>
      <c r="M62" s="91"/>
      <c r="N62" s="77"/>
      <c r="O62" s="78"/>
      <c r="P62" s="78"/>
      <c r="Q62" s="92"/>
      <c r="R62" s="80"/>
      <c r="S62" s="81"/>
      <c r="T62" s="81"/>
      <c r="U62" s="81"/>
      <c r="V62" s="93" t="s">
        <v>149</v>
      </c>
      <c r="W62" s="94"/>
      <c r="X62" s="95" t="s">
        <v>150</v>
      </c>
      <c r="Y62" s="96"/>
      <c r="Z62" s="97"/>
      <c r="AA62" s="98" t="s">
        <v>151</v>
      </c>
      <c r="AB62" s="99"/>
      <c r="AC62" s="99"/>
      <c r="AD62" s="100"/>
      <c r="AE62" s="101" t="s">
        <v>152</v>
      </c>
      <c r="AF62" s="101"/>
      <c r="AG62" s="101"/>
      <c r="AH62" s="101"/>
      <c r="AI62" s="102"/>
    </row>
    <row r="63" spans="1:35" ht="18" customHeight="1" x14ac:dyDescent="0.2">
      <c r="A63" s="103">
        <v>1</v>
      </c>
      <c r="B63" s="104">
        <f>A6</f>
        <v>4000</v>
      </c>
      <c r="C63" s="105">
        <f>B63^2</f>
        <v>16000000</v>
      </c>
      <c r="D63" s="106">
        <f>B63^3</f>
        <v>64000000000</v>
      </c>
      <c r="E63" s="107">
        <f>B63^4</f>
        <v>256000000000000</v>
      </c>
      <c r="F63" s="108">
        <f>'Zero Gas Annual Calibration'!$K$27+'Zero Gas Annual Calibration'!$K$28*'Chart Data Zero Gas'!B63</f>
        <v>4032.2454301330031</v>
      </c>
      <c r="G63" s="108">
        <f>F63-$H$6*SQRT(SUMPRODUCT(A63:B63,V63:W63))</f>
        <v>3992.3205975725236</v>
      </c>
      <c r="H63" s="108">
        <f>F63+F63-G63</f>
        <v>4072.1702626934825</v>
      </c>
      <c r="I63" s="90"/>
      <c r="J63" s="109">
        <f>'Zero Gas Annual Calibration'!$U$30+'Chart Data Zero Gas'!B63*'Zero Gas Annual Calibration'!$U$31+'Chart Data Zero Gas'!B63^2*'Zero Gas Annual Calibration'!$U$32</f>
        <v>4018.1173396777685</v>
      </c>
      <c r="K63" s="110">
        <f>$J63-$H$7*SQRT(SUMPRODUCT(A63:C63,X63:Z63))</f>
        <v>3972.319855620975</v>
      </c>
      <c r="L63" s="110">
        <f>J63+J63-K63</f>
        <v>4063.9148237345621</v>
      </c>
      <c r="M63" s="91"/>
      <c r="N63" s="111">
        <f>'Zero Gas Annual Calibration'!$AD$30+B63*'Zero Gas Annual Calibration'!$AD$31+B63^2*'Zero Gas Annual Calibration'!$AD$32+B63^3*'Zero Gas Annual Calibration'!$AD$33</f>
        <v>4021.2793130376808</v>
      </c>
      <c r="O63" s="112">
        <f>N63-SQRT(SUMPRODUCT(AA63:AD63,A63:D63)*$H$8)</f>
        <v>3979.550059808023</v>
      </c>
      <c r="P63" s="112">
        <f>N63+N63-O63</f>
        <v>4063.0085662673387</v>
      </c>
      <c r="Q63" s="92"/>
      <c r="R63" s="113">
        <f>SUMPRODUCT(A63:E63,'Zero Gas Annual Calibration'!$BI$43:$BM$43)</f>
        <v>4024.5459085690941</v>
      </c>
      <c r="S63" s="114" t="e">
        <f>R63-SQRT(SUMPRODUCT(AE63:AI63,A63:E63)*$H$9)</f>
        <v>#DIV/0!</v>
      </c>
      <c r="T63" s="114" t="e">
        <f>R63+R63-S63</f>
        <v>#DIV/0!</v>
      </c>
      <c r="U63" s="81"/>
      <c r="V63" s="115">
        <f>SUMPRODUCT($A63:$B63,'Zero Gas Annual Calibration'!$K$52:$L$52)</f>
        <v>229.17501781041582</v>
      </c>
      <c r="W63" s="116">
        <f>SUMPRODUCT($A63:$B63,'Zero Gas Annual Calibration'!$K$53:$L$53)</f>
        <v>-1.7947441153827744E-2</v>
      </c>
      <c r="X63" s="117">
        <f>SUMPRODUCT($A63:$C63,'Zero Gas Annual Calibration'!$U$59:$W$59)</f>
        <v>302.63096290026715</v>
      </c>
      <c r="Y63" s="118">
        <f>SUMPRODUCT($A63:$C63,'Zero Gas Annual Calibration'!$U$60:$W$60)</f>
        <v>-5.7069086088968678E-2</v>
      </c>
      <c r="Z63" s="118">
        <f>SUMPRODUCT($A63:$C63,'Zero Gas Annual Calibration'!$U$61:$W$61)</f>
        <v>2.4337723080251935E-6</v>
      </c>
      <c r="AA63" s="119">
        <f>SUMPRODUCT($A63:$D63,'Zero Gas Annual Calibration'!$AD$59:$AG$59)</f>
        <v>698.20318176391584</v>
      </c>
      <c r="AB63" s="120">
        <f>SUMPRODUCT($A63:$D63,'Zero Gas Annual Calibration'!$AD$60:$AG$60)</f>
        <v>-0.20905999903053474</v>
      </c>
      <c r="AC63" s="120">
        <f>SUMPRODUCT($A63:$D63,'Zero Gas Annual Calibration'!$AD$61:$AG$61)</f>
        <v>1.9479003788562367E-5</v>
      </c>
      <c r="AD63" s="121">
        <f>SUMPRODUCT($A63:$D63,'Zero Gas Annual Calibration'!$AD$62:$AG$62)</f>
        <v>-5.7158684143943858E-10</v>
      </c>
      <c r="AE63" s="122" t="e">
        <f>SUMPRODUCT(A63:E63,'Zero Gas Annual Calibration'!$BG$59:$BK$59)</f>
        <v>#DIV/0!</v>
      </c>
      <c r="AF63" s="122" t="e">
        <f>SUMPRODUCT(A63:E63,'Zero Gas Annual Calibration'!$BG$60:$BK$60)</f>
        <v>#DIV/0!</v>
      </c>
      <c r="AG63" s="122" t="e">
        <f>SUMPRODUCT(A63:E63,'Zero Gas Annual Calibration'!$BG$61:$BK$61)</f>
        <v>#DIV/0!</v>
      </c>
      <c r="AH63" s="122" t="e">
        <f>SUMPRODUCT(A63:E63,'Zero Gas Annual Calibration'!$BG$62:$BK$62)</f>
        <v>#DIV/0!</v>
      </c>
      <c r="AI63" s="123" t="e">
        <f>SUMPRODUCT(A63:E63,'Zero Gas Annual Calibration'!$BG$63:$BK$63)</f>
        <v>#DIV/0!</v>
      </c>
    </row>
    <row r="64" spans="1:35" ht="18" customHeight="1" x14ac:dyDescent="0.2">
      <c r="A64" s="124">
        <v>1</v>
      </c>
      <c r="B64" s="125">
        <f t="shared" ref="B64:B112" si="0">B63+0.02*($A$7-$B$63)</f>
        <v>4240</v>
      </c>
      <c r="C64" s="126">
        <f t="shared" ref="C64:C113" si="1">B64^2</f>
        <v>17977600</v>
      </c>
      <c r="D64" s="127">
        <f t="shared" ref="D64:D113" si="2">B64^3</f>
        <v>76225024000</v>
      </c>
      <c r="E64" s="128">
        <f t="shared" ref="E64:E113" si="3">B64^4</f>
        <v>323194101760000</v>
      </c>
      <c r="F64" s="129">
        <f>'Zero Gas Annual Calibration'!$K$27+'Zero Gas Annual Calibration'!$K$28*'Chart Data Zero Gas'!B64</f>
        <v>4272.3408181847908</v>
      </c>
      <c r="G64" s="108">
        <f t="shared" ref="G64:G113" si="4">F64-$H$6*SQRT(SUMPRODUCT(A64:B64,V64:W64))</f>
        <v>4233.4981146678447</v>
      </c>
      <c r="H64" s="108">
        <f>F64+F64-G64</f>
        <v>4311.1835217017369</v>
      </c>
      <c r="I64" s="90"/>
      <c r="J64" s="130">
        <f>'Zero Gas Annual Calibration'!$U$30+'Chart Data Zero Gas'!B64*'Zero Gas Annual Calibration'!$U$31+'Chart Data Zero Gas'!B64^2*'Zero Gas Annual Calibration'!$U$32</f>
        <v>4260.5157622165261</v>
      </c>
      <c r="K64" s="110">
        <f>$J64-$H$7*SQRT(SUMPRODUCT(A64:C64,X64:Z64))</f>
        <v>4218.1941918483471</v>
      </c>
      <c r="L64" s="110">
        <f t="shared" ref="L64:L113" si="5">J64+J64-K64</f>
        <v>4302.8373325847051</v>
      </c>
      <c r="M64" s="91"/>
      <c r="N64" s="111">
        <f>'Zero Gas Annual Calibration'!$AD$30+B64*'Zero Gas Annual Calibration'!$AD$31+B64^2*'Zero Gas Annual Calibration'!$AD$32+B64^3*'Zero Gas Annual Calibration'!$AD$33</f>
        <v>4262.3787916883648</v>
      </c>
      <c r="O64" s="131">
        <f t="shared" ref="O64:O113" si="6">N64-SQRT(SUMPRODUCT(AA64:AD64,A64:D64)*$H$8)</f>
        <v>4225.8535935591999</v>
      </c>
      <c r="P64" s="112">
        <f t="shared" ref="P64:P113" si="7">N64+N64-O64</f>
        <v>4298.9039898175297</v>
      </c>
      <c r="Q64" s="92"/>
      <c r="R64" s="132">
        <f>SUMPRODUCT(A64:E64,'Zero Gas Annual Calibration'!$BI$43:$BM$43)</f>
        <v>4259.8035314880462</v>
      </c>
      <c r="S64" s="81" t="e">
        <f t="shared" ref="S64:S113" si="8">R64-SQRT(SUMPRODUCT(AE64:AI64,A64:E64)*$H$9)</f>
        <v>#DIV/0!</v>
      </c>
      <c r="T64" s="114" t="e">
        <f t="shared" ref="T64:T113" si="9">R64+R64-S64</f>
        <v>#DIV/0!</v>
      </c>
      <c r="U64" s="81"/>
      <c r="V64" s="71">
        <f>SUMPRODUCT($A64:$B64,'Zero Gas Annual Calibration'!$K$52:$L$52)</f>
        <v>221.55425818202127</v>
      </c>
      <c r="W64" s="90">
        <f>SUMPRODUCT($A64:$B64,'Zero Gas Annual Calibration'!$K$53:$L$53)</f>
        <v>-1.7119097715958771E-2</v>
      </c>
      <c r="X64" s="74">
        <f>SUMPRODUCT($A64:$C64,'Zero Gas Annual Calibration'!$U$59:$W$59)</f>
        <v>266.65007309842269</v>
      </c>
      <c r="Y64" s="75">
        <f>SUMPRODUCT($A64:$C64,'Zero Gas Annual Calibration'!$U$60:$W$60)</f>
        <v>-4.8707824913981311E-2</v>
      </c>
      <c r="Z64" s="75">
        <f>SUMPRODUCT($A64:$C64,'Zero Gas Annual Calibration'!$U$61:$W$61)</f>
        <v>2.0370405928310147E-6</v>
      </c>
      <c r="AA64" s="133">
        <f>SUMPRODUCT($A64:$D64,'Zero Gas Annual Calibration'!$AD$59:$AG$59)</f>
        <v>499.72056971265067</v>
      </c>
      <c r="AB64" s="112">
        <f>SUMPRODUCT($A64:$D64,'Zero Gas Annual Calibration'!$AD$60:$AG$60)</f>
        <v>-0.13826061924797933</v>
      </c>
      <c r="AC64" s="112">
        <f>SUMPRODUCT($A64:$D64,'Zero Gas Annual Calibration'!$AD$61:$AG$61)</f>
        <v>1.2080062768365781E-5</v>
      </c>
      <c r="AD64" s="134">
        <f>SUMPRODUCT($A64:$D64,'Zero Gas Annual Calibration'!$AD$62:$AG$62)</f>
        <v>-3.3677802090131794E-10</v>
      </c>
      <c r="AE64" s="81" t="e">
        <f>SUMPRODUCT(A64:E64,'Zero Gas Annual Calibration'!$BG$59:$BK$59)</f>
        <v>#DIV/0!</v>
      </c>
      <c r="AF64" s="81" t="e">
        <f>SUMPRODUCT(A64:E64,'Zero Gas Annual Calibration'!$BG$60:$BK$60)</f>
        <v>#DIV/0!</v>
      </c>
      <c r="AG64" s="81" t="e">
        <f>SUMPRODUCT(A64:E64,'Zero Gas Annual Calibration'!$BG$61:$BK$61)</f>
        <v>#DIV/0!</v>
      </c>
      <c r="AH64" s="81" t="e">
        <f>SUMPRODUCT(A64:E64,'Zero Gas Annual Calibration'!$BG$62:$BK$62)</f>
        <v>#DIV/0!</v>
      </c>
      <c r="AI64" s="135" t="e">
        <f>SUMPRODUCT(A64:E64,'Zero Gas Annual Calibration'!$BG$63:$BK$63)</f>
        <v>#DIV/0!</v>
      </c>
    </row>
    <row r="65" spans="1:35" ht="18" customHeight="1" x14ac:dyDescent="0.2">
      <c r="A65" s="124">
        <v>1</v>
      </c>
      <c r="B65" s="125">
        <f t="shared" si="0"/>
        <v>4480</v>
      </c>
      <c r="C65" s="126">
        <f t="shared" si="1"/>
        <v>20070400</v>
      </c>
      <c r="D65" s="127">
        <f t="shared" si="2"/>
        <v>89915392000</v>
      </c>
      <c r="E65" s="128">
        <f t="shared" si="3"/>
        <v>402820956160000</v>
      </c>
      <c r="F65" s="129">
        <f>'Zero Gas Annual Calibration'!$K$27+'Zero Gas Annual Calibration'!$K$28*'Chart Data Zero Gas'!B65</f>
        <v>4512.4362062365781</v>
      </c>
      <c r="G65" s="72">
        <f t="shared" si="4"/>
        <v>4474.6533277619237</v>
      </c>
      <c r="H65" s="108">
        <f t="shared" ref="H65:H113" si="10">F65+F65-G65</f>
        <v>4550.2190847112324</v>
      </c>
      <c r="I65" s="90"/>
      <c r="J65" s="130">
        <f>'Zero Gas Annual Calibration'!$U$30+'Chart Data Zero Gas'!B65*'Zero Gas Annual Calibration'!$U$31+'Chart Data Zero Gas'!B65^2*'Zero Gas Annual Calibration'!$U$32</f>
        <v>4502.821273092698</v>
      </c>
      <c r="K65" s="75">
        <f t="shared" ref="K65:K113" si="11">$J65-$H$7*SQRT(SUMPRODUCT(A65:C65,X65:Z65))</f>
        <v>4463.6153842086696</v>
      </c>
      <c r="L65" s="110">
        <f t="shared" si="5"/>
        <v>4542.0271619767263</v>
      </c>
      <c r="M65" s="91"/>
      <c r="N65" s="111">
        <f>'Zero Gas Annual Calibration'!$AD$30+B65*'Zero Gas Annual Calibration'!$AD$31+B65^2*'Zero Gas Annual Calibration'!$AD$32+B65^3*'Zero Gas Annual Calibration'!$AD$33</f>
        <v>4503.5352702319924</v>
      </c>
      <c r="O65" s="131">
        <f t="shared" si="6"/>
        <v>4470.8187373931551</v>
      </c>
      <c r="P65" s="112">
        <f t="shared" si="7"/>
        <v>4536.2518030708297</v>
      </c>
      <c r="Q65" s="92"/>
      <c r="R65" s="132">
        <f>SUMPRODUCT(A65:E65,'Zero Gas Annual Calibration'!$BI$43:$BM$43)</f>
        <v>4496.5829627890807</v>
      </c>
      <c r="S65" s="81" t="e">
        <f t="shared" si="8"/>
        <v>#DIV/0!</v>
      </c>
      <c r="T65" s="114" t="e">
        <f t="shared" si="9"/>
        <v>#DIV/0!</v>
      </c>
      <c r="U65" s="81"/>
      <c r="V65" s="71">
        <f>SUMPRODUCT($A65:$B65,'Zero Gas Annual Calibration'!$K$52:$L$52)</f>
        <v>213.93349855362672</v>
      </c>
      <c r="W65" s="90">
        <f>SUMPRODUCT($A65:$B65,'Zero Gas Annual Calibration'!$K$53:$L$53)</f>
        <v>-1.6290754278089799E-2</v>
      </c>
      <c r="X65" s="74">
        <f>SUMPRODUCT($A65:$C65,'Zero Gas Annual Calibration'!$U$59:$W$59)</f>
        <v>231.98273045469858</v>
      </c>
      <c r="Y65" s="75">
        <f>SUMPRODUCT($A65:$C65,'Zero Gas Annual Calibration'!$U$60:$W$60)</f>
        <v>-4.0668879512246993E-2</v>
      </c>
      <c r="Z65" s="75">
        <f>SUMPRODUCT($A65:$C65,'Zero Gas Annual Calibration'!$U$61:$W$61)</f>
        <v>1.6563142841853607E-6</v>
      </c>
      <c r="AA65" s="133">
        <f>SUMPRODUCT($A65:$D65,'Zero Gas Annual Calibration'!$AD$59:$AG$59)</f>
        <v>321.30588380510085</v>
      </c>
      <c r="AB65" s="112">
        <f>SUMPRODUCT($A65:$D65,'Zero Gas Annual Calibration'!$AD$60:$AG$60)</f>
        <v>-7.4989559724688681E-2</v>
      </c>
      <c r="AC65" s="112">
        <f>SUMPRODUCT($A65:$D65,'Zero Gas Annual Calibration'!$AD$61:$AG$61)</f>
        <v>5.5052545100753842E-6</v>
      </c>
      <c r="AD65" s="134">
        <f>SUMPRODUCT($A65:$D65,'Zero Gas Annual Calibration'!$AD$62:$AG$62)</f>
        <v>-1.2906856613345082E-10</v>
      </c>
      <c r="AE65" s="81" t="e">
        <f>SUMPRODUCT(A65:E65,'Zero Gas Annual Calibration'!$BG$59:$BK$59)</f>
        <v>#DIV/0!</v>
      </c>
      <c r="AF65" s="81" t="e">
        <f>SUMPRODUCT(A65:E65,'Zero Gas Annual Calibration'!$BG$60:$BK$60)</f>
        <v>#DIV/0!</v>
      </c>
      <c r="AG65" s="81" t="e">
        <f>SUMPRODUCT(A65:E65,'Zero Gas Annual Calibration'!$BG$61:$BK$61)</f>
        <v>#DIV/0!</v>
      </c>
      <c r="AH65" s="81" t="e">
        <f>SUMPRODUCT(A65:E65,'Zero Gas Annual Calibration'!$BG$62:$BK$62)</f>
        <v>#DIV/0!</v>
      </c>
      <c r="AI65" s="135" t="e">
        <f>SUMPRODUCT(A65:E65,'Zero Gas Annual Calibration'!$BG$63:$BK$63)</f>
        <v>#DIV/0!</v>
      </c>
    </row>
    <row r="66" spans="1:35" ht="18" customHeight="1" x14ac:dyDescent="0.2">
      <c r="A66" s="124">
        <v>1</v>
      </c>
      <c r="B66" s="125">
        <f t="shared" si="0"/>
        <v>4720</v>
      </c>
      <c r="C66" s="126">
        <f t="shared" si="1"/>
        <v>22278400</v>
      </c>
      <c r="D66" s="127">
        <f t="shared" si="2"/>
        <v>105154048000</v>
      </c>
      <c r="E66" s="128">
        <f t="shared" si="3"/>
        <v>496327106560000</v>
      </c>
      <c r="F66" s="129">
        <f>'Zero Gas Annual Calibration'!$K$27+'Zero Gas Annual Calibration'!$K$28*'Chart Data Zero Gas'!B66</f>
        <v>4752.5315942883663</v>
      </c>
      <c r="G66" s="72">
        <f t="shared" si="4"/>
        <v>4715.7843070013068</v>
      </c>
      <c r="H66" s="108">
        <f t="shared" si="10"/>
        <v>4789.2788815754257</v>
      </c>
      <c r="I66" s="90"/>
      <c r="J66" s="130">
        <f>'Zero Gas Annual Calibration'!$U$30+'Chart Data Zero Gas'!B66*'Zero Gas Annual Calibration'!$U$31+'Chart Data Zero Gas'!B66^2*'Zero Gas Annual Calibration'!$U$32</f>
        <v>4745.0338723062832</v>
      </c>
      <c r="K66" s="75">
        <f t="shared" si="11"/>
        <v>4708.5578944176568</v>
      </c>
      <c r="L66" s="110">
        <f t="shared" si="5"/>
        <v>4781.5098501949096</v>
      </c>
      <c r="M66" s="91"/>
      <c r="N66" s="111">
        <f>'Zero Gas Annual Calibration'!$AD$30+B66*'Zero Gas Annual Calibration'!$AD$31+B66^2*'Zero Gas Annual Calibration'!$AD$32+B66^3*'Zero Gas Annual Calibration'!$AD$33</f>
        <v>4744.7424369336122</v>
      </c>
      <c r="O66" s="131">
        <f t="shared" si="6"/>
        <v>4714.4811539475504</v>
      </c>
      <c r="P66" s="112">
        <f t="shared" si="7"/>
        <v>4775.003719919674</v>
      </c>
      <c r="Q66" s="92"/>
      <c r="R66" s="132">
        <f>SUMPRODUCT(A66:E66,'Zero Gas Annual Calibration'!$BI$43:$BM$43)</f>
        <v>4734.7164258524108</v>
      </c>
      <c r="S66" s="81" t="e">
        <f t="shared" si="8"/>
        <v>#DIV/0!</v>
      </c>
      <c r="T66" s="114" t="e">
        <f t="shared" si="9"/>
        <v>#DIV/0!</v>
      </c>
      <c r="U66" s="81"/>
      <c r="V66" s="71">
        <f>SUMPRODUCT($A66:$B66,'Zero Gas Annual Calibration'!$K$52:$L$52)</f>
        <v>206.31273892523217</v>
      </c>
      <c r="W66" s="90">
        <f>SUMPRODUCT($A66:$B66,'Zero Gas Annual Calibration'!$K$53:$L$53)</f>
        <v>-1.5462410840220826E-2</v>
      </c>
      <c r="X66" s="74">
        <f>SUMPRODUCT($A66:$C66,'Zero Gas Annual Calibration'!$U$59:$W$59)</f>
        <v>198.62893496909476</v>
      </c>
      <c r="Y66" s="75">
        <f>SUMPRODUCT($A66:$C66,'Zero Gas Annual Calibration'!$U$60:$W$60)</f>
        <v>-3.2952249883765723E-2</v>
      </c>
      <c r="Z66" s="75">
        <f>SUMPRODUCT($A66:$C66,'Zero Gas Annual Calibration'!$U$61:$W$61)</f>
        <v>1.2915933820882295E-6</v>
      </c>
      <c r="AA66" s="133">
        <f>SUMPRODUCT($A66:$D66,'Zero Gas Annual Calibration'!$AD$59:$AG$59)</f>
        <v>162.16950733073202</v>
      </c>
      <c r="AB66" s="112">
        <f>SUMPRODUCT($A66:$D66,'Zero Gas Annual Calibration'!$AD$60:$AG$60)</f>
        <v>-1.8943425634166899E-2</v>
      </c>
      <c r="AC66" s="112">
        <f>SUMPRODUCT($A66:$D66,'Zero Gas Annual Calibration'!$AD$61:$AG$61)</f>
        <v>-2.7944561941039913E-7</v>
      </c>
      <c r="AD66" s="134">
        <f>SUMPRODUCT($A66:$D66,'Zero Gas Annual Calibration'!$AD$62:$AG$62)</f>
        <v>5.2682489039244397E-11</v>
      </c>
      <c r="AE66" s="81" t="e">
        <f>SUMPRODUCT(A66:E66,'Zero Gas Annual Calibration'!$BG$59:$BK$59)</f>
        <v>#DIV/0!</v>
      </c>
      <c r="AF66" s="81" t="e">
        <f>SUMPRODUCT(A66:E66,'Zero Gas Annual Calibration'!$BG$60:$BK$60)</f>
        <v>#DIV/0!</v>
      </c>
      <c r="AG66" s="81" t="e">
        <f>SUMPRODUCT(A66:E66,'Zero Gas Annual Calibration'!$BG$61:$BK$61)</f>
        <v>#DIV/0!</v>
      </c>
      <c r="AH66" s="81" t="e">
        <f>SUMPRODUCT(A66:E66,'Zero Gas Annual Calibration'!$BG$62:$BK$62)</f>
        <v>#DIV/0!</v>
      </c>
      <c r="AI66" s="135" t="e">
        <f>SUMPRODUCT(A66:E66,'Zero Gas Annual Calibration'!$BG$63:$BK$63)</f>
        <v>#DIV/0!</v>
      </c>
    </row>
    <row r="67" spans="1:35" ht="18" customHeight="1" x14ac:dyDescent="0.2">
      <c r="A67" s="124">
        <v>1</v>
      </c>
      <c r="B67" s="125">
        <f t="shared" si="0"/>
        <v>4960</v>
      </c>
      <c r="C67" s="126">
        <f t="shared" si="1"/>
        <v>24601600</v>
      </c>
      <c r="D67" s="127">
        <f t="shared" si="2"/>
        <v>122023936000</v>
      </c>
      <c r="E67" s="128">
        <f t="shared" si="3"/>
        <v>605238722560000</v>
      </c>
      <c r="F67" s="129">
        <f>'Zero Gas Annual Calibration'!$K$27+'Zero Gas Annual Calibration'!$K$28*'Chart Data Zero Gas'!B67</f>
        <v>4992.6269823401544</v>
      </c>
      <c r="G67" s="72">
        <f t="shared" si="4"/>
        <v>4956.8889456301322</v>
      </c>
      <c r="H67" s="108">
        <f t="shared" si="10"/>
        <v>5028.3650190501767</v>
      </c>
      <c r="I67" s="90"/>
      <c r="J67" s="130">
        <f>'Zero Gas Annual Calibration'!$U$30+'Chart Data Zero Gas'!B67*'Zero Gas Annual Calibration'!$U$31+'Chart Data Zero Gas'!B67^2*'Zero Gas Annual Calibration'!$U$32</f>
        <v>4987.1535598572837</v>
      </c>
      <c r="K67" s="75">
        <f t="shared" si="11"/>
        <v>4952.9975348169537</v>
      </c>
      <c r="L67" s="110">
        <f t="shared" si="5"/>
        <v>5021.3095848976136</v>
      </c>
      <c r="M67" s="91"/>
      <c r="N67" s="111">
        <f>'Zero Gas Annual Calibration'!$AD$30+B67*'Zero Gas Annual Calibration'!$AD$31+B67^2*'Zero Gas Annual Calibration'!$AD$32+B67^3*'Zero Gas Annual Calibration'!$AD$33</f>
        <v>4985.9939800582724</v>
      </c>
      <c r="O67" s="131">
        <f t="shared" si="6"/>
        <v>4956.9887909502058</v>
      </c>
      <c r="P67" s="112">
        <f t="shared" si="7"/>
        <v>5014.999169166339</v>
      </c>
      <c r="Q67" s="92"/>
      <c r="R67" s="132">
        <f>SUMPRODUCT(A67:E67,'Zero Gas Annual Calibration'!$BI$43:$BM$43)</f>
        <v>4974.0433511831043</v>
      </c>
      <c r="S67" s="81" t="e">
        <f t="shared" si="8"/>
        <v>#DIV/0!</v>
      </c>
      <c r="T67" s="114" t="e">
        <f t="shared" si="9"/>
        <v>#DIV/0!</v>
      </c>
      <c r="U67" s="81"/>
      <c r="V67" s="71">
        <f>SUMPRODUCT($A67:$B67,'Zero Gas Annual Calibration'!$K$52:$L$52)</f>
        <v>198.69197929683762</v>
      </c>
      <c r="W67" s="90">
        <f>SUMPRODUCT($A67:$B67,'Zero Gas Annual Calibration'!$K$53:$L$53)</f>
        <v>-1.4634067402351854E-2</v>
      </c>
      <c r="X67" s="74">
        <f>SUMPRODUCT($A67:$C67,'Zero Gas Annual Calibration'!$U$59:$W$59)</f>
        <v>166.58868664161122</v>
      </c>
      <c r="Y67" s="75">
        <f>SUMPRODUCT($A67:$C67,'Zero Gas Annual Calibration'!$U$60:$W$60)</f>
        <v>-2.5557936028537509E-2</v>
      </c>
      <c r="Z67" s="75">
        <f>SUMPRODUCT($A67:$C67,'Zero Gas Annual Calibration'!$U$61:$W$61)</f>
        <v>9.4287788653962515E-7</v>
      </c>
      <c r="AA67" s="133">
        <f>SUMPRODUCT($A67:$D67,'Zero Gas Annual Calibration'!$AD$59:$AG$59)</f>
        <v>21.521823579005741</v>
      </c>
      <c r="AB67" s="112">
        <f>SUMPRODUCT($A67:$D67,'Zero Gas Annual Calibration'!$AD$60:$AG$60)</f>
        <v>3.0181177850079621E-2</v>
      </c>
      <c r="AC67" s="112">
        <f>SUMPRODUCT($A67:$D67,'Zero Gas Annual Calibration'!$AD$61:$AG$61)</f>
        <v>-5.3080622531932457E-6</v>
      </c>
      <c r="AD67" s="134">
        <f>SUMPRODUCT($A67:$D67,'Zero Gas Annual Calibration'!$AD$62:$AG$62)</f>
        <v>2.0961611079184386E-10</v>
      </c>
      <c r="AE67" s="81" t="e">
        <f>SUMPRODUCT(A67:E67,'Zero Gas Annual Calibration'!$BG$59:$BK$59)</f>
        <v>#DIV/0!</v>
      </c>
      <c r="AF67" s="81" t="e">
        <f>SUMPRODUCT(A67:E67,'Zero Gas Annual Calibration'!$BG$60:$BK$60)</f>
        <v>#DIV/0!</v>
      </c>
      <c r="AG67" s="81" t="e">
        <f>SUMPRODUCT(A67:E67,'Zero Gas Annual Calibration'!$BG$61:$BK$61)</f>
        <v>#DIV/0!</v>
      </c>
      <c r="AH67" s="81" t="e">
        <f>SUMPRODUCT(A67:E67,'Zero Gas Annual Calibration'!$BG$62:$BK$62)</f>
        <v>#DIV/0!</v>
      </c>
      <c r="AI67" s="135" t="e">
        <f>SUMPRODUCT(A67:E67,'Zero Gas Annual Calibration'!$BG$63:$BK$63)</f>
        <v>#DIV/0!</v>
      </c>
    </row>
    <row r="68" spans="1:35" ht="18" customHeight="1" x14ac:dyDescent="0.2">
      <c r="A68" s="124">
        <v>1</v>
      </c>
      <c r="B68" s="125">
        <f t="shared" si="0"/>
        <v>5200</v>
      </c>
      <c r="C68" s="126">
        <f t="shared" si="1"/>
        <v>27040000</v>
      </c>
      <c r="D68" s="127">
        <f t="shared" si="2"/>
        <v>140608000000</v>
      </c>
      <c r="E68" s="128">
        <f t="shared" si="3"/>
        <v>731161600000000</v>
      </c>
      <c r="F68" s="129">
        <f>'Zero Gas Annual Calibration'!$K$27+'Zero Gas Annual Calibration'!$K$28*'Chart Data Zero Gas'!B68</f>
        <v>5232.7223703919417</v>
      </c>
      <c r="G68" s="72">
        <f t="shared" si="4"/>
        <v>5197.9649490172451</v>
      </c>
      <c r="H68" s="108">
        <f t="shared" si="10"/>
        <v>5267.4797917666383</v>
      </c>
      <c r="I68" s="90"/>
      <c r="J68" s="130">
        <f>'Zero Gas Annual Calibration'!$U$30+'Chart Data Zero Gas'!B68*'Zero Gas Annual Calibration'!$U$31+'Chart Data Zero Gas'!B68^2*'Zero Gas Annual Calibration'!$U$32</f>
        <v>5229.1803357456984</v>
      </c>
      <c r="K68" s="75">
        <f t="shared" si="11"/>
        <v>5196.9150170719522</v>
      </c>
      <c r="L68" s="110">
        <f t="shared" si="5"/>
        <v>5261.4456544194445</v>
      </c>
      <c r="M68" s="91"/>
      <c r="N68" s="111">
        <f>'Zero Gas Annual Calibration'!$AD$30+B68*'Zero Gas Annual Calibration'!$AD$31+B68^2*'Zero Gas Annual Calibration'!$AD$32+B68^3*'Zero Gas Annual Calibration'!$AD$33</f>
        <v>5227.2835878710193</v>
      </c>
      <c r="O68" s="131">
        <f t="shared" si="6"/>
        <v>5198.5936478000931</v>
      </c>
      <c r="P68" s="112">
        <f t="shared" si="7"/>
        <v>5255.9735279419456</v>
      </c>
      <c r="Q68" s="92"/>
      <c r="R68" s="132">
        <f>SUMPRODUCT(A68:E68,'Zero Gas Annual Calibration'!$BI$43:$BM$43)</f>
        <v>5214.4103764110851</v>
      </c>
      <c r="S68" s="81" t="e">
        <f t="shared" si="8"/>
        <v>#DIV/0!</v>
      </c>
      <c r="T68" s="114" t="e">
        <f t="shared" si="9"/>
        <v>#DIV/0!</v>
      </c>
      <c r="U68" s="81"/>
      <c r="V68" s="71">
        <f>SUMPRODUCT($A68:$B68,'Zero Gas Annual Calibration'!$K$52:$L$52)</f>
        <v>191.07121966844309</v>
      </c>
      <c r="W68" s="90">
        <f>SUMPRODUCT($A68:$B68,'Zero Gas Annual Calibration'!$K$53:$L$53)</f>
        <v>-1.3805723964482881E-2</v>
      </c>
      <c r="X68" s="74">
        <f>SUMPRODUCT($A68:$C68,'Zero Gas Annual Calibration'!$U$59:$W$59)</f>
        <v>135.86198547224802</v>
      </c>
      <c r="Y68" s="75">
        <f>SUMPRODUCT($A68:$C68,'Zero Gas Annual Calibration'!$U$60:$W$60)</f>
        <v>-1.8485937946562336E-2</v>
      </c>
      <c r="Z68" s="75">
        <f>SUMPRODUCT($A68:$C68,'Zero Gas Annual Calibration'!$U$61:$W$61)</f>
        <v>6.1016779753954524E-7</v>
      </c>
      <c r="AA68" s="133">
        <f>SUMPRODUCT($A68:$D68,'Zero Gas Annual Calibration'!$AD$59:$AG$59)</f>
        <v>-101.42678416061517</v>
      </c>
      <c r="AB68" s="112">
        <f>SUMPRODUCT($A68:$D68,'Zero Gas Annual Calibration'!$AD$60:$AG$60)</f>
        <v>7.2687645554546987E-2</v>
      </c>
      <c r="AC68" s="112">
        <f>SUMPRODUCT($A68:$D68,'Zero Gas Annual Calibration'!$AD$61:$AG$61)</f>
        <v>-9.6146200243745004E-6</v>
      </c>
      <c r="AD68" s="134">
        <f>SUMPRODUCT($A68:$D68,'Zero Gas Annual Calibration'!$AD$62:$AG$62)</f>
        <v>3.4287326529942205E-10</v>
      </c>
      <c r="AE68" s="81" t="e">
        <f>SUMPRODUCT(A68:E68,'Zero Gas Annual Calibration'!$BG$59:$BK$59)</f>
        <v>#DIV/0!</v>
      </c>
      <c r="AF68" s="81" t="e">
        <f>SUMPRODUCT(A68:E68,'Zero Gas Annual Calibration'!$BG$60:$BK$60)</f>
        <v>#DIV/0!</v>
      </c>
      <c r="AG68" s="81" t="e">
        <f>SUMPRODUCT(A68:E68,'Zero Gas Annual Calibration'!$BG$61:$BK$61)</f>
        <v>#DIV/0!</v>
      </c>
      <c r="AH68" s="81" t="e">
        <f>SUMPRODUCT(A68:E68,'Zero Gas Annual Calibration'!$BG$62:$BK$62)</f>
        <v>#DIV/0!</v>
      </c>
      <c r="AI68" s="135" t="e">
        <f>SUMPRODUCT(A68:E68,'Zero Gas Annual Calibration'!$BG$63:$BK$63)</f>
        <v>#DIV/0!</v>
      </c>
    </row>
    <row r="69" spans="1:35" ht="18" customHeight="1" x14ac:dyDescent="0.2">
      <c r="A69" s="124">
        <v>1</v>
      </c>
      <c r="B69" s="125">
        <f t="shared" si="0"/>
        <v>5440</v>
      </c>
      <c r="C69" s="126">
        <f t="shared" si="1"/>
        <v>29593600</v>
      </c>
      <c r="D69" s="127">
        <f t="shared" si="2"/>
        <v>160989184000</v>
      </c>
      <c r="E69" s="128">
        <f t="shared" si="3"/>
        <v>875781160960000</v>
      </c>
      <c r="F69" s="129">
        <f>'Zero Gas Annual Calibration'!$K$27+'Zero Gas Annual Calibration'!$K$28*'Chart Data Zero Gas'!B69</f>
        <v>5472.8177584437299</v>
      </c>
      <c r="G69" s="72">
        <f t="shared" si="4"/>
        <v>5439.0098253340066</v>
      </c>
      <c r="H69" s="108">
        <f t="shared" si="10"/>
        <v>5506.6256915534532</v>
      </c>
      <c r="I69" s="90"/>
      <c r="J69" s="130">
        <f>'Zero Gas Annual Calibration'!$U$30+'Chart Data Zero Gas'!B69*'Zero Gas Annual Calibration'!$U$31+'Chart Data Zero Gas'!B69^2*'Zero Gas Annual Calibration'!$U$32</f>
        <v>5471.1141999715264</v>
      </c>
      <c r="K69" s="75">
        <f t="shared" si="11"/>
        <v>5440.3004074128903</v>
      </c>
      <c r="L69" s="110">
        <f t="shared" si="5"/>
        <v>5501.9279925301626</v>
      </c>
      <c r="M69" s="91"/>
      <c r="N69" s="111">
        <f>'Zero Gas Annual Calibration'!$AD$30+B69*'Zero Gas Annual Calibration'!$AD$31+B69^2*'Zero Gas Annual Calibration'!$AD$32+B69^3*'Zero Gas Annual Calibration'!$AD$33</f>
        <v>5468.6049486369011</v>
      </c>
      <c r="O69" s="131">
        <f t="shared" si="6"/>
        <v>5439.5924125782349</v>
      </c>
      <c r="P69" s="112">
        <f t="shared" si="7"/>
        <v>5497.6174846955673</v>
      </c>
      <c r="Q69" s="92"/>
      <c r="R69" s="132">
        <f>SUMPRODUCT(A69:E69,'Zero Gas Annual Calibration'!$BI$43:$BM$43)</f>
        <v>5455.6713462911339</v>
      </c>
      <c r="S69" s="81" t="e">
        <f t="shared" si="8"/>
        <v>#DIV/0!</v>
      </c>
      <c r="T69" s="114" t="e">
        <f t="shared" si="9"/>
        <v>#DIV/0!</v>
      </c>
      <c r="U69" s="81"/>
      <c r="V69" s="71">
        <f>SUMPRODUCT($A69:$B69,'Zero Gas Annual Calibration'!$K$52:$L$52)</f>
        <v>183.45046004004854</v>
      </c>
      <c r="W69" s="90">
        <f>SUMPRODUCT($A69:$B69,'Zero Gas Annual Calibration'!$K$53:$L$53)</f>
        <v>-1.2977380526613909E-2</v>
      </c>
      <c r="X69" s="74">
        <f>SUMPRODUCT($A69:$C69,'Zero Gas Annual Calibration'!$U$59:$W$59)</f>
        <v>106.44883146100506</v>
      </c>
      <c r="Y69" s="75">
        <f>SUMPRODUCT($A69:$C69,'Zero Gas Annual Calibration'!$U$60:$W$60)</f>
        <v>-1.1736255637840226E-2</v>
      </c>
      <c r="Z69" s="75">
        <f>SUMPRODUCT($A69:$C69,'Zero Gas Annual Calibration'!$U$61:$W$61)</f>
        <v>2.9346311508798974E-7</v>
      </c>
      <c r="AA69" s="133">
        <f>SUMPRODUCT($A69:$D69,'Zero Gas Annual Calibration'!$AD$59:$AG$59)</f>
        <v>-207.46593259866813</v>
      </c>
      <c r="AB69" s="112">
        <f>SUMPRODUCT($A69:$D69,'Zero Gas Annual Calibration'!$AD$60:$AG$60)</f>
        <v>0.10887937230573042</v>
      </c>
      <c r="AC69" s="112">
        <f>SUMPRODUCT($A69:$D69,'Zero Gas Annual Calibration'!$AD$61:$AG$61)</f>
        <v>-1.3233143566055854E-5</v>
      </c>
      <c r="AD69" s="134">
        <f>SUMPRODUCT($A69:$D69,'Zero Gas Annual Calibration'!$AD$62:$AG$62)</f>
        <v>4.5359491873705969E-10</v>
      </c>
      <c r="AE69" s="81" t="e">
        <f>SUMPRODUCT(A69:E69,'Zero Gas Annual Calibration'!$BG$59:$BK$59)</f>
        <v>#DIV/0!</v>
      </c>
      <c r="AF69" s="81" t="e">
        <f>SUMPRODUCT(A69:E69,'Zero Gas Annual Calibration'!$BG$60:$BK$60)</f>
        <v>#DIV/0!</v>
      </c>
      <c r="AG69" s="81" t="e">
        <f>SUMPRODUCT(A69:E69,'Zero Gas Annual Calibration'!$BG$61:$BK$61)</f>
        <v>#DIV/0!</v>
      </c>
      <c r="AH69" s="81" t="e">
        <f>SUMPRODUCT(A69:E69,'Zero Gas Annual Calibration'!$BG$62:$BK$62)</f>
        <v>#DIV/0!</v>
      </c>
      <c r="AI69" s="135" t="e">
        <f>SUMPRODUCT(A69:E69,'Zero Gas Annual Calibration'!$BG$63:$BK$63)</f>
        <v>#DIV/0!</v>
      </c>
    </row>
    <row r="70" spans="1:35" ht="18" customHeight="1" x14ac:dyDescent="0.2">
      <c r="A70" s="124">
        <v>1</v>
      </c>
      <c r="B70" s="125">
        <f t="shared" si="0"/>
        <v>5680</v>
      </c>
      <c r="C70" s="126">
        <f t="shared" si="1"/>
        <v>32262400</v>
      </c>
      <c r="D70" s="127">
        <f t="shared" si="2"/>
        <v>183250432000</v>
      </c>
      <c r="E70" s="128">
        <f t="shared" si="3"/>
        <v>1040862453760000</v>
      </c>
      <c r="F70" s="129">
        <f>'Zero Gas Annual Calibration'!$K$27+'Zero Gas Annual Calibration'!$K$28*'Chart Data Zero Gas'!B70</f>
        <v>5712.9131464955171</v>
      </c>
      <c r="G70" s="72">
        <f t="shared" si="4"/>
        <v>5680.0208788709378</v>
      </c>
      <c r="H70" s="108">
        <f t="shared" si="10"/>
        <v>5745.8054141200964</v>
      </c>
      <c r="I70" s="90"/>
      <c r="J70" s="130">
        <f>'Zero Gas Annual Calibration'!$U$30+'Chart Data Zero Gas'!B70*'Zero Gas Annual Calibration'!$U$31+'Chart Data Zero Gas'!B70^2*'Zero Gas Annual Calibration'!$U$32</f>
        <v>5712.9551525347697</v>
      </c>
      <c r="K70" s="75">
        <f t="shared" si="11"/>
        <v>5683.1575260834197</v>
      </c>
      <c r="L70" s="110">
        <f t="shared" si="5"/>
        <v>5742.7527789861197</v>
      </c>
      <c r="M70" s="91"/>
      <c r="N70" s="111">
        <f>'Zero Gas Annual Calibration'!$AD$30+B70*'Zero Gas Annual Calibration'!$AD$31+B70^2*'Zero Gas Annual Calibration'!$AD$32+B70^3*'Zero Gas Annual Calibration'!$AD$33</f>
        <v>5709.951750620965</v>
      </c>
      <c r="O70" s="131">
        <f t="shared" si="6"/>
        <v>5680.2586902592066</v>
      </c>
      <c r="P70" s="112">
        <f t="shared" si="7"/>
        <v>5739.6448109827234</v>
      </c>
      <c r="Q70" s="92"/>
      <c r="R70" s="132">
        <f>SUMPRODUCT(A70:E70,'Zero Gas Annual Calibration'!$BI$43:$BM$43)</f>
        <v>5697.6873127028848</v>
      </c>
      <c r="S70" s="81" t="e">
        <f t="shared" si="8"/>
        <v>#DIV/0!</v>
      </c>
      <c r="T70" s="114" t="e">
        <f t="shared" si="9"/>
        <v>#DIV/0!</v>
      </c>
      <c r="U70" s="81"/>
      <c r="V70" s="71">
        <f>SUMPRODUCT($A70:$B70,'Zero Gas Annual Calibration'!$K$52:$L$52)</f>
        <v>175.82970041165399</v>
      </c>
      <c r="W70" s="90">
        <f>SUMPRODUCT($A70:$B70,'Zero Gas Annual Calibration'!$K$53:$L$53)</f>
        <v>-1.2149037088744936E-2</v>
      </c>
      <c r="X70" s="74">
        <f>SUMPRODUCT($A70:$C70,'Zero Gas Annual Calibration'!$U$59:$W$59)</f>
        <v>78.349224607882491</v>
      </c>
      <c r="Y70" s="75">
        <f>SUMPRODUCT($A70:$C70,'Zero Gas Annual Calibration'!$U$60:$W$60)</f>
        <v>-5.3088891023711643E-3</v>
      </c>
      <c r="Z70" s="75">
        <f>SUMPRODUCT($A70:$C70,'Zero Gas Annual Calibration'!$U$61:$W$61)</f>
        <v>-7.2361608150426279E-9</v>
      </c>
      <c r="AA70" s="133">
        <f>SUMPRODUCT($A70:$D70,'Zero Gas Annual Calibration'!$AD$59:$AG$59)</f>
        <v>-297.38523844568749</v>
      </c>
      <c r="AB70" s="112">
        <f>SUMPRODUCT($A70:$D70,'Zero Gas Annual Calibration'!$AD$60:$AG$60)</f>
        <v>0.13905975293012485</v>
      </c>
      <c r="AC70" s="112">
        <f>SUMPRODUCT($A70:$D70,'Zero Gas Annual Calibration'!$AD$61:$AG$61)</f>
        <v>-1.6197657511338867E-5</v>
      </c>
      <c r="AD70" s="134">
        <f>SUMPRODUCT($A70:$D70,'Zero Gas Annual Calibration'!$AD$62:$AG$62)</f>
        <v>5.429220372798327E-10</v>
      </c>
      <c r="AE70" s="81" t="e">
        <f>SUMPRODUCT(A70:E70,'Zero Gas Annual Calibration'!$BG$59:$BK$59)</f>
        <v>#DIV/0!</v>
      </c>
      <c r="AF70" s="81" t="e">
        <f>SUMPRODUCT(A70:E70,'Zero Gas Annual Calibration'!$BG$60:$BK$60)</f>
        <v>#DIV/0!</v>
      </c>
      <c r="AG70" s="81" t="e">
        <f>SUMPRODUCT(A70:E70,'Zero Gas Annual Calibration'!$BG$61:$BK$61)</f>
        <v>#DIV/0!</v>
      </c>
      <c r="AH70" s="81" t="e">
        <f>SUMPRODUCT(A70:E70,'Zero Gas Annual Calibration'!$BG$62:$BK$62)</f>
        <v>#DIV/0!</v>
      </c>
      <c r="AI70" s="135" t="e">
        <f>SUMPRODUCT(A70:E70,'Zero Gas Annual Calibration'!$BG$63:$BK$63)</f>
        <v>#DIV/0!</v>
      </c>
    </row>
    <row r="71" spans="1:35" ht="18" customHeight="1" x14ac:dyDescent="0.2">
      <c r="A71" s="124">
        <v>1</v>
      </c>
      <c r="B71" s="125">
        <f t="shared" si="0"/>
        <v>5920</v>
      </c>
      <c r="C71" s="126">
        <f t="shared" si="1"/>
        <v>35046400</v>
      </c>
      <c r="D71" s="127">
        <f t="shared" si="2"/>
        <v>207474688000</v>
      </c>
      <c r="E71" s="128">
        <f t="shared" si="3"/>
        <v>1228250152960000</v>
      </c>
      <c r="F71" s="129">
        <f>'Zero Gas Annual Calibration'!$K$27+'Zero Gas Annual Calibration'!$K$28*'Chart Data Zero Gas'!B71</f>
        <v>5953.0085345473053</v>
      </c>
      <c r="G71" s="72">
        <f t="shared" si="4"/>
        <v>5920.9952072346932</v>
      </c>
      <c r="H71" s="108">
        <f t="shared" si="10"/>
        <v>5985.0218618599174</v>
      </c>
      <c r="I71" s="90"/>
      <c r="J71" s="130">
        <f>'Zero Gas Annual Calibration'!$U$30+'Chart Data Zero Gas'!B71*'Zero Gas Annual Calibration'!$U$31+'Chart Data Zero Gas'!B71^2*'Zero Gas Annual Calibration'!$U$32</f>
        <v>5954.7031934354272</v>
      </c>
      <c r="K71" s="75">
        <f t="shared" si="11"/>
        <v>5925.5068030156863</v>
      </c>
      <c r="L71" s="110">
        <f t="shared" si="5"/>
        <v>5983.8995838551682</v>
      </c>
      <c r="M71" s="91"/>
      <c r="N71" s="111">
        <f>'Zero Gas Annual Calibration'!$AD$30+B71*'Zero Gas Annual Calibration'!$AD$31+B71^2*'Zero Gas Annual Calibration'!$AD$32+B71^3*'Zero Gas Annual Calibration'!$AD$33</f>
        <v>5951.3176820882582</v>
      </c>
      <c r="O71" s="131">
        <f t="shared" si="6"/>
        <v>5920.8050521255627</v>
      </c>
      <c r="P71" s="112">
        <f t="shared" si="7"/>
        <v>5981.8303120509536</v>
      </c>
      <c r="Q71" s="92"/>
      <c r="R71" s="132">
        <f>SUMPRODUCT(A71:E71,'Zero Gas Annual Calibration'!$BI$43:$BM$43)</f>
        <v>5940.3265346508288</v>
      </c>
      <c r="S71" s="81" t="e">
        <f t="shared" si="8"/>
        <v>#DIV/0!</v>
      </c>
      <c r="T71" s="114" t="e">
        <f t="shared" si="9"/>
        <v>#DIV/0!</v>
      </c>
      <c r="U71" s="81"/>
      <c r="V71" s="71">
        <f>SUMPRODUCT($A71:$B71,'Zero Gas Annual Calibration'!$K$52:$L$52)</f>
        <v>168.20894078325944</v>
      </c>
      <c r="W71" s="90">
        <f>SUMPRODUCT($A71:$B71,'Zero Gas Annual Calibration'!$K$53:$L$53)</f>
        <v>-1.1320693650875964E-2</v>
      </c>
      <c r="X71" s="74">
        <f>SUMPRODUCT($A71:$C71,'Zero Gas Annual Calibration'!$U$59:$W$59)</f>
        <v>51.563164912880154</v>
      </c>
      <c r="Y71" s="75">
        <f>SUMPRODUCT($A71:$C71,'Zero Gas Annual Calibration'!$U$60:$W$60)</f>
        <v>7.9616165984486287E-4</v>
      </c>
      <c r="Z71" s="75">
        <f>SUMPRODUCT($A71:$C71,'Zero Gas Annual Calibration'!$U$61:$W$61)</f>
        <v>-2.9193003016954592E-7</v>
      </c>
      <c r="AA71" s="133">
        <f>SUMPRODUCT($A71:$D71,'Zero Gas Annual Calibration'!$AD$59:$AG$59)</f>
        <v>-371.97431841221533</v>
      </c>
      <c r="AB71" s="112">
        <f>SUMPRODUCT($A71:$D71,'Zero Gas Annual Calibration'!$AD$60:$AG$60)</f>
        <v>0.16353218225422717</v>
      </c>
      <c r="AC71" s="112">
        <f>SUMPRODUCT($A71:$D71,'Zero Gas Annual Calibration'!$AD$61:$AG$61)</f>
        <v>-1.8542186493325109E-5</v>
      </c>
      <c r="AD71" s="134">
        <f>SUMPRODUCT($A71:$D71,'Zero Gas Annual Calibration'!$AD$62:$AG$62)</f>
        <v>6.1199558710282219E-10</v>
      </c>
      <c r="AE71" s="81" t="e">
        <f>SUMPRODUCT(A71:E71,'Zero Gas Annual Calibration'!$BG$59:$BK$59)</f>
        <v>#DIV/0!</v>
      </c>
      <c r="AF71" s="81" t="e">
        <f>SUMPRODUCT(A71:E71,'Zero Gas Annual Calibration'!$BG$60:$BK$60)</f>
        <v>#DIV/0!</v>
      </c>
      <c r="AG71" s="81" t="e">
        <f>SUMPRODUCT(A71:E71,'Zero Gas Annual Calibration'!$BG$61:$BK$61)</f>
        <v>#DIV/0!</v>
      </c>
      <c r="AH71" s="81" t="e">
        <f>SUMPRODUCT(A71:E71,'Zero Gas Annual Calibration'!$BG$62:$BK$62)</f>
        <v>#DIV/0!</v>
      </c>
      <c r="AI71" s="135" t="e">
        <f>SUMPRODUCT(A71:E71,'Zero Gas Annual Calibration'!$BG$63:$BK$63)</f>
        <v>#DIV/0!</v>
      </c>
    </row>
    <row r="72" spans="1:35" ht="18" customHeight="1" x14ac:dyDescent="0.2">
      <c r="A72" s="124">
        <v>1</v>
      </c>
      <c r="B72" s="125">
        <f t="shared" si="0"/>
        <v>6160</v>
      </c>
      <c r="C72" s="126">
        <f t="shared" si="1"/>
        <v>37945600</v>
      </c>
      <c r="D72" s="127">
        <f t="shared" si="2"/>
        <v>233744896000</v>
      </c>
      <c r="E72" s="128">
        <f t="shared" si="3"/>
        <v>1439868559360000</v>
      </c>
      <c r="F72" s="129">
        <f>'Zero Gas Annual Calibration'!$K$27+'Zero Gas Annual Calibration'!$K$28*'Chart Data Zero Gas'!B72</f>
        <v>6193.1039225990926</v>
      </c>
      <c r="G72" s="72">
        <f t="shared" si="4"/>
        <v>6161.9297039310331</v>
      </c>
      <c r="H72" s="108">
        <f t="shared" si="10"/>
        <v>6224.278141267152</v>
      </c>
      <c r="I72" s="90"/>
      <c r="J72" s="130">
        <f>'Zero Gas Annual Calibration'!$U$30+'Chart Data Zero Gas'!B72*'Zero Gas Annual Calibration'!$U$31+'Chart Data Zero Gas'!B72^2*'Zero Gas Annual Calibration'!$U$32</f>
        <v>6196.3583226734991</v>
      </c>
      <c r="K72" s="75">
        <f t="shared" si="11"/>
        <v>6167.3852512830154</v>
      </c>
      <c r="L72" s="110">
        <f t="shared" si="5"/>
        <v>6225.3313940639828</v>
      </c>
      <c r="M72" s="91"/>
      <c r="N72" s="111">
        <f>'Zero Gas Annual Calibration'!$AD$30+B72*'Zero Gas Annual Calibration'!$AD$31+B72^2*'Zero Gas Annual Calibration'!$AD$32+B72^3*'Zero Gas Annual Calibration'!$AD$33</f>
        <v>6192.6964313038297</v>
      </c>
      <c r="O72" s="131">
        <f t="shared" si="6"/>
        <v>6161.3771745547538</v>
      </c>
      <c r="P72" s="112">
        <f t="shared" si="7"/>
        <v>6224.0156880529057</v>
      </c>
      <c r="Q72" s="92"/>
      <c r="R72" s="132">
        <f>SUMPRODUCT(A72:E72,'Zero Gas Annual Calibration'!$BI$43:$BM$43)</f>
        <v>6183.4644782643136</v>
      </c>
      <c r="S72" s="81" t="e">
        <f t="shared" si="8"/>
        <v>#DIV/0!</v>
      </c>
      <c r="T72" s="114" t="e">
        <f t="shared" si="9"/>
        <v>#DIV/0!</v>
      </c>
      <c r="U72" s="81"/>
      <c r="V72" s="71">
        <f>SUMPRODUCT($A72:$B72,'Zero Gas Annual Calibration'!$K$52:$L$52)</f>
        <v>160.58818115486488</v>
      </c>
      <c r="W72" s="90">
        <f>SUMPRODUCT($A72:$B72,'Zero Gas Annual Calibration'!$K$53:$L$53)</f>
        <v>-1.0492350213006991E-2</v>
      </c>
      <c r="X72" s="74">
        <f>SUMPRODUCT($A72:$C72,'Zero Gas Annual Calibration'!$U$59:$W$59)</f>
        <v>26.090652375998161</v>
      </c>
      <c r="Y72" s="75">
        <f>SUMPRODUCT($A72:$C72,'Zero Gas Annual Calibration'!$U$60:$W$60)</f>
        <v>6.5788966488078277E-3</v>
      </c>
      <c r="Z72" s="75">
        <f>SUMPRODUCT($A72:$C72,'Zero Gas Annual Calibration'!$U$61:$W$61)</f>
        <v>-5.6061849297552862E-7</v>
      </c>
      <c r="AA72" s="133">
        <f>SUMPRODUCT($A72:$D72,'Zero Gas Annual Calibration'!$AD$59:$AG$59)</f>
        <v>-432.02278920878734</v>
      </c>
      <c r="AB72" s="112">
        <f>SUMPRODUCT($A72:$D72,'Zero Gas Annual Calibration'!$AD$60:$AG$60)</f>
        <v>0.18260005510453026</v>
      </c>
      <c r="AC72" s="112">
        <f>SUMPRODUCT($A72:$D72,'Zero Gas Annual Calibration'!$AD$61:$AG$61)</f>
        <v>-2.0300755145116257E-5</v>
      </c>
      <c r="AD72" s="134">
        <f>SUMPRODUCT($A72:$D72,'Zero Gas Annual Calibration'!$AD$62:$AG$62)</f>
        <v>6.6195653438109771E-10</v>
      </c>
      <c r="AE72" s="81" t="e">
        <f>SUMPRODUCT(A72:E72,'Zero Gas Annual Calibration'!$BG$59:$BK$59)</f>
        <v>#DIV/0!</v>
      </c>
      <c r="AF72" s="81" t="e">
        <f>SUMPRODUCT(A72:E72,'Zero Gas Annual Calibration'!$BG$60:$BK$60)</f>
        <v>#DIV/0!</v>
      </c>
      <c r="AG72" s="81" t="e">
        <f>SUMPRODUCT(A72:E72,'Zero Gas Annual Calibration'!$BG$61:$BK$61)</f>
        <v>#DIV/0!</v>
      </c>
      <c r="AH72" s="81" t="e">
        <f>SUMPRODUCT(A72:E72,'Zero Gas Annual Calibration'!$BG$62:$BK$62)</f>
        <v>#DIV/0!</v>
      </c>
      <c r="AI72" s="135" t="e">
        <f>SUMPRODUCT(A72:E72,'Zero Gas Annual Calibration'!$BG$63:$BK$63)</f>
        <v>#DIV/0!</v>
      </c>
    </row>
    <row r="73" spans="1:35" ht="18" customHeight="1" x14ac:dyDescent="0.2">
      <c r="A73" s="124">
        <v>1</v>
      </c>
      <c r="B73" s="125">
        <f t="shared" si="0"/>
        <v>6400</v>
      </c>
      <c r="C73" s="126">
        <f t="shared" si="1"/>
        <v>40960000</v>
      </c>
      <c r="D73" s="127">
        <f t="shared" si="2"/>
        <v>262144000000</v>
      </c>
      <c r="E73" s="128">
        <f t="shared" si="3"/>
        <v>1677721600000000</v>
      </c>
      <c r="F73" s="129">
        <f>'Zero Gas Annual Calibration'!$K$27+'Zero Gas Annual Calibration'!$K$28*'Chart Data Zero Gas'!B73</f>
        <v>6433.1993106508808</v>
      </c>
      <c r="G73" s="72">
        <f t="shared" si="4"/>
        <v>6402.821068086414</v>
      </c>
      <c r="H73" s="108">
        <f t="shared" si="10"/>
        <v>6463.5775532153475</v>
      </c>
      <c r="I73" s="90"/>
      <c r="J73" s="130">
        <f>'Zero Gas Annual Calibration'!$U$30+'Chart Data Zero Gas'!B73*'Zero Gas Annual Calibration'!$U$31+'Chart Data Zero Gas'!B73^2*'Zero Gas Annual Calibration'!$U$32</f>
        <v>6437.9205402489843</v>
      </c>
      <c r="K73" s="75">
        <f t="shared" si="11"/>
        <v>6408.8432407733135</v>
      </c>
      <c r="L73" s="110">
        <f t="shared" si="5"/>
        <v>6466.997839724655</v>
      </c>
      <c r="M73" s="91"/>
      <c r="N73" s="111">
        <f>'Zero Gas Annual Calibration'!$AD$30+B73*'Zero Gas Annual Calibration'!$AD$31+B73^2*'Zero Gas Annual Calibration'!$AD$32+B73^3*'Zero Gas Annual Calibration'!$AD$33</f>
        <v>6434.0816865327251</v>
      </c>
      <c r="O73" s="131">
        <f t="shared" si="6"/>
        <v>6402.0642972309615</v>
      </c>
      <c r="P73" s="112">
        <f t="shared" si="7"/>
        <v>6466.0990758344888</v>
      </c>
      <c r="Q73" s="92"/>
      <c r="R73" s="132">
        <f>SUMPRODUCT(A73:E73,'Zero Gas Annual Calibration'!$BI$43:$BM$43)</f>
        <v>6426.9838167975377</v>
      </c>
      <c r="S73" s="81" t="e">
        <f t="shared" si="8"/>
        <v>#DIV/0!</v>
      </c>
      <c r="T73" s="114" t="e">
        <f t="shared" si="9"/>
        <v>#DIV/0!</v>
      </c>
      <c r="U73" s="81"/>
      <c r="V73" s="71">
        <f>SUMPRODUCT($A73:$B73,'Zero Gas Annual Calibration'!$K$52:$L$52)</f>
        <v>152.96742152647033</v>
      </c>
      <c r="W73" s="90">
        <f>SUMPRODUCT($A73:$B73,'Zero Gas Annual Calibration'!$K$53:$L$53)</f>
        <v>-9.664006775138019E-3</v>
      </c>
      <c r="X73" s="74">
        <f>SUMPRODUCT($A73:$C73,'Zero Gas Annual Calibration'!$U$59:$W$59)</f>
        <v>1.9316869972364543</v>
      </c>
      <c r="Y73" s="75">
        <f>SUMPRODUCT($A73:$C73,'Zero Gas Annual Calibration'!$U$60:$W$60)</f>
        <v>1.2039315864517744E-2</v>
      </c>
      <c r="Z73" s="75">
        <f>SUMPRODUCT($A73:$C73,'Zero Gas Annual Calibration'!$U$61:$W$61)</f>
        <v>-8.1330154923298395E-7</v>
      </c>
      <c r="AA73" s="133">
        <f>SUMPRODUCT($A73:$D73,'Zero Gas Annual Calibration'!$AD$59:$AG$59)</f>
        <v>-478.32026754594017</v>
      </c>
      <c r="AB73" s="112">
        <f>SUMPRODUCT($A73:$D73,'Zero Gas Annual Calibration'!$AD$60:$AG$60)</f>
        <v>0.19656676630753089</v>
      </c>
      <c r="AC73" s="112">
        <f>SUMPRODUCT($A73:$D73,'Zero Gas Annual Calibration'!$AD$61:$AG$61)</f>
        <v>-2.150738809981373E-5</v>
      </c>
      <c r="AD73" s="134">
        <f>SUMPRODUCT($A73:$D73,'Zero Gas Annual Calibration'!$AD$62:$AG$62)</f>
        <v>6.9394584528974862E-10</v>
      </c>
      <c r="AE73" s="81" t="e">
        <f>SUMPRODUCT(A73:E73,'Zero Gas Annual Calibration'!$BG$59:$BK$59)</f>
        <v>#DIV/0!</v>
      </c>
      <c r="AF73" s="81" t="e">
        <f>SUMPRODUCT(A73:E73,'Zero Gas Annual Calibration'!$BG$60:$BK$60)</f>
        <v>#DIV/0!</v>
      </c>
      <c r="AG73" s="81" t="e">
        <f>SUMPRODUCT(A73:E73,'Zero Gas Annual Calibration'!$BG$61:$BK$61)</f>
        <v>#DIV/0!</v>
      </c>
      <c r="AH73" s="81" t="e">
        <f>SUMPRODUCT(A73:E73,'Zero Gas Annual Calibration'!$BG$62:$BK$62)</f>
        <v>#DIV/0!</v>
      </c>
      <c r="AI73" s="135" t="e">
        <f>SUMPRODUCT(A73:E73,'Zero Gas Annual Calibration'!$BG$63:$BK$63)</f>
        <v>#DIV/0!</v>
      </c>
    </row>
    <row r="74" spans="1:35" ht="18" customHeight="1" x14ac:dyDescent="0.2">
      <c r="A74" s="124">
        <v>1</v>
      </c>
      <c r="B74" s="125">
        <f t="shared" si="0"/>
        <v>6640</v>
      </c>
      <c r="C74" s="126">
        <f t="shared" si="1"/>
        <v>44089600</v>
      </c>
      <c r="D74" s="127">
        <f t="shared" si="2"/>
        <v>292754944000</v>
      </c>
      <c r="E74" s="128">
        <f t="shared" si="3"/>
        <v>1943892828160000</v>
      </c>
      <c r="F74" s="129">
        <f>'Zero Gas Annual Calibration'!$K$27+'Zero Gas Annual Calibration'!$K$28*'Chart Data Zero Gas'!B74</f>
        <v>6673.2946987026689</v>
      </c>
      <c r="G74" s="72">
        <f t="shared" si="4"/>
        <v>6643.6658232456221</v>
      </c>
      <c r="H74" s="108">
        <f t="shared" si="10"/>
        <v>6702.9235741597158</v>
      </c>
      <c r="I74" s="90"/>
      <c r="J74" s="130">
        <f>'Zero Gas Annual Calibration'!$U$30+'Chart Data Zero Gas'!B74*'Zero Gas Annual Calibration'!$U$31+'Chart Data Zero Gas'!B74^2*'Zero Gas Annual Calibration'!$U$32</f>
        <v>6679.3898461618846</v>
      </c>
      <c r="K74" s="75">
        <f t="shared" si="11"/>
        <v>6649.9390855162983</v>
      </c>
      <c r="L74" s="110">
        <f t="shared" si="5"/>
        <v>6708.840606807471</v>
      </c>
      <c r="M74" s="91"/>
      <c r="N74" s="111">
        <f>'Zero Gas Annual Calibration'!$AD$30+B74*'Zero Gas Annual Calibration'!$AD$31+B74^2*'Zero Gas Annual Calibration'!$AD$32+B74^3*'Zero Gas Annual Calibration'!$AD$33</f>
        <v>6675.4671360399934</v>
      </c>
      <c r="O74" s="131">
        <f t="shared" si="6"/>
        <v>6642.9131689083206</v>
      </c>
      <c r="P74" s="112">
        <f t="shared" si="7"/>
        <v>6708.0211031716663</v>
      </c>
      <c r="Q74" s="92"/>
      <c r="R74" s="132">
        <f>SUMPRODUCT(A74:E74,'Zero Gas Annual Calibration'!$BI$43:$BM$43)</f>
        <v>6670.7744306295599</v>
      </c>
      <c r="S74" s="81" t="e">
        <f t="shared" si="8"/>
        <v>#DIV/0!</v>
      </c>
      <c r="T74" s="114" t="e">
        <f t="shared" si="9"/>
        <v>#DIV/0!</v>
      </c>
      <c r="U74" s="81"/>
      <c r="V74" s="71">
        <f>SUMPRODUCT($A74:$B74,'Zero Gas Annual Calibration'!$K$52:$L$52)</f>
        <v>145.34666189807578</v>
      </c>
      <c r="W74" s="90">
        <f>SUMPRODUCT($A74:$B74,'Zero Gas Annual Calibration'!$K$53:$L$53)</f>
        <v>-8.8356633372690431E-3</v>
      </c>
      <c r="X74" s="74">
        <f>SUMPRODUCT($A74:$C74,'Zero Gas Annual Calibration'!$U$59:$W$59)</f>
        <v>-20.913731223404966</v>
      </c>
      <c r="Y74" s="75">
        <f>SUMPRODUCT($A74:$C74,'Zero Gas Annual Calibration'!$U$60:$W$60)</f>
        <v>1.7177419306974612E-2</v>
      </c>
      <c r="Z74" s="75">
        <f>SUMPRODUCT($A74:$C74,'Zero Gas Annual Calibration'!$U$61:$W$61)</f>
        <v>-1.049979198941917E-6</v>
      </c>
      <c r="AA74" s="133">
        <f>SUMPRODUCT($A74:$D74,'Zero Gas Annual Calibration'!$AD$59:$AG$59)</f>
        <v>-511.65637013420974</v>
      </c>
      <c r="AB74" s="112">
        <f>SUMPRODUCT($A74:$D74,'Zero Gas Annual Calibration'!$AD$60:$AG$60)</f>
        <v>0.20573571068972396</v>
      </c>
      <c r="AC74" s="112">
        <f>SUMPRODUCT($A74:$D74,'Zero Gas Annual Calibration'!$AD$61:$AG$61)</f>
        <v>-2.2196109990519136E-5</v>
      </c>
      <c r="AD74" s="134">
        <f>SUMPRODUCT($A74:$D74,'Zero Gas Annual Calibration'!$AD$62:$AG$62)</f>
        <v>7.0910448600384694E-10</v>
      </c>
      <c r="AE74" s="81" t="e">
        <f>SUMPRODUCT(A74:E74,'Zero Gas Annual Calibration'!$BG$59:$BK$59)</f>
        <v>#DIV/0!</v>
      </c>
      <c r="AF74" s="81" t="e">
        <f>SUMPRODUCT(A74:E74,'Zero Gas Annual Calibration'!$BG$60:$BK$60)</f>
        <v>#DIV/0!</v>
      </c>
      <c r="AG74" s="81" t="e">
        <f>SUMPRODUCT(A74:E74,'Zero Gas Annual Calibration'!$BG$61:$BK$61)</f>
        <v>#DIV/0!</v>
      </c>
      <c r="AH74" s="81" t="e">
        <f>SUMPRODUCT(A74:E74,'Zero Gas Annual Calibration'!$BG$62:$BK$62)</f>
        <v>#DIV/0!</v>
      </c>
      <c r="AI74" s="135" t="e">
        <f>SUMPRODUCT(A74:E74,'Zero Gas Annual Calibration'!$BG$63:$BK$63)</f>
        <v>#DIV/0!</v>
      </c>
    </row>
    <row r="75" spans="1:35" ht="18" customHeight="1" x14ac:dyDescent="0.2">
      <c r="A75" s="124">
        <v>1</v>
      </c>
      <c r="B75" s="125">
        <f t="shared" si="0"/>
        <v>6880</v>
      </c>
      <c r="C75" s="126">
        <f t="shared" si="1"/>
        <v>47334400</v>
      </c>
      <c r="D75" s="127">
        <f t="shared" si="2"/>
        <v>325660672000</v>
      </c>
      <c r="E75" s="128">
        <f t="shared" si="3"/>
        <v>2240545423360000</v>
      </c>
      <c r="F75" s="129">
        <f>'Zero Gas Annual Calibration'!$K$27+'Zero Gas Annual Calibration'!$K$28*'Chart Data Zero Gas'!B75</f>
        <v>6913.3900867544562</v>
      </c>
      <c r="G75" s="72">
        <f t="shared" si="4"/>
        <v>6884.4603472430999</v>
      </c>
      <c r="H75" s="108">
        <f t="shared" si="10"/>
        <v>6942.3198262658125</v>
      </c>
      <c r="I75" s="90"/>
      <c r="J75" s="130">
        <f>'Zero Gas Annual Calibration'!$U$30+'Chart Data Zero Gas'!B75*'Zero Gas Annual Calibration'!$U$31+'Chart Data Zero Gas'!B75^2*'Zero Gas Annual Calibration'!$U$32</f>
        <v>6920.7662404121984</v>
      </c>
      <c r="K75" s="75">
        <f t="shared" si="11"/>
        <v>6890.7331886617521</v>
      </c>
      <c r="L75" s="110">
        <f t="shared" si="5"/>
        <v>6950.7992921626446</v>
      </c>
      <c r="M75" s="91"/>
      <c r="N75" s="111">
        <f>'Zero Gas Annual Calibration'!$AD$30+B75*'Zero Gas Annual Calibration'!$AD$31+B75^2*'Zero Gas Annual Calibration'!$AD$32+B75^3*'Zero Gas Annual Calibration'!$AD$33</f>
        <v>6916.8464680906818</v>
      </c>
      <c r="O75" s="131">
        <f t="shared" si="6"/>
        <v>6883.9399603615793</v>
      </c>
      <c r="P75" s="112">
        <f t="shared" si="7"/>
        <v>6949.7529758197843</v>
      </c>
      <c r="Q75" s="92"/>
      <c r="R75" s="132">
        <f>SUMPRODUCT(A75:E75,'Zero Gas Annual Calibration'!$BI$43:$BM$43)</f>
        <v>6914.7334072642925</v>
      </c>
      <c r="S75" s="81" t="e">
        <f t="shared" si="8"/>
        <v>#DIV/0!</v>
      </c>
      <c r="T75" s="114" t="e">
        <f t="shared" si="9"/>
        <v>#DIV/0!</v>
      </c>
      <c r="U75" s="81"/>
      <c r="V75" s="71">
        <f>SUMPRODUCT($A75:$B75,'Zero Gas Annual Calibration'!$K$52:$L$52)</f>
        <v>137.72590226968123</v>
      </c>
      <c r="W75" s="90">
        <f>SUMPRODUCT($A75:$B75,'Zero Gas Annual Calibration'!$K$53:$L$53)</f>
        <v>-8.0073198994000706E-3</v>
      </c>
      <c r="X75" s="74">
        <f>SUMPRODUCT($A75:$C75,'Zero Gas Annual Calibration'!$U$59:$W$59)</f>
        <v>-42.445602285926043</v>
      </c>
      <c r="Y75" s="75">
        <f>SUMPRODUCT($A75:$C75,'Zero Gas Annual Calibration'!$U$60:$W$60)</f>
        <v>2.1993206976178431E-2</v>
      </c>
      <c r="Z75" s="75">
        <f>SUMPRODUCT($A75:$C75,'Zero Gas Annual Calibration'!$U$61:$W$61)</f>
        <v>-1.2706514421023218E-6</v>
      </c>
      <c r="AA75" s="133">
        <f>SUMPRODUCT($A75:$D75,'Zero Gas Annual Calibration'!$AD$59:$AG$59)</f>
        <v>-532.82071368413744</v>
      </c>
      <c r="AB75" s="112">
        <f>SUMPRODUCT($A75:$D75,'Zero Gas Annual Calibration'!$AD$60:$AG$60)</f>
        <v>0.2104102830776049</v>
      </c>
      <c r="AC75" s="112">
        <f>SUMPRODUCT($A75:$D75,'Zero Gas Annual Calibration'!$AD$61:$AG$61)</f>
        <v>-2.2400945450333937E-5</v>
      </c>
      <c r="AD75" s="134">
        <f>SUMPRODUCT($A75:$D75,'Zero Gas Annual Calibration'!$AD$62:$AG$62)</f>
        <v>7.0857342269846427E-10</v>
      </c>
      <c r="AE75" s="81" t="e">
        <f>SUMPRODUCT(A75:E75,'Zero Gas Annual Calibration'!$BG$59:$BK$59)</f>
        <v>#DIV/0!</v>
      </c>
      <c r="AF75" s="81" t="e">
        <f>SUMPRODUCT(A75:E75,'Zero Gas Annual Calibration'!$BG$60:$BK$60)</f>
        <v>#DIV/0!</v>
      </c>
      <c r="AG75" s="81" t="e">
        <f>SUMPRODUCT(A75:E75,'Zero Gas Annual Calibration'!$BG$61:$BK$61)</f>
        <v>#DIV/0!</v>
      </c>
      <c r="AH75" s="81" t="e">
        <f>SUMPRODUCT(A75:E75,'Zero Gas Annual Calibration'!$BG$62:$BK$62)</f>
        <v>#DIV/0!</v>
      </c>
      <c r="AI75" s="135" t="e">
        <f>SUMPRODUCT(A75:E75,'Zero Gas Annual Calibration'!$BG$63:$BK$63)</f>
        <v>#DIV/0!</v>
      </c>
    </row>
    <row r="76" spans="1:35" ht="18" customHeight="1" x14ac:dyDescent="0.2">
      <c r="A76" s="124">
        <v>1</v>
      </c>
      <c r="B76" s="125">
        <f t="shared" si="0"/>
        <v>7120</v>
      </c>
      <c r="C76" s="126">
        <f t="shared" si="1"/>
        <v>50694400</v>
      </c>
      <c r="D76" s="127">
        <f t="shared" si="2"/>
        <v>360944128000</v>
      </c>
      <c r="E76" s="128">
        <f t="shared" si="3"/>
        <v>2569922191360000</v>
      </c>
      <c r="F76" s="129">
        <f>'Zero Gas Annual Calibration'!$K$27+'Zero Gas Annual Calibration'!$K$28*'Chart Data Zero Gas'!B76</f>
        <v>7153.4854748062444</v>
      </c>
      <c r="G76" s="72">
        <f t="shared" si="4"/>
        <v>7125.2009150015965</v>
      </c>
      <c r="H76" s="108">
        <f t="shared" si="10"/>
        <v>7181.7700346108923</v>
      </c>
      <c r="I76" s="90"/>
      <c r="J76" s="130">
        <f>'Zero Gas Annual Calibration'!$U$30+'Chart Data Zero Gas'!B76*'Zero Gas Annual Calibration'!$U$31+'Chart Data Zero Gas'!B76^2*'Zero Gas Annual Calibration'!$U$32</f>
        <v>7162.0497229999273</v>
      </c>
      <c r="K76" s="75">
        <f t="shared" si="11"/>
        <v>7131.2832429653408</v>
      </c>
      <c r="L76" s="110">
        <f t="shared" si="5"/>
        <v>7192.8162030345138</v>
      </c>
      <c r="M76" s="91"/>
      <c r="N76" s="111">
        <f>'Zero Gas Annual Calibration'!$AD$30+B76*'Zero Gas Annual Calibration'!$AD$31+B76^2*'Zero Gas Annual Calibration'!$AD$32+B76^3*'Zero Gas Annual Calibration'!$AD$33</f>
        <v>7158.2133709498385</v>
      </c>
      <c r="O76" s="131">
        <f t="shared" si="6"/>
        <v>7125.1389955383847</v>
      </c>
      <c r="P76" s="112">
        <f t="shared" si="7"/>
        <v>7191.2877463612922</v>
      </c>
      <c r="Q76" s="92"/>
      <c r="R76" s="132">
        <f>SUMPRODUCT(A76:E76,'Zero Gas Annual Calibration'!$BI$43:$BM$43)</f>
        <v>7158.7650413305037</v>
      </c>
      <c r="S76" s="81" t="e">
        <f t="shared" si="8"/>
        <v>#DIV/0!</v>
      </c>
      <c r="T76" s="114" t="e">
        <f t="shared" si="9"/>
        <v>#DIV/0!</v>
      </c>
      <c r="U76" s="81"/>
      <c r="V76" s="71">
        <f>SUMPRODUCT($A76:$B76,'Zero Gas Annual Calibration'!$K$52:$L$52)</f>
        <v>130.10514264128668</v>
      </c>
      <c r="W76" s="90">
        <f>SUMPRODUCT($A76:$B76,'Zero Gas Annual Calibration'!$K$53:$L$53)</f>
        <v>-7.1789764615310982E-3</v>
      </c>
      <c r="X76" s="74">
        <f>SUMPRODUCT($A76:$C76,'Zero Gas Annual Calibration'!$U$59:$W$59)</f>
        <v>-62.663926190326833</v>
      </c>
      <c r="Y76" s="75">
        <f>SUMPRODUCT($A76:$C76,'Zero Gas Annual Calibration'!$U$60:$W$60)</f>
        <v>2.6486678872129188E-2</v>
      </c>
      <c r="Z76" s="75">
        <f>SUMPRODUCT($A76:$C76,'Zero Gas Annual Calibration'!$U$61:$W$61)</f>
        <v>-1.475318278714206E-6</v>
      </c>
      <c r="AA76" s="133">
        <f>SUMPRODUCT($A76:$D76,'Zero Gas Annual Calibration'!$AD$59:$AG$59)</f>
        <v>-542.60291490625605</v>
      </c>
      <c r="AB76" s="112">
        <f>SUMPRODUCT($A76:$D76,'Zero Gas Annual Calibration'!$AD$60:$AG$60)</f>
        <v>0.21089387829766837</v>
      </c>
      <c r="AC76" s="112">
        <f>SUMPRODUCT($A76:$D76,'Zero Gas Annual Calibration'!$AD$61:$AG$61)</f>
        <v>-2.2155919112359891E-5</v>
      </c>
      <c r="AD76" s="134">
        <f>SUMPRODUCT($A76:$D76,'Zero Gas Annual Calibration'!$AD$62:$AG$62)</f>
        <v>6.9349362154869205E-10</v>
      </c>
      <c r="AE76" s="81" t="e">
        <f>SUMPRODUCT(A76:E76,'Zero Gas Annual Calibration'!$BG$59:$BK$59)</f>
        <v>#DIV/0!</v>
      </c>
      <c r="AF76" s="81" t="e">
        <f>SUMPRODUCT(A76:E76,'Zero Gas Annual Calibration'!$BG$60:$BK$60)</f>
        <v>#DIV/0!</v>
      </c>
      <c r="AG76" s="81" t="e">
        <f>SUMPRODUCT(A76:E76,'Zero Gas Annual Calibration'!$BG$61:$BK$61)</f>
        <v>#DIV/0!</v>
      </c>
      <c r="AH76" s="81" t="e">
        <f>SUMPRODUCT(A76:E76,'Zero Gas Annual Calibration'!$BG$62:$BK$62)</f>
        <v>#DIV/0!</v>
      </c>
      <c r="AI76" s="135" t="e">
        <f>SUMPRODUCT(A76:E76,'Zero Gas Annual Calibration'!$BG$63:$BK$63)</f>
        <v>#DIV/0!</v>
      </c>
    </row>
    <row r="77" spans="1:35" ht="18" customHeight="1" x14ac:dyDescent="0.2">
      <c r="A77" s="124">
        <v>1</v>
      </c>
      <c r="B77" s="125">
        <f t="shared" si="0"/>
        <v>7360</v>
      </c>
      <c r="C77" s="126">
        <f t="shared" si="1"/>
        <v>54169600</v>
      </c>
      <c r="D77" s="127">
        <f t="shared" si="2"/>
        <v>398688256000</v>
      </c>
      <c r="E77" s="128">
        <f t="shared" si="3"/>
        <v>2934345564160000</v>
      </c>
      <c r="F77" s="129">
        <f>'Zero Gas Annual Calibration'!$K$27+'Zero Gas Annual Calibration'!$K$28*'Chart Data Zero Gas'!B77</f>
        <v>7393.5808628580317</v>
      </c>
      <c r="G77" s="72">
        <f t="shared" si="4"/>
        <v>7365.8837556752851</v>
      </c>
      <c r="H77" s="108">
        <f t="shared" si="10"/>
        <v>7421.2779700407782</v>
      </c>
      <c r="I77" s="90"/>
      <c r="J77" s="130">
        <f>'Zero Gas Annual Calibration'!$U$30+'Chart Data Zero Gas'!B77*'Zero Gas Annual Calibration'!$U$31+'Chart Data Zero Gas'!B77^2*'Zero Gas Annual Calibration'!$U$32</f>
        <v>7403.2402939250705</v>
      </c>
      <c r="K77" s="75">
        <f t="shared" si="11"/>
        <v>7371.6411695386523</v>
      </c>
      <c r="L77" s="110">
        <f t="shared" si="5"/>
        <v>7434.8394183114888</v>
      </c>
      <c r="M77" s="91"/>
      <c r="N77" s="111">
        <f>'Zero Gas Annual Calibration'!$AD$30+B77*'Zero Gas Annual Calibration'!$AD$31+B77^2*'Zero Gas Annual Calibration'!$AD$32+B77^3*'Zero Gas Annual Calibration'!$AD$33</f>
        <v>7399.5615328825088</v>
      </c>
      <c r="O77" s="131">
        <f t="shared" si="6"/>
        <v>7366.4887666546219</v>
      </c>
      <c r="P77" s="112">
        <f t="shared" si="7"/>
        <v>7432.6342991103957</v>
      </c>
      <c r="Q77" s="92"/>
      <c r="R77" s="132">
        <f>SUMPRODUCT(A77:E77,'Zero Gas Annual Calibration'!$BI$43:$BM$43)</f>
        <v>7402.7808345818148</v>
      </c>
      <c r="S77" s="81" t="e">
        <f t="shared" si="8"/>
        <v>#DIV/0!</v>
      </c>
      <c r="T77" s="114" t="e">
        <f t="shared" si="9"/>
        <v>#DIV/0!</v>
      </c>
      <c r="U77" s="81"/>
      <c r="V77" s="71">
        <f>SUMPRODUCT($A77:$B77,'Zero Gas Annual Calibration'!$K$52:$L$52)</f>
        <v>122.48438301289212</v>
      </c>
      <c r="W77" s="90">
        <f>SUMPRODUCT($A77:$B77,'Zero Gas Annual Calibration'!$K$53:$L$53)</f>
        <v>-6.3506330236621257E-3</v>
      </c>
      <c r="X77" s="74">
        <f>SUMPRODUCT($A77:$C77,'Zero Gas Annual Calibration'!$U$59:$W$59)</f>
        <v>-81.568702936607224</v>
      </c>
      <c r="Y77" s="75">
        <f>SUMPRODUCT($A77:$C77,'Zero Gas Annual Calibration'!$U$60:$W$60)</f>
        <v>3.065783499482691E-2</v>
      </c>
      <c r="Z77" s="75">
        <f>SUMPRODUCT($A77:$C77,'Zero Gas Annual Calibration'!$U$61:$W$61)</f>
        <v>-1.6639797087775645E-6</v>
      </c>
      <c r="AA77" s="133">
        <f>SUMPRODUCT($A77:$D77,'Zero Gas Annual Calibration'!$AD$59:$AG$59)</f>
        <v>-541.79259051110739</v>
      </c>
      <c r="AB77" s="112">
        <f>SUMPRODUCT($A77:$D77,'Zero Gas Annual Calibration'!$AD$60:$AG$60)</f>
        <v>0.20748989117640981</v>
      </c>
      <c r="AC77" s="112">
        <f>SUMPRODUCT($A77:$D77,'Zero Gas Annual Calibration'!$AD$61:$AG$61)</f>
        <v>-2.1495055609698524E-5</v>
      </c>
      <c r="AD77" s="134">
        <f>SUMPRODUCT($A77:$D77,'Zero Gas Annual Calibration'!$AD$62:$AG$62)</f>
        <v>6.6500604872958949E-10</v>
      </c>
      <c r="AE77" s="81" t="e">
        <f>SUMPRODUCT(A77:E77,'Zero Gas Annual Calibration'!$BG$59:$BK$59)</f>
        <v>#DIV/0!</v>
      </c>
      <c r="AF77" s="81" t="e">
        <f>SUMPRODUCT(A77:E77,'Zero Gas Annual Calibration'!$BG$60:$BK$60)</f>
        <v>#DIV/0!</v>
      </c>
      <c r="AG77" s="81" t="e">
        <f>SUMPRODUCT(A77:E77,'Zero Gas Annual Calibration'!$BG$61:$BK$61)</f>
        <v>#DIV/0!</v>
      </c>
      <c r="AH77" s="81" t="e">
        <f>SUMPRODUCT(A77:E77,'Zero Gas Annual Calibration'!$BG$62:$BK$62)</f>
        <v>#DIV/0!</v>
      </c>
      <c r="AI77" s="135" t="e">
        <f>SUMPRODUCT(A77:E77,'Zero Gas Annual Calibration'!$BG$63:$BK$63)</f>
        <v>#DIV/0!</v>
      </c>
    </row>
    <row r="78" spans="1:35" ht="18" customHeight="1" x14ac:dyDescent="0.2">
      <c r="A78" s="124">
        <v>1</v>
      </c>
      <c r="B78" s="125">
        <f t="shared" si="0"/>
        <v>7600</v>
      </c>
      <c r="C78" s="126">
        <f t="shared" si="1"/>
        <v>57760000</v>
      </c>
      <c r="D78" s="127">
        <f t="shared" si="2"/>
        <v>438976000000</v>
      </c>
      <c r="E78" s="128">
        <f t="shared" si="3"/>
        <v>3336217600000000</v>
      </c>
      <c r="F78" s="129">
        <f>'Zero Gas Annual Calibration'!$K$27+'Zero Gas Annual Calibration'!$K$28*'Chart Data Zero Gas'!B78</f>
        <v>7633.6762509098198</v>
      </c>
      <c r="G78" s="72">
        <f t="shared" si="4"/>
        <v>7606.5051247453703</v>
      </c>
      <c r="H78" s="108">
        <f t="shared" si="10"/>
        <v>7660.8473770742694</v>
      </c>
      <c r="I78" s="90"/>
      <c r="J78" s="130">
        <f>'Zero Gas Annual Calibration'!$U$30+'Chart Data Zero Gas'!B78*'Zero Gas Annual Calibration'!$U$31+'Chart Data Zero Gas'!B78^2*'Zero Gas Annual Calibration'!$U$32</f>
        <v>7644.3379531876271</v>
      </c>
      <c r="K78" s="75">
        <f t="shared" si="11"/>
        <v>7611.851722581644</v>
      </c>
      <c r="L78" s="110">
        <f t="shared" si="5"/>
        <v>7676.8241837936102</v>
      </c>
      <c r="M78" s="91"/>
      <c r="N78" s="111">
        <f>'Zero Gas Annual Calibration'!$AD$30+B78*'Zero Gas Annual Calibration'!$AD$31+B78^2*'Zero Gas Annual Calibration'!$AD$32+B78^3*'Zero Gas Annual Calibration'!$AD$33</f>
        <v>7640.8846421537428</v>
      </c>
      <c r="O78" s="131">
        <f t="shared" si="6"/>
        <v>7607.9560306808453</v>
      </c>
      <c r="P78" s="112">
        <f t="shared" si="7"/>
        <v>7673.8132536266403</v>
      </c>
      <c r="Q78" s="92"/>
      <c r="R78" s="132">
        <f>SUMPRODUCT(A78:E78,'Zero Gas Annual Calibration'!$BI$43:$BM$43)</f>
        <v>7646.699495896708</v>
      </c>
      <c r="S78" s="81" t="e">
        <f t="shared" si="8"/>
        <v>#DIV/0!</v>
      </c>
      <c r="T78" s="114" t="e">
        <f t="shared" si="9"/>
        <v>#DIV/0!</v>
      </c>
      <c r="U78" s="81"/>
      <c r="V78" s="71">
        <f>SUMPRODUCT($A78:$B78,'Zero Gas Annual Calibration'!$K$52:$L$52)</f>
        <v>114.86362338449757</v>
      </c>
      <c r="W78" s="90">
        <f>SUMPRODUCT($A78:$B78,'Zero Gas Annual Calibration'!$K$53:$L$53)</f>
        <v>-5.5222895857931532E-3</v>
      </c>
      <c r="X78" s="74">
        <f>SUMPRODUCT($A78:$C78,'Zero Gas Annual Calibration'!$U$59:$W$59)</f>
        <v>-99.159932524767441</v>
      </c>
      <c r="Y78" s="75">
        <f>SUMPRODUCT($A78:$C78,'Zero Gas Annual Calibration'!$U$60:$W$60)</f>
        <v>3.4506675344271598E-2</v>
      </c>
      <c r="Z78" s="75">
        <f>SUMPRODUCT($A78:$C78,'Zero Gas Annual Calibration'!$U$61:$W$61)</f>
        <v>-1.8366357322923949E-6</v>
      </c>
      <c r="AA78" s="133">
        <f>SUMPRODUCT($A78:$D78,'Zero Gas Annual Calibration'!$AD$59:$AG$59)</f>
        <v>-531.17935720921923</v>
      </c>
      <c r="AB78" s="112">
        <f>SUMPRODUCT($A78:$D78,'Zero Gas Annual Calibration'!$AD$60:$AG$60)</f>
        <v>0.20050171654032511</v>
      </c>
      <c r="AC78" s="112">
        <f>SUMPRODUCT($A78:$D78,'Zero Gas Annual Calibration'!$AD$61:$AG$61)</f>
        <v>-2.0452379575451596E-5</v>
      </c>
      <c r="AD78" s="134">
        <f>SUMPRODUCT($A78:$D78,'Zero Gas Annual Calibration'!$AD$62:$AG$62)</f>
        <v>6.2425167041625299E-10</v>
      </c>
      <c r="AE78" s="81" t="e">
        <f>SUMPRODUCT(A78:E78,'Zero Gas Annual Calibration'!$BG$59:$BK$59)</f>
        <v>#DIV/0!</v>
      </c>
      <c r="AF78" s="81" t="e">
        <f>SUMPRODUCT(A78:E78,'Zero Gas Annual Calibration'!$BG$60:$BK$60)</f>
        <v>#DIV/0!</v>
      </c>
      <c r="AG78" s="81" t="e">
        <f>SUMPRODUCT(A78:E78,'Zero Gas Annual Calibration'!$BG$61:$BK$61)</f>
        <v>#DIV/0!</v>
      </c>
      <c r="AH78" s="81" t="e">
        <f>SUMPRODUCT(A78:E78,'Zero Gas Annual Calibration'!$BG$62:$BK$62)</f>
        <v>#DIV/0!</v>
      </c>
      <c r="AI78" s="135" t="e">
        <f>SUMPRODUCT(A78:E78,'Zero Gas Annual Calibration'!$BG$63:$BK$63)</f>
        <v>#DIV/0!</v>
      </c>
    </row>
    <row r="79" spans="1:35" ht="18" customHeight="1" x14ac:dyDescent="0.2">
      <c r="A79" s="124">
        <v>1</v>
      </c>
      <c r="B79" s="125">
        <f t="shared" si="0"/>
        <v>7840</v>
      </c>
      <c r="C79" s="126">
        <f t="shared" si="1"/>
        <v>61465600</v>
      </c>
      <c r="D79" s="127">
        <f t="shared" si="2"/>
        <v>481890304000</v>
      </c>
      <c r="E79" s="128">
        <f t="shared" si="3"/>
        <v>3778019983360000</v>
      </c>
      <c r="F79" s="129">
        <f>'Zero Gas Annual Calibration'!$K$27+'Zero Gas Annual Calibration'!$K$28*'Chart Data Zero Gas'!B79</f>
        <v>7873.7716389616071</v>
      </c>
      <c r="G79" s="72">
        <f t="shared" si="4"/>
        <v>7847.0613904491274</v>
      </c>
      <c r="H79" s="108">
        <f t="shared" si="10"/>
        <v>7900.4818874740868</v>
      </c>
      <c r="I79" s="90"/>
      <c r="J79" s="130">
        <f>'Zero Gas Annual Calibration'!$U$30+'Chart Data Zero Gas'!B79*'Zero Gas Annual Calibration'!$U$31+'Chart Data Zero Gas'!B79^2*'Zero Gas Annual Calibration'!$U$32</f>
        <v>7885.3427007875989</v>
      </c>
      <c r="K79" s="75">
        <f t="shared" si="11"/>
        <v>7851.9523050485977</v>
      </c>
      <c r="L79" s="110">
        <f t="shared" si="5"/>
        <v>7918.7330965266001</v>
      </c>
      <c r="M79" s="91"/>
      <c r="N79" s="111">
        <f>'Zero Gas Annual Calibration'!$AD$30+B79*'Zero Gas Annual Calibration'!$AD$31+B79^2*'Zero Gas Annual Calibration'!$AD$32+B79^3*'Zero Gas Annual Calibration'!$AD$33</f>
        <v>7882.1763870285859</v>
      </c>
      <c r="O79" s="131">
        <f t="shared" si="6"/>
        <v>7849.4987091317753</v>
      </c>
      <c r="P79" s="112">
        <f t="shared" si="7"/>
        <v>7914.8540649253964</v>
      </c>
      <c r="Q79" s="92"/>
      <c r="R79" s="132">
        <f>SUMPRODUCT(A79:E79,'Zero Gas Annual Calibration'!$BI$43:$BM$43)</f>
        <v>7890.4469412785147</v>
      </c>
      <c r="S79" s="81" t="e">
        <f t="shared" si="8"/>
        <v>#DIV/0!</v>
      </c>
      <c r="T79" s="114" t="e">
        <f t="shared" si="9"/>
        <v>#DIV/0!</v>
      </c>
      <c r="U79" s="81"/>
      <c r="V79" s="71">
        <f>SUMPRODUCT($A79:$B79,'Zero Gas Annual Calibration'!$K$52:$L$52)</f>
        <v>107.24286375610302</v>
      </c>
      <c r="W79" s="90">
        <f>SUMPRODUCT($A79:$B79,'Zero Gas Annual Calibration'!$K$53:$L$53)</f>
        <v>-4.6939461479241808E-3</v>
      </c>
      <c r="X79" s="74">
        <f>SUMPRODUCT($A79:$C79,'Zero Gas Annual Calibration'!$U$59:$W$59)</f>
        <v>-115.43761495480726</v>
      </c>
      <c r="Y79" s="75">
        <f>SUMPRODUCT($A79:$C79,'Zero Gas Annual Calibration'!$U$60:$W$60)</f>
        <v>3.8033199920463195E-2</v>
      </c>
      <c r="Z79" s="75">
        <f>SUMPRODUCT($A79:$C79,'Zero Gas Annual Calibration'!$U$61:$W$61)</f>
        <v>-1.9932863492587046E-6</v>
      </c>
      <c r="AA79" s="133">
        <f>SUMPRODUCT($A79:$D79,'Zero Gas Annual Calibration'!$AD$59:$AG$59)</f>
        <v>-511.55283171114115</v>
      </c>
      <c r="AB79" s="112">
        <f>SUMPRODUCT($A79:$D79,'Zero Gas Annual Calibration'!$AD$60:$AG$60)</f>
        <v>0.19023274921590905</v>
      </c>
      <c r="AC79" s="112">
        <f>SUMPRODUCT($A79:$D79,'Zero Gas Annual Calibration'!$AD$61:$AG$61)</f>
        <v>-1.9061915642720241E-5</v>
      </c>
      <c r="AD79" s="134">
        <f>SUMPRODUCT($A79:$D79,'Zero Gas Annual Calibration'!$AD$62:$AG$62)</f>
        <v>5.7237145278374587E-10</v>
      </c>
      <c r="AE79" s="81" t="e">
        <f>SUMPRODUCT(A79:E79,'Zero Gas Annual Calibration'!$BG$59:$BK$59)</f>
        <v>#DIV/0!</v>
      </c>
      <c r="AF79" s="81" t="e">
        <f>SUMPRODUCT(A79:E79,'Zero Gas Annual Calibration'!$BG$60:$BK$60)</f>
        <v>#DIV/0!</v>
      </c>
      <c r="AG79" s="81" t="e">
        <f>SUMPRODUCT(A79:E79,'Zero Gas Annual Calibration'!$BG$61:$BK$61)</f>
        <v>#DIV/0!</v>
      </c>
      <c r="AH79" s="81" t="e">
        <f>SUMPRODUCT(A79:E79,'Zero Gas Annual Calibration'!$BG$62:$BK$62)</f>
        <v>#DIV/0!</v>
      </c>
      <c r="AI79" s="135" t="e">
        <f>SUMPRODUCT(A79:E79,'Zero Gas Annual Calibration'!$BG$63:$BK$63)</f>
        <v>#DIV/0!</v>
      </c>
    </row>
    <row r="80" spans="1:35" ht="18" customHeight="1" x14ac:dyDescent="0.2">
      <c r="A80" s="124">
        <v>1</v>
      </c>
      <c r="B80" s="125">
        <f t="shared" si="0"/>
        <v>8080</v>
      </c>
      <c r="C80" s="126">
        <f t="shared" si="1"/>
        <v>65286400</v>
      </c>
      <c r="D80" s="127">
        <f t="shared" si="2"/>
        <v>527514112000</v>
      </c>
      <c r="E80" s="128">
        <f t="shared" si="3"/>
        <v>4262314024960000</v>
      </c>
      <c r="F80" s="129">
        <f>'Zero Gas Annual Calibration'!$K$27+'Zero Gas Annual Calibration'!$K$28*'Chart Data Zero Gas'!B80</f>
        <v>8113.8670270133953</v>
      </c>
      <c r="G80" s="72">
        <f t="shared" si="4"/>
        <v>8087.5491323036276</v>
      </c>
      <c r="H80" s="108">
        <f t="shared" si="10"/>
        <v>8140.1849217231629</v>
      </c>
      <c r="I80" s="90"/>
      <c r="J80" s="130">
        <f>'Zero Gas Annual Calibration'!$U$30+'Chart Data Zero Gas'!B80*'Zero Gas Annual Calibration'!$U$31+'Chart Data Zero Gas'!B80^2*'Zero Gas Annual Calibration'!$U$32</f>
        <v>8126.2545367249859</v>
      </c>
      <c r="K80" s="75">
        <f t="shared" si="11"/>
        <v>8091.9734895280353</v>
      </c>
      <c r="L80" s="110">
        <f t="shared" si="5"/>
        <v>8160.5355839219364</v>
      </c>
      <c r="M80" s="91"/>
      <c r="N80" s="111">
        <f>'Zero Gas Annual Calibration'!$AD$30+B80*'Zero Gas Annual Calibration'!$AD$31+B80^2*'Zero Gas Annual Calibration'!$AD$32+B80^3*'Zero Gas Annual Calibration'!$AD$33</f>
        <v>8123.430455772088</v>
      </c>
      <c r="O80" s="131">
        <f t="shared" si="6"/>
        <v>8091.0681712621954</v>
      </c>
      <c r="P80" s="112">
        <f t="shared" si="7"/>
        <v>8155.7927402819805</v>
      </c>
      <c r="Q80" s="92"/>
      <c r="R80" s="132">
        <f>SUMPRODUCT(A80:E80,'Zero Gas Annual Calibration'!$BI$43:$BM$43)</f>
        <v>8133.9562938554263</v>
      </c>
      <c r="S80" s="81" t="e">
        <f t="shared" si="8"/>
        <v>#DIV/0!</v>
      </c>
      <c r="T80" s="114" t="e">
        <f t="shared" si="9"/>
        <v>#DIV/0!</v>
      </c>
      <c r="U80" s="81"/>
      <c r="V80" s="71">
        <f>SUMPRODUCT($A80:$B80,'Zero Gas Annual Calibration'!$K$52:$L$52)</f>
        <v>99.622104127708496</v>
      </c>
      <c r="W80" s="90">
        <f>SUMPRODUCT($A80:$B80,'Zero Gas Annual Calibration'!$K$53:$L$53)</f>
        <v>-3.8656027100552083E-3</v>
      </c>
      <c r="X80" s="74">
        <f>SUMPRODUCT($A80:$C80,'Zero Gas Annual Calibration'!$U$59:$W$59)</f>
        <v>-130.4017502267269</v>
      </c>
      <c r="Y80" s="75">
        <f>SUMPRODUCT($A80:$C80,'Zero Gas Annual Calibration'!$U$60:$W$60)</f>
        <v>4.1237408723401786E-2</v>
      </c>
      <c r="Z80" s="75">
        <f>SUMPRODUCT($A80:$C80,'Zero Gas Annual Calibration'!$U$61:$W$61)</f>
        <v>-2.1339315596764861E-6</v>
      </c>
      <c r="AA80" s="133">
        <f>SUMPRODUCT($A80:$D80,'Zero Gas Annual Calibration'!$AD$59:$AG$59)</f>
        <v>-483.70263072740545</v>
      </c>
      <c r="AB80" s="112">
        <f>SUMPRODUCT($A80:$D80,'Zero Gas Annual Calibration'!$AD$60:$AG$60)</f>
        <v>0.1769863840296575</v>
      </c>
      <c r="AC80" s="112">
        <f>SUMPRODUCT($A80:$D80,'Zero Gas Annual Calibration'!$AD$61:$AG$61)</f>
        <v>-1.7357688444606136E-5</v>
      </c>
      <c r="AD80" s="134">
        <f>SUMPRODUCT($A80:$D80,'Zero Gas Annual Calibration'!$AD$62:$AG$62)</f>
        <v>5.1050636200715959E-10</v>
      </c>
      <c r="AE80" s="81" t="e">
        <f>SUMPRODUCT(A80:E80,'Zero Gas Annual Calibration'!$BG$59:$BK$59)</f>
        <v>#DIV/0!</v>
      </c>
      <c r="AF80" s="81" t="e">
        <f>SUMPRODUCT(A80:E80,'Zero Gas Annual Calibration'!$BG$60:$BK$60)</f>
        <v>#DIV/0!</v>
      </c>
      <c r="AG80" s="81" t="e">
        <f>SUMPRODUCT(A80:E80,'Zero Gas Annual Calibration'!$BG$61:$BK$61)</f>
        <v>#DIV/0!</v>
      </c>
      <c r="AH80" s="81" t="e">
        <f>SUMPRODUCT(A80:E80,'Zero Gas Annual Calibration'!$BG$62:$BK$62)</f>
        <v>#DIV/0!</v>
      </c>
      <c r="AI80" s="135" t="e">
        <f>SUMPRODUCT(A80:E80,'Zero Gas Annual Calibration'!$BG$63:$BK$63)</f>
        <v>#DIV/0!</v>
      </c>
    </row>
    <row r="81" spans="1:35" ht="18" customHeight="1" x14ac:dyDescent="0.2">
      <c r="A81" s="124">
        <v>1</v>
      </c>
      <c r="B81" s="125">
        <f t="shared" si="0"/>
        <v>8320</v>
      </c>
      <c r="C81" s="126">
        <f t="shared" si="1"/>
        <v>69222400</v>
      </c>
      <c r="D81" s="127">
        <f t="shared" si="2"/>
        <v>575930368000</v>
      </c>
      <c r="E81" s="128">
        <f t="shared" si="3"/>
        <v>4791740661760000</v>
      </c>
      <c r="F81" s="129">
        <f>'Zero Gas Annual Calibration'!$K$27+'Zero Gas Annual Calibration'!$K$28*'Chart Data Zero Gas'!B81</f>
        <v>8353.9624150651834</v>
      </c>
      <c r="G81" s="72">
        <f t="shared" si="4"/>
        <v>8327.9652476019291</v>
      </c>
      <c r="H81" s="108">
        <f t="shared" si="10"/>
        <v>8379.9595825284377</v>
      </c>
      <c r="I81" s="90"/>
      <c r="J81" s="130">
        <f>'Zero Gas Annual Calibration'!$U$30+'Chart Data Zero Gas'!B81*'Zero Gas Annual Calibration'!$U$31+'Chart Data Zero Gas'!B81^2*'Zero Gas Annual Calibration'!$U$32</f>
        <v>8367.0734609997853</v>
      </c>
      <c r="K81" s="75">
        <f t="shared" si="11"/>
        <v>8331.9398519885435</v>
      </c>
      <c r="L81" s="110">
        <f t="shared" si="5"/>
        <v>8402.2070700110271</v>
      </c>
      <c r="M81" s="91"/>
      <c r="N81" s="111">
        <f>'Zero Gas Annual Calibration'!$AD$30+B81*'Zero Gas Annual Calibration'!$AD$31+B81^2*'Zero Gas Annual Calibration'!$AD$32+B81^3*'Zero Gas Annual Calibration'!$AD$33</f>
        <v>8364.6405366492945</v>
      </c>
      <c r="O81" s="131">
        <f t="shared" si="6"/>
        <v>8332.6113625410089</v>
      </c>
      <c r="P81" s="112">
        <f t="shared" si="7"/>
        <v>8396.6697107575801</v>
      </c>
      <c r="Q81" s="92"/>
      <c r="R81" s="132">
        <f>SUMPRODUCT(A81:E81,'Zero Gas Annual Calibration'!$BI$43:$BM$43)</f>
        <v>8377.1678838804874</v>
      </c>
      <c r="S81" s="81" t="e">
        <f t="shared" si="8"/>
        <v>#DIV/0!</v>
      </c>
      <c r="T81" s="114" t="e">
        <f t="shared" si="9"/>
        <v>#DIV/0!</v>
      </c>
      <c r="U81" s="81"/>
      <c r="V81" s="71">
        <f>SUMPRODUCT($A81:$B81,'Zero Gas Annual Calibration'!$K$52:$L$52)</f>
        <v>92.001344499313916</v>
      </c>
      <c r="W81" s="90">
        <f>SUMPRODUCT($A81:$B81,'Zero Gas Annual Calibration'!$K$53:$L$53)</f>
        <v>-3.0372592721862358E-3</v>
      </c>
      <c r="X81" s="74">
        <f>SUMPRODUCT($A81:$C81,'Zero Gas Annual Calibration'!$U$59:$W$59)</f>
        <v>-144.05233834052615</v>
      </c>
      <c r="Y81" s="75">
        <f>SUMPRODUCT($A81:$C81,'Zero Gas Annual Calibration'!$U$60:$W$60)</f>
        <v>4.4119301753087287E-2</v>
      </c>
      <c r="Z81" s="75">
        <f>SUMPRODUCT($A81:$C81,'Zero Gas Annual Calibration'!$U$61:$W$61)</f>
        <v>-2.2585713635457461E-6</v>
      </c>
      <c r="AA81" s="133">
        <f>SUMPRODUCT($A81:$D81,'Zero Gas Annual Calibration'!$AD$59:$AG$59)</f>
        <v>-448.41837096854943</v>
      </c>
      <c r="AB81" s="112">
        <f>SUMPRODUCT($A81:$D81,'Zero Gas Annual Calibration'!$AD$60:$AG$60)</f>
        <v>0.16106601580806545</v>
      </c>
      <c r="AC81" s="112">
        <f>SUMPRODUCT($A81:$D81,'Zero Gas Annual Calibration'!$AD$61:$AG$61)</f>
        <v>-1.5373722614211066E-5</v>
      </c>
      <c r="AD81" s="134">
        <f>SUMPRODUCT($A81:$D81,'Zero Gas Annual Calibration'!$AD$62:$AG$62)</f>
        <v>4.3979736426155665E-10</v>
      </c>
      <c r="AE81" s="81" t="e">
        <f>SUMPRODUCT(A81:E81,'Zero Gas Annual Calibration'!$BG$59:$BK$59)</f>
        <v>#DIV/0!</v>
      </c>
      <c r="AF81" s="81" t="e">
        <f>SUMPRODUCT(A81:E81,'Zero Gas Annual Calibration'!$BG$60:$BK$60)</f>
        <v>#DIV/0!</v>
      </c>
      <c r="AG81" s="81" t="e">
        <f>SUMPRODUCT(A81:E81,'Zero Gas Annual Calibration'!$BG$61:$BK$61)</f>
        <v>#DIV/0!</v>
      </c>
      <c r="AH81" s="81" t="e">
        <f>SUMPRODUCT(A81:E81,'Zero Gas Annual Calibration'!$BG$62:$BK$62)</f>
        <v>#DIV/0!</v>
      </c>
      <c r="AI81" s="135" t="e">
        <f>SUMPRODUCT(A81:E81,'Zero Gas Annual Calibration'!$BG$63:$BK$63)</f>
        <v>#DIV/0!</v>
      </c>
    </row>
    <row r="82" spans="1:35" ht="18" customHeight="1" x14ac:dyDescent="0.2">
      <c r="A82" s="124">
        <v>1</v>
      </c>
      <c r="B82" s="125">
        <f t="shared" si="0"/>
        <v>8560</v>
      </c>
      <c r="C82" s="126">
        <f t="shared" si="1"/>
        <v>73273600</v>
      </c>
      <c r="D82" s="127">
        <f t="shared" si="2"/>
        <v>627222016000</v>
      </c>
      <c r="E82" s="128">
        <f t="shared" si="3"/>
        <v>5369020456960000</v>
      </c>
      <c r="F82" s="129">
        <f>'Zero Gas Annual Calibration'!$K$27+'Zero Gas Annual Calibration'!$K$28*'Chart Data Zero Gas'!B82</f>
        <v>8594.0578031169716</v>
      </c>
      <c r="G82" s="72">
        <f t="shared" si="4"/>
        <v>8568.3070598641516</v>
      </c>
      <c r="H82" s="108">
        <f t="shared" si="10"/>
        <v>8619.8085463697917</v>
      </c>
      <c r="I82" s="90"/>
      <c r="J82" s="130">
        <f>'Zero Gas Annual Calibration'!$U$30+'Chart Data Zero Gas'!B82*'Zero Gas Annual Calibration'!$U$31+'Chart Data Zero Gas'!B82^2*'Zero Gas Annual Calibration'!$U$32</f>
        <v>8607.7994736119981</v>
      </c>
      <c r="K82" s="75">
        <f t="shared" si="11"/>
        <v>8571.8708710130577</v>
      </c>
      <c r="L82" s="110">
        <f t="shared" si="5"/>
        <v>8643.7280762109385</v>
      </c>
      <c r="M82" s="91"/>
      <c r="N82" s="111">
        <f>'Zero Gas Annual Calibration'!$AD$30+B82*'Zero Gas Annual Calibration'!$AD$31+B82^2*'Zero Gas Annual Calibration'!$AD$32+B82^3*'Zero Gas Annual Calibration'!$AD$33</f>
        <v>8605.8003179252555</v>
      </c>
      <c r="O82" s="131">
        <f t="shared" si="6"/>
        <v>8574.0731391708105</v>
      </c>
      <c r="P82" s="112">
        <f t="shared" si="7"/>
        <v>8637.5274966797006</v>
      </c>
      <c r="Q82" s="92"/>
      <c r="R82" s="132">
        <f>SUMPRODUCT(A82:E82,'Zero Gas Annual Calibration'!$BI$43:$BM$43)</f>
        <v>8620.0292487316001</v>
      </c>
      <c r="S82" s="81" t="e">
        <f t="shared" si="8"/>
        <v>#DIV/0!</v>
      </c>
      <c r="T82" s="114" t="e">
        <f t="shared" si="9"/>
        <v>#DIV/0!</v>
      </c>
      <c r="U82" s="81"/>
      <c r="V82" s="71">
        <f>SUMPRODUCT($A82:$B82,'Zero Gas Annual Calibration'!$K$52:$L$52)</f>
        <v>84.380584870919392</v>
      </c>
      <c r="W82" s="90">
        <f>SUMPRODUCT($A82:$B82,'Zero Gas Annual Calibration'!$K$53:$L$53)</f>
        <v>-2.2089158343172634E-3</v>
      </c>
      <c r="X82" s="74">
        <f>SUMPRODUCT($A82:$C82,'Zero Gas Annual Calibration'!$U$59:$W$59)</f>
        <v>-156.38937929620511</v>
      </c>
      <c r="Y82" s="75">
        <f>SUMPRODUCT($A82:$C82,'Zero Gas Annual Calibration'!$U$60:$W$60)</f>
        <v>4.6678879009519725E-2</v>
      </c>
      <c r="Z82" s="75">
        <f>SUMPRODUCT($A82:$C82,'Zero Gas Annual Calibration'!$U$61:$W$61)</f>
        <v>-2.367205760866478E-6</v>
      </c>
      <c r="AA82" s="133">
        <f>SUMPRODUCT($A82:$D82,'Zero Gas Annual Calibration'!$AD$59:$AG$59)</f>
        <v>-406.48966914511129</v>
      </c>
      <c r="AB82" s="112">
        <f>SUMPRODUCT($A82:$D82,'Zero Gas Annual Calibration'!$AD$60:$AG$60)</f>
        <v>0.14277503937762726</v>
      </c>
      <c r="AC82" s="112">
        <f>SUMPRODUCT($A82:$D82,'Zero Gas Annual Calibration'!$AD$61:$AG$61)</f>
        <v>-1.3144042784636492E-5</v>
      </c>
      <c r="AD82" s="134">
        <f>SUMPRODUCT($A82:$D82,'Zero Gas Annual Calibration'!$AD$62:$AG$62)</f>
        <v>3.6138542572202768E-10</v>
      </c>
      <c r="AE82" s="81" t="e">
        <f>SUMPRODUCT(A82:E82,'Zero Gas Annual Calibration'!$BG$59:$BK$59)</f>
        <v>#DIV/0!</v>
      </c>
      <c r="AF82" s="81" t="e">
        <f>SUMPRODUCT(A82:E82,'Zero Gas Annual Calibration'!$BG$60:$BK$60)</f>
        <v>#DIV/0!</v>
      </c>
      <c r="AG82" s="81" t="e">
        <f>SUMPRODUCT(A82:E82,'Zero Gas Annual Calibration'!$BG$61:$BK$61)</f>
        <v>#DIV/0!</v>
      </c>
      <c r="AH82" s="81" t="e">
        <f>SUMPRODUCT(A82:E82,'Zero Gas Annual Calibration'!$BG$62:$BK$62)</f>
        <v>#DIV/0!</v>
      </c>
      <c r="AI82" s="135" t="e">
        <f>SUMPRODUCT(A82:E82,'Zero Gas Annual Calibration'!$BG$63:$BK$63)</f>
        <v>#DIV/0!</v>
      </c>
    </row>
    <row r="83" spans="1:35" ht="18" customHeight="1" x14ac:dyDescent="0.2">
      <c r="A83" s="124">
        <v>1</v>
      </c>
      <c r="B83" s="125">
        <f t="shared" si="0"/>
        <v>8800</v>
      </c>
      <c r="C83" s="126">
        <f t="shared" si="1"/>
        <v>77440000</v>
      </c>
      <c r="D83" s="127">
        <f t="shared" si="2"/>
        <v>681472000000</v>
      </c>
      <c r="E83" s="128">
        <f t="shared" si="3"/>
        <v>5996953600000000</v>
      </c>
      <c r="F83" s="129">
        <f>'Zero Gas Annual Calibration'!$K$27+'Zero Gas Annual Calibration'!$K$28*'Chart Data Zero Gas'!B83</f>
        <v>8834.153191168758</v>
      </c>
      <c r="G83" s="72">
        <f t="shared" si="4"/>
        <v>8808.5724216761319</v>
      </c>
      <c r="H83" s="108">
        <f t="shared" si="10"/>
        <v>8859.7339606613841</v>
      </c>
      <c r="I83" s="90"/>
      <c r="J83" s="130">
        <f>'Zero Gas Annual Calibration'!$U$30+'Chart Data Zero Gas'!B83*'Zero Gas Annual Calibration'!$U$31+'Chart Data Zero Gas'!B83^2*'Zero Gas Annual Calibration'!$U$32</f>
        <v>8848.4325745616279</v>
      </c>
      <c r="K83" s="75">
        <f t="shared" si="11"/>
        <v>8811.7817613079042</v>
      </c>
      <c r="L83" s="110">
        <f t="shared" si="5"/>
        <v>8885.0833878153517</v>
      </c>
      <c r="M83" s="91"/>
      <c r="N83" s="111">
        <f>'Zero Gas Annual Calibration'!$AD$30+B83*'Zero Gas Annual Calibration'!$AD$31+B83^2*'Zero Gas Annual Calibration'!$AD$32+B83^3*'Zero Gas Annual Calibration'!$AD$33</f>
        <v>8846.9034878650145</v>
      </c>
      <c r="O83" s="131">
        <f t="shared" si="6"/>
        <v>8815.3990452087492</v>
      </c>
      <c r="P83" s="112">
        <f t="shared" si="7"/>
        <v>8878.4079305212799</v>
      </c>
      <c r="Q83" s="92"/>
      <c r="R83" s="132">
        <f>SUMPRODUCT(A83:E83,'Zero Gas Annual Calibration'!$BI$43:$BM$43)</f>
        <v>8862.4951329115174</v>
      </c>
      <c r="S83" s="81" t="e">
        <f t="shared" si="8"/>
        <v>#DIV/0!</v>
      </c>
      <c r="T83" s="114" t="e">
        <f t="shared" si="9"/>
        <v>#DIV/0!</v>
      </c>
      <c r="U83" s="81"/>
      <c r="V83" s="71">
        <f>SUMPRODUCT($A83:$B83,'Zero Gas Annual Calibration'!$K$52:$L$52)</f>
        <v>76.759825242524812</v>
      </c>
      <c r="W83" s="90">
        <f>SUMPRODUCT($A83:$B83,'Zero Gas Annual Calibration'!$K$53:$L$53)</f>
        <v>-1.3805723964482909E-3</v>
      </c>
      <c r="X83" s="74">
        <f>SUMPRODUCT($A83:$C83,'Zero Gas Annual Calibration'!$U$59:$W$59)</f>
        <v>-167.41287309376366</v>
      </c>
      <c r="Y83" s="75">
        <f>SUMPRODUCT($A83:$C83,'Zero Gas Annual Calibration'!$U$60:$W$60)</f>
        <v>4.8916140492699184E-2</v>
      </c>
      <c r="Z83" s="75">
        <f>SUMPRODUCT($A83:$C83,'Zero Gas Annual Calibration'!$U$61:$W$61)</f>
        <v>-2.4598347516386901E-6</v>
      </c>
      <c r="AA83" s="133">
        <f>SUMPRODUCT($A83:$D83,'Zero Gas Annual Calibration'!$AD$59:$AG$59)</f>
        <v>-358.70614196762654</v>
      </c>
      <c r="AB83" s="112">
        <f>SUMPRODUCT($A83:$D83,'Zero Gas Annual Calibration'!$AD$60:$AG$60)</f>
        <v>0.122416849564841</v>
      </c>
      <c r="AC83" s="112">
        <f>SUMPRODUCT($A83:$D83,'Zero Gas Annual Calibration'!$AD$61:$AG$61)</f>
        <v>-1.0702673588983982E-5</v>
      </c>
      <c r="AD83" s="134">
        <f>SUMPRODUCT($A83:$D83,'Zero Gas Annual Calibration'!$AD$62:$AG$62)</f>
        <v>2.7641151256363846E-10</v>
      </c>
      <c r="AE83" s="81" t="e">
        <f>SUMPRODUCT(A83:E83,'Zero Gas Annual Calibration'!$BG$59:$BK$59)</f>
        <v>#DIV/0!</v>
      </c>
      <c r="AF83" s="81" t="e">
        <f>SUMPRODUCT(A83:E83,'Zero Gas Annual Calibration'!$BG$60:$BK$60)</f>
        <v>#DIV/0!</v>
      </c>
      <c r="AG83" s="81" t="e">
        <f>SUMPRODUCT(A83:E83,'Zero Gas Annual Calibration'!$BG$61:$BK$61)</f>
        <v>#DIV/0!</v>
      </c>
      <c r="AH83" s="81" t="e">
        <f>SUMPRODUCT(A83:E83,'Zero Gas Annual Calibration'!$BG$62:$BK$62)</f>
        <v>#DIV/0!</v>
      </c>
      <c r="AI83" s="135" t="e">
        <f>SUMPRODUCT(A83:E83,'Zero Gas Annual Calibration'!$BG$63:$BK$63)</f>
        <v>#DIV/0!</v>
      </c>
    </row>
    <row r="84" spans="1:35" ht="18" customHeight="1" x14ac:dyDescent="0.2">
      <c r="A84" s="124">
        <v>1</v>
      </c>
      <c r="B84" s="125">
        <f t="shared" si="0"/>
        <v>9040</v>
      </c>
      <c r="C84" s="126">
        <f t="shared" si="1"/>
        <v>81721600</v>
      </c>
      <c r="D84" s="127">
        <f t="shared" si="2"/>
        <v>738763264000</v>
      </c>
      <c r="E84" s="128">
        <f t="shared" si="3"/>
        <v>6678419906560000</v>
      </c>
      <c r="F84" s="129">
        <f>'Zero Gas Annual Calibration'!$K$27+'Zero Gas Annual Calibration'!$K$28*'Chart Data Zero Gas'!B84</f>
        <v>9074.2485792205462</v>
      </c>
      <c r="G84" s="72">
        <f t="shared" si="4"/>
        <v>9048.7598035457686</v>
      </c>
      <c r="H84" s="108">
        <f t="shared" si="10"/>
        <v>9099.7373548953237</v>
      </c>
      <c r="I84" s="90"/>
      <c r="J84" s="130">
        <f>'Zero Gas Annual Calibration'!$U$30+'Chart Data Zero Gas'!B84*'Zero Gas Annual Calibration'!$U$31+'Chart Data Zero Gas'!B84^2*'Zero Gas Annual Calibration'!$U$32</f>
        <v>9088.9727638486711</v>
      </c>
      <c r="K84" s="75">
        <f t="shared" si="11"/>
        <v>9051.6841854602553</v>
      </c>
      <c r="L84" s="110">
        <f t="shared" si="5"/>
        <v>9126.2613422370869</v>
      </c>
      <c r="M84" s="91"/>
      <c r="N84" s="111">
        <f>'Zero Gas Annual Calibration'!$AD$30+B84*'Zero Gas Annual Calibration'!$AD$31+B84^2*'Zero Gas Annual Calibration'!$AD$32+B84^3*'Zero Gas Annual Calibration'!$AD$33</f>
        <v>9087.9437347336225</v>
      </c>
      <c r="O84" s="131">
        <f t="shared" si="6"/>
        <v>9056.5385797486742</v>
      </c>
      <c r="P84" s="112">
        <f t="shared" si="7"/>
        <v>9119.3488897185707</v>
      </c>
      <c r="Q84" s="92"/>
      <c r="R84" s="132">
        <f>SUMPRODUCT(A84:E84,'Zero Gas Annual Calibration'!$BI$43:$BM$43)</f>
        <v>9104.5274880478537</v>
      </c>
      <c r="S84" s="81" t="e">
        <f t="shared" si="8"/>
        <v>#DIV/0!</v>
      </c>
      <c r="T84" s="114" t="e">
        <f t="shared" si="9"/>
        <v>#DIV/0!</v>
      </c>
      <c r="U84" s="81"/>
      <c r="V84" s="71">
        <f>SUMPRODUCT($A84:$B84,'Zero Gas Annual Calibration'!$K$52:$L$52)</f>
        <v>69.139065614130288</v>
      </c>
      <c r="W84" s="90">
        <f>SUMPRODUCT($A84:$B84,'Zero Gas Annual Calibration'!$K$53:$L$53)</f>
        <v>-5.5222895857931498E-4</v>
      </c>
      <c r="X84" s="74">
        <f>SUMPRODUCT($A84:$C84,'Zero Gas Annual Calibration'!$U$59:$W$59)</f>
        <v>-177.12281973320205</v>
      </c>
      <c r="Y84" s="75">
        <f>SUMPRODUCT($A84:$C84,'Zero Gas Annual Calibration'!$U$60:$W$60)</f>
        <v>5.0831086202625553E-2</v>
      </c>
      <c r="Z84" s="75">
        <f>SUMPRODUCT($A84:$C84,'Zero Gas Annual Calibration'!$U$61:$W$61)</f>
        <v>-2.5364583358623756E-6</v>
      </c>
      <c r="AA84" s="133">
        <f>SUMPRODUCT($A84:$D84,'Zero Gas Annual Calibration'!$AD$59:$AG$59)</f>
        <v>-305.85740614663428</v>
      </c>
      <c r="AB84" s="112">
        <f>SUMPRODUCT($A84:$D84,'Zero Gas Annual Calibration'!$AD$60:$AG$60)</f>
        <v>0.10029484119619969</v>
      </c>
      <c r="AC84" s="112">
        <f>SUMPRODUCT($A84:$D84,'Zero Gas Annual Calibration'!$AD$61:$AG$61)</f>
        <v>-8.083639660355212E-6</v>
      </c>
      <c r="AD84" s="134">
        <f>SUMPRODUCT($A84:$D84,'Zero Gas Annual Calibration'!$AD$62:$AG$62)</f>
        <v>1.8601659096147468E-10</v>
      </c>
      <c r="AE84" s="81" t="e">
        <f>SUMPRODUCT(A84:E84,'Zero Gas Annual Calibration'!$BG$59:$BK$59)</f>
        <v>#DIV/0!</v>
      </c>
      <c r="AF84" s="81" t="e">
        <f>SUMPRODUCT(A84:E84,'Zero Gas Annual Calibration'!$BG$60:$BK$60)</f>
        <v>#DIV/0!</v>
      </c>
      <c r="AG84" s="81" t="e">
        <f>SUMPRODUCT(A84:E84,'Zero Gas Annual Calibration'!$BG$61:$BK$61)</f>
        <v>#DIV/0!</v>
      </c>
      <c r="AH84" s="81" t="e">
        <f>SUMPRODUCT(A84:E84,'Zero Gas Annual Calibration'!$BG$62:$BK$62)</f>
        <v>#DIV/0!</v>
      </c>
      <c r="AI84" s="135" t="e">
        <f>SUMPRODUCT(A84:E84,'Zero Gas Annual Calibration'!$BG$63:$BK$63)</f>
        <v>#DIV/0!</v>
      </c>
    </row>
    <row r="85" spans="1:35" ht="18" customHeight="1" x14ac:dyDescent="0.2">
      <c r="A85" s="124">
        <v>1</v>
      </c>
      <c r="B85" s="125">
        <f t="shared" si="0"/>
        <v>9280</v>
      </c>
      <c r="C85" s="126">
        <f t="shared" si="1"/>
        <v>86118400</v>
      </c>
      <c r="D85" s="127">
        <f t="shared" si="2"/>
        <v>799178752000</v>
      </c>
      <c r="E85" s="128">
        <f t="shared" si="3"/>
        <v>7416378818560000</v>
      </c>
      <c r="F85" s="129">
        <f>'Zero Gas Annual Calibration'!$K$27+'Zero Gas Annual Calibration'!$K$28*'Chart Data Zero Gas'!B85</f>
        <v>9314.3439672723343</v>
      </c>
      <c r="G85" s="72">
        <f t="shared" si="4"/>
        <v>9288.8683606894592</v>
      </c>
      <c r="H85" s="108">
        <f t="shared" si="10"/>
        <v>9339.8195738552095</v>
      </c>
      <c r="I85" s="90"/>
      <c r="J85" s="130">
        <f>'Zero Gas Annual Calibration'!$U$30+'Chart Data Zero Gas'!B85*'Zero Gas Annual Calibration'!$U$31+'Chart Data Zero Gas'!B85^2*'Zero Gas Annual Calibration'!$U$32</f>
        <v>9329.4200414731276</v>
      </c>
      <c r="K85" s="75">
        <f t="shared" si="11"/>
        <v>9291.5868298354326</v>
      </c>
      <c r="L85" s="110">
        <f t="shared" si="5"/>
        <v>9367.2532531108227</v>
      </c>
      <c r="M85" s="91"/>
      <c r="N85" s="111">
        <f>'Zero Gas Annual Calibration'!$AD$30+B85*'Zero Gas Annual Calibration'!$AD$31+B85^2*'Zero Gas Annual Calibration'!$AD$32+B85^3*'Zero Gas Annual Calibration'!$AD$33</f>
        <v>9328.9147467961229</v>
      </c>
      <c r="O85" s="131">
        <f t="shared" si="6"/>
        <v>9297.4487390445138</v>
      </c>
      <c r="P85" s="112">
        <f t="shared" si="7"/>
        <v>9360.3807545477321</v>
      </c>
      <c r="Q85" s="92"/>
      <c r="R85" s="132">
        <f>SUMPRODUCT(A85:E85,'Zero Gas Annual Calibration'!$BI$43:$BM$43)</f>
        <v>9346.0954728930756</v>
      </c>
      <c r="S85" s="81" t="e">
        <f t="shared" si="8"/>
        <v>#DIV/0!</v>
      </c>
      <c r="T85" s="114" t="e">
        <f t="shared" si="9"/>
        <v>#DIV/0!</v>
      </c>
      <c r="U85" s="81"/>
      <c r="V85" s="71">
        <f>SUMPRODUCT($A85:$B85,'Zero Gas Annual Calibration'!$K$52:$L$52)</f>
        <v>61.518305985735708</v>
      </c>
      <c r="W85" s="90">
        <f>SUMPRODUCT($A85:$B85,'Zero Gas Annual Calibration'!$K$53:$L$53)</f>
        <v>2.7611447928965749E-4</v>
      </c>
      <c r="X85" s="74">
        <f>SUMPRODUCT($A85:$C85,'Zero Gas Annual Calibration'!$U$59:$W$59)</f>
        <v>-185.51921921452004</v>
      </c>
      <c r="Y85" s="75">
        <f>SUMPRODUCT($A85:$C85,'Zero Gas Annual Calibration'!$U$60:$W$60)</f>
        <v>5.2423716139298887E-2</v>
      </c>
      <c r="Z85" s="75">
        <f>SUMPRODUCT($A85:$C85,'Zero Gas Annual Calibration'!$U$61:$W$61)</f>
        <v>-2.5970765135375329E-6</v>
      </c>
      <c r="AA85" s="133">
        <f>SUMPRODUCT($A85:$D85,'Zero Gas Annual Calibration'!$AD$59:$AG$59)</f>
        <v>-248.73307839266727</v>
      </c>
      <c r="AB85" s="112">
        <f>SUMPRODUCT($A85:$D85,'Zero Gas Annual Calibration'!$AD$60:$AG$60)</f>
        <v>7.6712409098196321E-2</v>
      </c>
      <c r="AC85" s="112">
        <f>SUMPRODUCT($A85:$D85,'Zero Gas Annual Calibration'!$AD$61:$AG$61)</f>
        <v>-5.3209656318514535E-6</v>
      </c>
      <c r="AD85" s="134">
        <f>SUMPRODUCT($A85:$D85,'Zero Gas Annual Calibration'!$AD$62:$AG$62)</f>
        <v>9.1341627090618677E-11</v>
      </c>
      <c r="AE85" s="81" t="e">
        <f>SUMPRODUCT(A85:E85,'Zero Gas Annual Calibration'!$BG$59:$BK$59)</f>
        <v>#DIV/0!</v>
      </c>
      <c r="AF85" s="81" t="e">
        <f>SUMPRODUCT(A85:E85,'Zero Gas Annual Calibration'!$BG$60:$BK$60)</f>
        <v>#DIV/0!</v>
      </c>
      <c r="AG85" s="81" t="e">
        <f>SUMPRODUCT(A85:E85,'Zero Gas Annual Calibration'!$BG$61:$BK$61)</f>
        <v>#DIV/0!</v>
      </c>
      <c r="AH85" s="81" t="e">
        <f>SUMPRODUCT(A85:E85,'Zero Gas Annual Calibration'!$BG$62:$BK$62)</f>
        <v>#DIV/0!</v>
      </c>
      <c r="AI85" s="135" t="e">
        <f>SUMPRODUCT(A85:E85,'Zero Gas Annual Calibration'!$BG$63:$BK$63)</f>
        <v>#DIV/0!</v>
      </c>
    </row>
    <row r="86" spans="1:35" ht="18" customHeight="1" x14ac:dyDescent="0.2">
      <c r="A86" s="124">
        <v>1</v>
      </c>
      <c r="B86" s="125">
        <f t="shared" si="0"/>
        <v>9520</v>
      </c>
      <c r="C86" s="126">
        <f t="shared" si="1"/>
        <v>90630400</v>
      </c>
      <c r="D86" s="127">
        <f t="shared" si="2"/>
        <v>862801408000</v>
      </c>
      <c r="E86" s="128">
        <f t="shared" si="3"/>
        <v>8213869404160000</v>
      </c>
      <c r="F86" s="129">
        <f>'Zero Gas Annual Calibration'!$K$27+'Zero Gas Annual Calibration'!$K$28*'Chart Data Zero Gas'!B86</f>
        <v>9554.4393553241225</v>
      </c>
      <c r="G86" s="72">
        <f t="shared" si="4"/>
        <v>9528.8979711812499</v>
      </c>
      <c r="H86" s="108">
        <f t="shared" si="10"/>
        <v>9579.9807394669951</v>
      </c>
      <c r="I86" s="90"/>
      <c r="J86" s="130">
        <f>'Zero Gas Annual Calibration'!$U$30+'Chart Data Zero Gas'!B86*'Zero Gas Annual Calibration'!$U$31+'Chart Data Zero Gas'!B86^2*'Zero Gas Annual Calibration'!$U$32</f>
        <v>9569.7744074349976</v>
      </c>
      <c r="K86" s="75">
        <f t="shared" si="11"/>
        <v>9531.4958506177882</v>
      </c>
      <c r="L86" s="110">
        <f t="shared" si="5"/>
        <v>9608.0529642522069</v>
      </c>
      <c r="M86" s="91"/>
      <c r="N86" s="111">
        <f>'Zero Gas Annual Calibration'!$AD$30+B86*'Zero Gas Annual Calibration'!$AD$31+B86^2*'Zero Gas Annual Calibration'!$AD$32+B86^3*'Zero Gas Annual Calibration'!$AD$33</f>
        <v>9569.8102123175704</v>
      </c>
      <c r="O86" s="131">
        <f t="shared" si="6"/>
        <v>9538.0973428570269</v>
      </c>
      <c r="P86" s="112">
        <f t="shared" si="7"/>
        <v>9601.5230817781139</v>
      </c>
      <c r="Q86" s="92"/>
      <c r="R86" s="132">
        <f>SUMPRODUCT(A86:E86,'Zero Gas Annual Calibration'!$BI$43:$BM$43)</f>
        <v>9587.1754533245039</v>
      </c>
      <c r="S86" s="81" t="e">
        <f t="shared" si="8"/>
        <v>#DIV/0!</v>
      </c>
      <c r="T86" s="114" t="e">
        <f t="shared" si="9"/>
        <v>#DIV/0!</v>
      </c>
      <c r="U86" s="81"/>
      <c r="V86" s="71">
        <f>SUMPRODUCT($A86:$B86,'Zero Gas Annual Calibration'!$K$52:$L$52)</f>
        <v>53.897546357341184</v>
      </c>
      <c r="W86" s="90">
        <f>SUMPRODUCT($A86:$B86,'Zero Gas Annual Calibration'!$K$53:$L$53)</f>
        <v>1.10445791715863E-3</v>
      </c>
      <c r="X86" s="74">
        <f>SUMPRODUCT($A86:$C86,'Zero Gas Annual Calibration'!$U$59:$W$59)</f>
        <v>-192.60207153771785</v>
      </c>
      <c r="Y86" s="75">
        <f>SUMPRODUCT($A86:$C86,'Zero Gas Annual Calibration'!$U$60:$W$60)</f>
        <v>5.3694030302719131E-2</v>
      </c>
      <c r="Z86" s="75">
        <f>SUMPRODUCT($A86:$C86,'Zero Gas Annual Calibration'!$U$61:$W$61)</f>
        <v>-2.6416892846641688E-6</v>
      </c>
      <c r="AA86" s="133">
        <f>SUMPRODUCT($A86:$D86,'Zero Gas Annual Calibration'!$AD$59:$AG$59)</f>
        <v>-188.12277541627009</v>
      </c>
      <c r="AB86" s="112">
        <f>SUMPRODUCT($A86:$D86,'Zero Gas Annual Calibration'!$AD$60:$AG$60)</f>
        <v>5.1972948097330551E-2</v>
      </c>
      <c r="AC86" s="112">
        <f>SUMPRODUCT($A86:$D86,'Zero Gas Annual Calibration'!$AD$61:$AG$61)</f>
        <v>-2.4486761365745185E-6</v>
      </c>
      <c r="AD86" s="134">
        <f>SUMPRODUCT($A86:$D86,'Zero Gas Annual Calibration'!$AD$62:$AG$62)</f>
        <v>-6.4724128738637405E-12</v>
      </c>
      <c r="AE86" s="81" t="e">
        <f>SUMPRODUCT(A86:E86,'Zero Gas Annual Calibration'!$BG$59:$BK$59)</f>
        <v>#DIV/0!</v>
      </c>
      <c r="AF86" s="81" t="e">
        <f>SUMPRODUCT(A86:E86,'Zero Gas Annual Calibration'!$BG$60:$BK$60)</f>
        <v>#DIV/0!</v>
      </c>
      <c r="AG86" s="81" t="e">
        <f>SUMPRODUCT(A86:E86,'Zero Gas Annual Calibration'!$BG$61:$BK$61)</f>
        <v>#DIV/0!</v>
      </c>
      <c r="AH86" s="81" t="e">
        <f>SUMPRODUCT(A86:E86,'Zero Gas Annual Calibration'!$BG$62:$BK$62)</f>
        <v>#DIV/0!</v>
      </c>
      <c r="AI86" s="135" t="e">
        <f>SUMPRODUCT(A86:E86,'Zero Gas Annual Calibration'!$BG$63:$BK$63)</f>
        <v>#DIV/0!</v>
      </c>
    </row>
    <row r="87" spans="1:35" ht="18" customHeight="1" x14ac:dyDescent="0.2">
      <c r="A87" s="124">
        <v>1</v>
      </c>
      <c r="B87" s="125">
        <f t="shared" si="0"/>
        <v>9760</v>
      </c>
      <c r="C87" s="126">
        <f t="shared" si="1"/>
        <v>95257600</v>
      </c>
      <c r="D87" s="127">
        <f t="shared" si="2"/>
        <v>929714176000</v>
      </c>
      <c r="E87" s="128">
        <f t="shared" si="3"/>
        <v>9074010357760000</v>
      </c>
      <c r="F87" s="129">
        <f>'Zero Gas Annual Calibration'!$K$27+'Zero Gas Annual Calibration'!$K$28*'Chart Data Zero Gas'!B87</f>
        <v>9794.5347433759089</v>
      </c>
      <c r="G87" s="72">
        <f t="shared" si="4"/>
        <v>9768.8492415333458</v>
      </c>
      <c r="H87" s="108">
        <f t="shared" si="10"/>
        <v>9820.220245218472</v>
      </c>
      <c r="I87" s="90"/>
      <c r="J87" s="130">
        <f>'Zero Gas Annual Calibration'!$U$30+'Chart Data Zero Gas'!B87*'Zero Gas Annual Calibration'!$U$31+'Chart Data Zero Gas'!B87^2*'Zero Gas Annual Calibration'!$U$32</f>
        <v>9810.0358617342845</v>
      </c>
      <c r="K87" s="75">
        <f t="shared" si="11"/>
        <v>9771.4152035573297</v>
      </c>
      <c r="L87" s="110">
        <f t="shared" si="5"/>
        <v>9848.6565199112392</v>
      </c>
      <c r="M87" s="91"/>
      <c r="N87" s="111">
        <f>'Zero Gas Annual Calibration'!$AD$30+B87*'Zero Gas Annual Calibration'!$AD$31+B87^2*'Zero Gas Annual Calibration'!$AD$32+B87^3*'Zero Gas Annual Calibration'!$AD$33</f>
        <v>9810.6238195630085</v>
      </c>
      <c r="O87" s="131">
        <f t="shared" si="6"/>
        <v>9778.4654963617904</v>
      </c>
      <c r="P87" s="112">
        <f t="shared" si="7"/>
        <v>9842.7821427642266</v>
      </c>
      <c r="Q87" s="92"/>
      <c r="R87" s="132">
        <f>SUMPRODUCT(A87:E87,'Zero Gas Annual Calibration'!$BI$43:$BM$43)</f>
        <v>9827.751002344321</v>
      </c>
      <c r="S87" s="81" t="e">
        <f t="shared" si="8"/>
        <v>#DIV/0!</v>
      </c>
      <c r="T87" s="114" t="e">
        <f t="shared" si="9"/>
        <v>#DIV/0!</v>
      </c>
      <c r="U87" s="81"/>
      <c r="V87" s="71">
        <f>SUMPRODUCT($A87:$B87,'Zero Gas Annual Calibration'!$K$52:$L$52)</f>
        <v>46.276786728946604</v>
      </c>
      <c r="W87" s="90">
        <f>SUMPRODUCT($A87:$B87,'Zero Gas Annual Calibration'!$K$53:$L$53)</f>
        <v>1.9328013550276024E-3</v>
      </c>
      <c r="X87" s="74">
        <f>SUMPRODUCT($A87:$C87,'Zero Gas Annual Calibration'!$U$59:$W$59)</f>
        <v>-198.37137670279526</v>
      </c>
      <c r="Y87" s="75">
        <f>SUMPRODUCT($A87:$C87,'Zero Gas Annual Calibration'!$U$60:$W$60)</f>
        <v>5.4642028692886369E-2</v>
      </c>
      <c r="Z87" s="75">
        <f>SUMPRODUCT($A87:$C87,'Zero Gas Annual Calibration'!$U$61:$W$61)</f>
        <v>-2.6702966492422799E-6</v>
      </c>
      <c r="AA87" s="133">
        <f>SUMPRODUCT($A87:$D87,'Zero Gas Annual Calibration'!$AD$59:$AG$59)</f>
        <v>-124.8161139279764</v>
      </c>
      <c r="AB87" s="112">
        <f>SUMPRODUCT($A87:$D87,'Zero Gas Annual Calibration'!$AD$60:$AG$60)</f>
        <v>2.6379853020094934E-2</v>
      </c>
      <c r="AC87" s="112">
        <f>SUMPRODUCT($A87:$D87,'Zero Gas Annual Calibration'!$AD$61:$AG$61)</f>
        <v>4.9920419237388901E-7</v>
      </c>
      <c r="AD87" s="134">
        <f>SUMPRODUCT($A87:$D87,'Zero Gas Annual Calibration'!$AD$62:$AG$62)</f>
        <v>-1.0628456275689684E-10</v>
      </c>
      <c r="AE87" s="81" t="e">
        <f>SUMPRODUCT(A87:E87,'Zero Gas Annual Calibration'!$BG$59:$BK$59)</f>
        <v>#DIV/0!</v>
      </c>
      <c r="AF87" s="81" t="e">
        <f>SUMPRODUCT(A87:E87,'Zero Gas Annual Calibration'!$BG$60:$BK$60)</f>
        <v>#DIV/0!</v>
      </c>
      <c r="AG87" s="81" t="e">
        <f>SUMPRODUCT(A87:E87,'Zero Gas Annual Calibration'!$BG$61:$BK$61)</f>
        <v>#DIV/0!</v>
      </c>
      <c r="AH87" s="81" t="e">
        <f>SUMPRODUCT(A87:E87,'Zero Gas Annual Calibration'!$BG$62:$BK$62)</f>
        <v>#DIV/0!</v>
      </c>
      <c r="AI87" s="135" t="e">
        <f>SUMPRODUCT(A87:E87,'Zero Gas Annual Calibration'!$BG$63:$BK$63)</f>
        <v>#DIV/0!</v>
      </c>
    </row>
    <row r="88" spans="1:35" ht="18" customHeight="1" x14ac:dyDescent="0.2">
      <c r="A88" s="124">
        <v>1</v>
      </c>
      <c r="B88" s="125">
        <f t="shared" si="0"/>
        <v>10000</v>
      </c>
      <c r="C88" s="126">
        <f t="shared" si="1"/>
        <v>100000000</v>
      </c>
      <c r="D88" s="127">
        <f t="shared" si="2"/>
        <v>1000000000000</v>
      </c>
      <c r="E88" s="128">
        <f t="shared" si="3"/>
        <v>1E+16</v>
      </c>
      <c r="F88" s="129">
        <f>'Zero Gas Annual Calibration'!$K$27+'Zero Gas Annual Calibration'!$K$28*'Chart Data Zero Gas'!B88</f>
        <v>10034.630131427697</v>
      </c>
      <c r="G88" s="72">
        <f t="shared" si="4"/>
        <v>10008.723479122222</v>
      </c>
      <c r="H88" s="108">
        <f t="shared" si="10"/>
        <v>10060.536783733172</v>
      </c>
      <c r="I88" s="90"/>
      <c r="J88" s="130">
        <f>'Zero Gas Annual Calibration'!$U$30+'Chart Data Zero Gas'!B88*'Zero Gas Annual Calibration'!$U$31+'Chart Data Zero Gas'!B88^2*'Zero Gas Annual Calibration'!$U$32</f>
        <v>10050.204404370985</v>
      </c>
      <c r="K88" s="75">
        <f t="shared" si="11"/>
        <v>10011.346872034721</v>
      </c>
      <c r="L88" s="110">
        <f t="shared" si="5"/>
        <v>10089.061936707249</v>
      </c>
      <c r="M88" s="91"/>
      <c r="N88" s="111">
        <f>'Zero Gas Annual Calibration'!$AD$30+B88*'Zero Gas Annual Calibration'!$AD$31+B88^2*'Zero Gas Annual Calibration'!$AD$32+B88^3*'Zero Gas Annual Calibration'!$AD$33</f>
        <v>10051.349256797481</v>
      </c>
      <c r="O88" s="131">
        <f t="shared" si="6"/>
        <v>10018.548627724891</v>
      </c>
      <c r="P88" s="112">
        <f t="shared" si="7"/>
        <v>10084.149885870071</v>
      </c>
      <c r="Q88" s="92"/>
      <c r="R88" s="132">
        <f>SUMPRODUCT(A88:E88,'Zero Gas Annual Calibration'!$BI$43:$BM$43)</f>
        <v>10067.812900079556</v>
      </c>
      <c r="S88" s="81" t="e">
        <f t="shared" si="8"/>
        <v>#DIV/0!</v>
      </c>
      <c r="T88" s="114" t="e">
        <f t="shared" si="9"/>
        <v>#DIV/0!</v>
      </c>
      <c r="U88" s="81"/>
      <c r="V88" s="71">
        <f>SUMPRODUCT($A88:$B88,'Zero Gas Annual Calibration'!$K$52:$L$52)</f>
        <v>38.65602710055208</v>
      </c>
      <c r="W88" s="90">
        <f>SUMPRODUCT($A88:$B88,'Zero Gas Annual Calibration'!$K$53:$L$53)</f>
        <v>2.7611447928965749E-3</v>
      </c>
      <c r="X88" s="74">
        <f>SUMPRODUCT($A88:$C88,'Zero Gas Annual Calibration'!$U$59:$W$59)</f>
        <v>-202.82713470975227</v>
      </c>
      <c r="Y88" s="75">
        <f>SUMPRODUCT($A88:$C88,'Zero Gas Annual Calibration'!$U$60:$W$60)</f>
        <v>5.5267711309800571E-2</v>
      </c>
      <c r="Z88" s="75">
        <f>SUMPRODUCT($A88:$C88,'Zero Gas Annual Calibration'!$U$61:$W$61)</f>
        <v>-2.6828986072718661E-6</v>
      </c>
      <c r="AA88" s="133">
        <f>SUMPRODUCT($A88:$D88,'Zero Gas Annual Calibration'!$AD$59:$AG$59)</f>
        <v>-59.602710638318968</v>
      </c>
      <c r="AB88" s="112">
        <f>SUMPRODUCT($A88:$D88,'Zero Gas Annual Calibration'!$AD$60:$AG$60)</f>
        <v>2.3651869298735306E-4</v>
      </c>
      <c r="AC88" s="112">
        <f>SUMPRODUCT($A88:$D88,'Zero Gas Annual Calibration'!$AD$61:$AG$61)</f>
        <v>3.4886507218925529E-6</v>
      </c>
      <c r="AD88" s="134">
        <f>SUMPRODUCT($A88:$D88,'Zero Gas Annual Calibration'!$AD$62:$AG$62)</f>
        <v>-2.0695385638338668E-10</v>
      </c>
      <c r="AE88" s="81" t="e">
        <f>SUMPRODUCT(A88:E88,'Zero Gas Annual Calibration'!$BG$59:$BK$59)</f>
        <v>#DIV/0!</v>
      </c>
      <c r="AF88" s="81" t="e">
        <f>SUMPRODUCT(A88:E88,'Zero Gas Annual Calibration'!$BG$60:$BK$60)</f>
        <v>#DIV/0!</v>
      </c>
      <c r="AG88" s="81" t="e">
        <f>SUMPRODUCT(A88:E88,'Zero Gas Annual Calibration'!$BG$61:$BK$61)</f>
        <v>#DIV/0!</v>
      </c>
      <c r="AH88" s="81" t="e">
        <f>SUMPRODUCT(A88:E88,'Zero Gas Annual Calibration'!$BG$62:$BK$62)</f>
        <v>#DIV/0!</v>
      </c>
      <c r="AI88" s="135" t="e">
        <f>SUMPRODUCT(A88:E88,'Zero Gas Annual Calibration'!$BG$63:$BK$63)</f>
        <v>#DIV/0!</v>
      </c>
    </row>
    <row r="89" spans="1:35" ht="18" customHeight="1" x14ac:dyDescent="0.2">
      <c r="A89" s="124">
        <v>1</v>
      </c>
      <c r="B89" s="125">
        <f t="shared" si="0"/>
        <v>10240</v>
      </c>
      <c r="C89" s="126">
        <f t="shared" si="1"/>
        <v>104857600</v>
      </c>
      <c r="D89" s="127">
        <f t="shared" si="2"/>
        <v>1073741824000</v>
      </c>
      <c r="E89" s="128">
        <f t="shared" si="3"/>
        <v>1.099511627776E+16</v>
      </c>
      <c r="F89" s="129">
        <f>'Zero Gas Annual Calibration'!$K$27+'Zero Gas Annual Calibration'!$K$28*'Chart Data Zero Gas'!B89</f>
        <v>10274.725519479485</v>
      </c>
      <c r="G89" s="72">
        <f t="shared" si="4"/>
        <v>10248.522634328203</v>
      </c>
      <c r="H89" s="108">
        <f t="shared" si="10"/>
        <v>10300.928404630768</v>
      </c>
      <c r="I89" s="90"/>
      <c r="J89" s="130">
        <f>'Zero Gas Annual Calibration'!$U$30+'Chart Data Zero Gas'!B89*'Zero Gas Annual Calibration'!$U$31+'Chart Data Zero Gas'!B89^2*'Zero Gas Annual Calibration'!$U$32</f>
        <v>10290.280035345098</v>
      </c>
      <c r="K89" s="75">
        <f t="shared" si="11"/>
        <v>10251.291006114998</v>
      </c>
      <c r="L89" s="110">
        <f t="shared" si="5"/>
        <v>10329.269064575199</v>
      </c>
      <c r="M89" s="91"/>
      <c r="N89" s="111">
        <f>'Zero Gas Annual Calibration'!$AD$30+B89*'Zero Gas Annual Calibration'!$AD$31+B89^2*'Zero Gas Annual Calibration'!$AD$32+B89^3*'Zero Gas Annual Calibration'!$AD$33</f>
        <v>10291.980212286042</v>
      </c>
      <c r="O89" s="131">
        <f t="shared" si="6"/>
        <v>10258.355888207318</v>
      </c>
      <c r="P89" s="112">
        <f t="shared" si="7"/>
        <v>10325.604536364766</v>
      </c>
      <c r="Q89" s="92"/>
      <c r="R89" s="132">
        <f>SUMPRODUCT(A89:E89,'Zero Gas Annual Calibration'!$BI$43:$BM$43)</f>
        <v>10307.359133782098</v>
      </c>
      <c r="S89" s="81" t="e">
        <f t="shared" si="8"/>
        <v>#DIV/0!</v>
      </c>
      <c r="T89" s="114" t="e">
        <f t="shared" si="9"/>
        <v>#DIV/0!</v>
      </c>
      <c r="U89" s="81"/>
      <c r="V89" s="71">
        <f>SUMPRODUCT($A89:$B89,'Zero Gas Annual Calibration'!$K$52:$L$52)</f>
        <v>31.035267472157557</v>
      </c>
      <c r="W89" s="90">
        <f>SUMPRODUCT($A89:$B89,'Zero Gas Annual Calibration'!$K$53:$L$53)</f>
        <v>3.5894882307655473E-3</v>
      </c>
      <c r="X89" s="74">
        <f>SUMPRODUCT($A89:$C89,'Zero Gas Annual Calibration'!$U$59:$W$59)</f>
        <v>-205.96934555858911</v>
      </c>
      <c r="Y89" s="75">
        <f>SUMPRODUCT($A89:$C89,'Zero Gas Annual Calibration'!$U$60:$W$60)</f>
        <v>5.5571078153461684E-2</v>
      </c>
      <c r="Z89" s="75">
        <f>SUMPRODUCT($A89:$C89,'Zero Gas Annual Calibration'!$U$61:$W$61)</f>
        <v>-2.6794951587529224E-6</v>
      </c>
      <c r="AA89" s="133">
        <f>SUMPRODUCT($A89:$D89,'Zero Gas Annual Calibration'!$AD$59:$AG$59)</f>
        <v>6.7278177421594592</v>
      </c>
      <c r="AB89" s="112">
        <f>SUMPRODUCT($A89:$D89,'Zero Gas Annual Calibration'!$AD$60:$AG$60)</f>
        <v>-2.6153660057501416E-2</v>
      </c>
      <c r="AC89" s="112">
        <f>SUMPRODUCT($A89:$D89,'Zero Gas Annual Calibration'!$AD$61:$AG$61)</f>
        <v>6.4856388188796067E-6</v>
      </c>
      <c r="AD89" s="134">
        <f>SUMPRODUCT($A89:$D89,'Zero Gas Annual Calibration'!$AD$62:$AG$62)</f>
        <v>-3.0733932757826416E-10</v>
      </c>
      <c r="AE89" s="81" t="e">
        <f>SUMPRODUCT(A89:E89,'Zero Gas Annual Calibration'!$BG$59:$BK$59)</f>
        <v>#DIV/0!</v>
      </c>
      <c r="AF89" s="81" t="e">
        <f>SUMPRODUCT(A89:E89,'Zero Gas Annual Calibration'!$BG$60:$BK$60)</f>
        <v>#DIV/0!</v>
      </c>
      <c r="AG89" s="81" t="e">
        <f>SUMPRODUCT(A89:E89,'Zero Gas Annual Calibration'!$BG$61:$BK$61)</f>
        <v>#DIV/0!</v>
      </c>
      <c r="AH89" s="81" t="e">
        <f>SUMPRODUCT(A89:E89,'Zero Gas Annual Calibration'!$BG$62:$BK$62)</f>
        <v>#DIV/0!</v>
      </c>
      <c r="AI89" s="135" t="e">
        <f>SUMPRODUCT(A89:E89,'Zero Gas Annual Calibration'!$BG$63:$BK$63)</f>
        <v>#DIV/0!</v>
      </c>
    </row>
    <row r="90" spans="1:35" ht="18" customHeight="1" x14ac:dyDescent="0.2">
      <c r="A90" s="124">
        <v>1</v>
      </c>
      <c r="B90" s="125">
        <f t="shared" si="0"/>
        <v>10480</v>
      </c>
      <c r="C90" s="126">
        <f t="shared" si="1"/>
        <v>109830400</v>
      </c>
      <c r="D90" s="127">
        <f t="shared" si="2"/>
        <v>1151022592000</v>
      </c>
      <c r="E90" s="128">
        <f t="shared" si="3"/>
        <v>1.206271676416E+16</v>
      </c>
      <c r="F90" s="129">
        <f>'Zero Gas Annual Calibration'!$K$27+'Zero Gas Annual Calibration'!$K$28*'Chart Data Zero Gas'!B90</f>
        <v>10514.820907531273</v>
      </c>
      <c r="G90" s="72">
        <f t="shared" si="4"/>
        <v>10488.249218186635</v>
      </c>
      <c r="H90" s="108">
        <f t="shared" si="10"/>
        <v>10541.392596875912</v>
      </c>
      <c r="I90" s="90"/>
      <c r="J90" s="130">
        <f>'Zero Gas Annual Calibration'!$U$30+'Chart Data Zero Gas'!B90*'Zero Gas Annual Calibration'!$U$31+'Chart Data Zero Gas'!B90^2*'Zero Gas Annual Calibration'!$U$32</f>
        <v>10530.262754656625</v>
      </c>
      <c r="K90" s="75">
        <f t="shared" si="11"/>
        <v>10491.245982213437</v>
      </c>
      <c r="L90" s="110">
        <f t="shared" si="5"/>
        <v>10569.279527099814</v>
      </c>
      <c r="M90" s="91"/>
      <c r="N90" s="111">
        <f>'Zero Gas Annual Calibration'!$AD$30+B90*'Zero Gas Annual Calibration'!$AD$31+B90^2*'Zero Gas Annual Calibration'!$AD$32+B90^3*'Zero Gas Annual Calibration'!$AD$33</f>
        <v>10532.510374293735</v>
      </c>
      <c r="O90" s="131">
        <f t="shared" si="6"/>
        <v>10497.908151261312</v>
      </c>
      <c r="P90" s="112">
        <f t="shared" si="7"/>
        <v>10567.112597326159</v>
      </c>
      <c r="Q90" s="92"/>
      <c r="R90" s="132">
        <f>SUMPRODUCT(A90:E90,'Zero Gas Annual Calibration'!$BI$43:$BM$43)</f>
        <v>10546.394897828695</v>
      </c>
      <c r="S90" s="81" t="e">
        <f t="shared" si="8"/>
        <v>#DIV/0!</v>
      </c>
      <c r="T90" s="114" t="e">
        <f t="shared" si="9"/>
        <v>#DIV/0!</v>
      </c>
      <c r="U90" s="81"/>
      <c r="V90" s="71">
        <f>SUMPRODUCT($A90:$B90,'Zero Gas Annual Calibration'!$K$52:$L$52)</f>
        <v>23.414507843762976</v>
      </c>
      <c r="W90" s="90">
        <f>SUMPRODUCT($A90:$B90,'Zero Gas Annual Calibration'!$K$53:$L$53)</f>
        <v>4.4178316686345198E-3</v>
      </c>
      <c r="X90" s="74">
        <f>SUMPRODUCT($A90:$C90,'Zero Gas Annual Calibration'!$U$59:$W$59)</f>
        <v>-207.79800924930555</v>
      </c>
      <c r="Y90" s="75">
        <f>SUMPRODUCT($A90:$C90,'Zero Gas Annual Calibration'!$U$60:$W$60)</f>
        <v>5.5552129223869762E-2</v>
      </c>
      <c r="Z90" s="75">
        <f>SUMPRODUCT($A90:$C90,'Zero Gas Annual Calibration'!$U$61:$W$61)</f>
        <v>-2.660086303685459E-6</v>
      </c>
      <c r="AA90" s="133">
        <f>SUMPRODUCT($A90:$D90,'Zero Gas Annual Calibration'!$AD$59:$AG$59)</f>
        <v>73.385854502921575</v>
      </c>
      <c r="AB90" s="112">
        <f>SUMPRODUCT($A90:$D90,'Zero Gas Annual Calibration'!$AD$60:$AG$60)</f>
        <v>-5.2487288404871713E-2</v>
      </c>
      <c r="AC90" s="112">
        <f>SUMPRODUCT($A90:$D90,'Zero Gas Annual Calibration'!$AD$61:$AG$61)</f>
        <v>9.4561438502337256E-6</v>
      </c>
      <c r="AD90" s="134">
        <f>SUMPRODUCT($A90:$D90,'Zero Gas Annual Calibration'!$AD$62:$AG$62)</f>
        <v>-4.0630001016645022E-10</v>
      </c>
      <c r="AE90" s="81" t="e">
        <f>SUMPRODUCT(A90:E90,'Zero Gas Annual Calibration'!$BG$59:$BK$59)</f>
        <v>#DIV/0!</v>
      </c>
      <c r="AF90" s="81" t="e">
        <f>SUMPRODUCT(A90:E90,'Zero Gas Annual Calibration'!$BG$60:$BK$60)</f>
        <v>#DIV/0!</v>
      </c>
      <c r="AG90" s="81" t="e">
        <f>SUMPRODUCT(A90:E90,'Zero Gas Annual Calibration'!$BG$61:$BK$61)</f>
        <v>#DIV/0!</v>
      </c>
      <c r="AH90" s="81" t="e">
        <f>SUMPRODUCT(A90:E90,'Zero Gas Annual Calibration'!$BG$62:$BK$62)</f>
        <v>#DIV/0!</v>
      </c>
      <c r="AI90" s="135" t="e">
        <f>SUMPRODUCT(A90:E90,'Zero Gas Annual Calibration'!$BG$63:$BK$63)</f>
        <v>#DIV/0!</v>
      </c>
    </row>
    <row r="91" spans="1:35" ht="18" customHeight="1" x14ac:dyDescent="0.2">
      <c r="A91" s="124">
        <v>1</v>
      </c>
      <c r="B91" s="125">
        <f t="shared" si="0"/>
        <v>10720</v>
      </c>
      <c r="C91" s="126">
        <f t="shared" si="1"/>
        <v>114918400</v>
      </c>
      <c r="D91" s="127">
        <f t="shared" si="2"/>
        <v>1231925248000</v>
      </c>
      <c r="E91" s="128">
        <f t="shared" si="3"/>
        <v>1.320623865856E+16</v>
      </c>
      <c r="F91" s="129">
        <f>'Zero Gas Annual Calibration'!$K$27+'Zero Gas Annual Calibration'!$K$28*'Chart Data Zero Gas'!B91</f>
        <v>10754.916295583062</v>
      </c>
      <c r="G91" s="72">
        <f t="shared" si="4"/>
        <v>10727.906203269138</v>
      </c>
      <c r="H91" s="108">
        <f t="shared" si="10"/>
        <v>10781.926387896985</v>
      </c>
      <c r="I91" s="90"/>
      <c r="J91" s="130">
        <f>'Zero Gas Annual Calibration'!$U$30+'Chart Data Zero Gas'!B91*'Zero Gas Annual Calibration'!$U$31+'Chart Data Zero Gas'!B91^2*'Zero Gas Annual Calibration'!$U$32</f>
        <v>10770.15256230557</v>
      </c>
      <c r="K91" s="75">
        <f t="shared" si="11"/>
        <v>10731.208389815953</v>
      </c>
      <c r="L91" s="110">
        <f t="shared" si="5"/>
        <v>10809.096734795186</v>
      </c>
      <c r="M91" s="91"/>
      <c r="N91" s="111">
        <f>'Zero Gas Annual Calibration'!$AD$30+B91*'Zero Gas Annual Calibration'!$AD$31+B91^2*'Zero Gas Annual Calibration'!$AD$32+B91^3*'Zero Gas Annual Calibration'!$AD$33</f>
        <v>10772.93343108561</v>
      </c>
      <c r="O91" s="131">
        <f t="shared" si="6"/>
        <v>10737.235174644251</v>
      </c>
      <c r="P91" s="112">
        <f t="shared" si="7"/>
        <v>10808.631687526969</v>
      </c>
      <c r="Q91" s="92"/>
      <c r="R91" s="132">
        <f>SUMPRODUCT(A91:E91,'Zero Gas Annual Calibration'!$BI$43:$BM$43)</f>
        <v>10784.932593720943</v>
      </c>
      <c r="S91" s="81" t="e">
        <f t="shared" si="8"/>
        <v>#DIV/0!</v>
      </c>
      <c r="T91" s="114" t="e">
        <f t="shared" si="9"/>
        <v>#DIV/0!</v>
      </c>
      <c r="U91" s="81"/>
      <c r="V91" s="71">
        <f>SUMPRODUCT($A91:$B91,'Zero Gas Annual Calibration'!$K$52:$L$52)</f>
        <v>15.793748215368453</v>
      </c>
      <c r="W91" s="90">
        <f>SUMPRODUCT($A91:$B91,'Zero Gas Annual Calibration'!$K$53:$L$53)</f>
        <v>5.2461751065034923E-3</v>
      </c>
      <c r="X91" s="74">
        <f>SUMPRODUCT($A91:$C91,'Zero Gas Annual Calibration'!$U$59:$W$59)</f>
        <v>-208.31312578190182</v>
      </c>
      <c r="Y91" s="75">
        <f>SUMPRODUCT($A91:$C91,'Zero Gas Annual Calibration'!$U$60:$W$60)</f>
        <v>5.521086452102475E-2</v>
      </c>
      <c r="Z91" s="75">
        <f>SUMPRODUCT($A91:$C91,'Zero Gas Annual Calibration'!$U$61:$W$61)</f>
        <v>-2.6246720420694724E-6</v>
      </c>
      <c r="AA91" s="133">
        <f>SUMPRODUCT($A91:$D91,'Zero Gas Annual Calibration'!$AD$59:$AG$59)</f>
        <v>139.58178293342826</v>
      </c>
      <c r="AB91" s="112">
        <f>SUMPRODUCT($A91:$D91,'Zero Gas Annual Calibration'!$AD$60:$AG$60)</f>
        <v>-7.8460971522630096E-2</v>
      </c>
      <c r="AC91" s="112">
        <f>SUMPRODUCT($A91:$D91,'Zero Gas Annual Calibration'!$AD$61:$AG$61)</f>
        <v>1.2366141182853043E-5</v>
      </c>
      <c r="AD91" s="134">
        <f>SUMPRODUCT($A91:$D91,'Zero Gas Annual Calibration'!$AD$62:$AG$62)</f>
        <v>-5.0269493797287576E-10</v>
      </c>
      <c r="AE91" s="81" t="e">
        <f>SUMPRODUCT(A91:E91,'Zero Gas Annual Calibration'!$BG$59:$BK$59)</f>
        <v>#DIV/0!</v>
      </c>
      <c r="AF91" s="81" t="e">
        <f>SUMPRODUCT(A91:E91,'Zero Gas Annual Calibration'!$BG$60:$BK$60)</f>
        <v>#DIV/0!</v>
      </c>
      <c r="AG91" s="81" t="e">
        <f>SUMPRODUCT(A91:E91,'Zero Gas Annual Calibration'!$BG$61:$BK$61)</f>
        <v>#DIV/0!</v>
      </c>
      <c r="AH91" s="81" t="e">
        <f>SUMPRODUCT(A91:E91,'Zero Gas Annual Calibration'!$BG$62:$BK$62)</f>
        <v>#DIV/0!</v>
      </c>
      <c r="AI91" s="135" t="e">
        <f>SUMPRODUCT(A91:E91,'Zero Gas Annual Calibration'!$BG$63:$BK$63)</f>
        <v>#DIV/0!</v>
      </c>
    </row>
    <row r="92" spans="1:35" ht="18" customHeight="1" x14ac:dyDescent="0.2">
      <c r="A92" s="124">
        <v>1</v>
      </c>
      <c r="B92" s="125">
        <f t="shared" si="0"/>
        <v>10960</v>
      </c>
      <c r="C92" s="126">
        <f t="shared" si="1"/>
        <v>120121600</v>
      </c>
      <c r="D92" s="127">
        <f t="shared" si="2"/>
        <v>1316532736000</v>
      </c>
      <c r="E92" s="128">
        <f t="shared" si="3"/>
        <v>1.442919878656E+16</v>
      </c>
      <c r="F92" s="129">
        <f>'Zero Gas Annual Calibration'!$K$27+'Zero Gas Annual Calibration'!$K$28*'Chart Data Zero Gas'!B92</f>
        <v>10995.011683634848</v>
      </c>
      <c r="G92" s="72">
        <f t="shared" si="4"/>
        <v>10967.496916203751</v>
      </c>
      <c r="H92" s="108">
        <f t="shared" si="10"/>
        <v>11022.526451065945</v>
      </c>
      <c r="I92" s="90"/>
      <c r="J92" s="130">
        <f>'Zero Gas Annual Calibration'!$U$30+'Chart Data Zero Gas'!B92*'Zero Gas Annual Calibration'!$U$31+'Chart Data Zero Gas'!B92^2*'Zero Gas Annual Calibration'!$U$32</f>
        <v>11009.949458291927</v>
      </c>
      <c r="K92" s="75">
        <f t="shared" si="11"/>
        <v>10971.172948902487</v>
      </c>
      <c r="L92" s="110">
        <f t="shared" si="5"/>
        <v>11048.725967681366</v>
      </c>
      <c r="M92" s="91"/>
      <c r="N92" s="111">
        <f>'Zero Gas Annual Calibration'!$AD$30+B92*'Zero Gas Annual Calibration'!$AD$31+B92^2*'Zero Gas Annual Calibration'!$AD$32+B92^3*'Zero Gas Annual Calibration'!$AD$33</f>
        <v>11013.24307092671</v>
      </c>
      <c r="O92" s="131">
        <f t="shared" si="6"/>
        <v>10976.372563143079</v>
      </c>
      <c r="P92" s="112">
        <f t="shared" si="7"/>
        <v>11050.113578710341</v>
      </c>
      <c r="Q92" s="92"/>
      <c r="R92" s="132">
        <f>SUMPRODUCT(A92:E92,'Zero Gas Annual Calibration'!$BI$43:$BM$43)</f>
        <v>11022.991830085302</v>
      </c>
      <c r="S92" s="81" t="e">
        <f t="shared" si="8"/>
        <v>#DIV/0!</v>
      </c>
      <c r="T92" s="114" t="e">
        <f t="shared" si="9"/>
        <v>#DIV/0!</v>
      </c>
      <c r="U92" s="81"/>
      <c r="V92" s="71">
        <f>SUMPRODUCT($A92:$B92,'Zero Gas Annual Calibration'!$K$52:$L$52)</f>
        <v>8.1729885869738723</v>
      </c>
      <c r="W92" s="90">
        <f>SUMPRODUCT($A92:$B92,'Zero Gas Annual Calibration'!$K$53:$L$53)</f>
        <v>6.0745185443724647E-3</v>
      </c>
      <c r="X92" s="74">
        <f>SUMPRODUCT($A92:$C92,'Zero Gas Annual Calibration'!$U$59:$W$59)</f>
        <v>-207.51469515637768</v>
      </c>
      <c r="Y92" s="75">
        <f>SUMPRODUCT($A92:$C92,'Zero Gas Annual Calibration'!$U$60:$W$60)</f>
        <v>5.4547284044926758E-2</v>
      </c>
      <c r="Z92" s="75">
        <f>SUMPRODUCT($A92:$C92,'Zero Gas Annual Calibration'!$U$61:$W$61)</f>
        <v>-2.573252373904961E-6</v>
      </c>
      <c r="AA92" s="133">
        <f>SUMPRODUCT($A92:$D92,'Zero Gas Annual Calibration'!$AD$59:$AG$59)</f>
        <v>204.52598632314766</v>
      </c>
      <c r="AB92" s="112">
        <f>SUMPRODUCT($A92:$D92,'Zero Gas Annual Calibration'!$AD$60:$AG$60)</f>
        <v>-0.10377131458427957</v>
      </c>
      <c r="AC92" s="112">
        <f>SUMPRODUCT($A92:$D92,'Zero Gas Annual Calibration'!$AD$61:$AG$61)</f>
        <v>1.5181606183636343E-5</v>
      </c>
      <c r="AD92" s="134">
        <f>SUMPRODUCT($A92:$D92,'Zero Gas Annual Calibration'!$AD$62:$AG$62)</f>
        <v>-5.9538314482245676E-10</v>
      </c>
      <c r="AE92" s="81" t="e">
        <f>SUMPRODUCT(A92:E92,'Zero Gas Annual Calibration'!$BG$59:$BK$59)</f>
        <v>#DIV/0!</v>
      </c>
      <c r="AF92" s="81" t="e">
        <f>SUMPRODUCT(A92:E92,'Zero Gas Annual Calibration'!$BG$60:$BK$60)</f>
        <v>#DIV/0!</v>
      </c>
      <c r="AG92" s="81" t="e">
        <f>SUMPRODUCT(A92:E92,'Zero Gas Annual Calibration'!$BG$61:$BK$61)</f>
        <v>#DIV/0!</v>
      </c>
      <c r="AH92" s="81" t="e">
        <f>SUMPRODUCT(A92:E92,'Zero Gas Annual Calibration'!$BG$62:$BK$62)</f>
        <v>#DIV/0!</v>
      </c>
      <c r="AI92" s="135" t="e">
        <f>SUMPRODUCT(A92:E92,'Zero Gas Annual Calibration'!$BG$63:$BK$63)</f>
        <v>#DIV/0!</v>
      </c>
    </row>
    <row r="93" spans="1:35" ht="18" customHeight="1" x14ac:dyDescent="0.2">
      <c r="A93" s="124">
        <v>1</v>
      </c>
      <c r="B93" s="125">
        <f t="shared" si="0"/>
        <v>11200</v>
      </c>
      <c r="C93" s="126">
        <f t="shared" si="1"/>
        <v>125440000</v>
      </c>
      <c r="D93" s="127">
        <f t="shared" si="2"/>
        <v>1404928000000</v>
      </c>
      <c r="E93" s="128">
        <f t="shared" si="3"/>
        <v>1.57351936E+16</v>
      </c>
      <c r="F93" s="129">
        <f>'Zero Gas Annual Calibration'!$K$27+'Zero Gas Annual Calibration'!$K$28*'Chart Data Zero Gas'!B93</f>
        <v>11235.107071686636</v>
      </c>
      <c r="G93" s="72">
        <f t="shared" si="4"/>
        <v>11207.024929770994</v>
      </c>
      <c r="H93" s="108">
        <f t="shared" si="10"/>
        <v>11263.189213602278</v>
      </c>
      <c r="I93" s="90"/>
      <c r="J93" s="130">
        <f>'Zero Gas Annual Calibration'!$U$30+'Chart Data Zero Gas'!B93*'Zero Gas Annual Calibration'!$U$31+'Chart Data Zero Gas'!B93^2*'Zero Gas Annual Calibration'!$U$32</f>
        <v>11249.653442615698</v>
      </c>
      <c r="K93" s="75">
        <f t="shared" si="11"/>
        <v>11211.132359690806</v>
      </c>
      <c r="L93" s="110">
        <f t="shared" si="5"/>
        <v>11288.174525540589</v>
      </c>
      <c r="M93" s="91"/>
      <c r="N93" s="111">
        <f>'Zero Gas Annual Calibration'!$AD$30+B93*'Zero Gas Annual Calibration'!$AD$31+B93^2*'Zero Gas Annual Calibration'!$AD$32+B93^3*'Zero Gas Annual Calibration'!$AD$33</f>
        <v>11253.432982082088</v>
      </c>
      <c r="O93" s="131">
        <f t="shared" si="6"/>
        <v>11215.35902111036</v>
      </c>
      <c r="P93" s="112">
        <f t="shared" si="7"/>
        <v>11291.506943053815</v>
      </c>
      <c r="Q93" s="92"/>
      <c r="R93" s="132">
        <f>SUMPRODUCT(A93:E93,'Zero Gas Annual Calibration'!$BI$43:$BM$43)</f>
        <v>11260.599422673076</v>
      </c>
      <c r="S93" s="81" t="e">
        <f t="shared" si="8"/>
        <v>#DIV/0!</v>
      </c>
      <c r="T93" s="114" t="e">
        <f t="shared" si="9"/>
        <v>#DIV/0!</v>
      </c>
      <c r="U93" s="81"/>
      <c r="V93" s="71">
        <f>SUMPRODUCT($A93:$B93,'Zero Gas Annual Calibration'!$K$52:$L$52)</f>
        <v>0.55222895857934873</v>
      </c>
      <c r="W93" s="90">
        <f>SUMPRODUCT($A93:$B93,'Zero Gas Annual Calibration'!$K$53:$L$53)</f>
        <v>6.9028619822414372E-3</v>
      </c>
      <c r="X93" s="74">
        <f>SUMPRODUCT($A93:$C93,'Zero Gas Annual Calibration'!$U$59:$W$59)</f>
        <v>-205.40271737273338</v>
      </c>
      <c r="Y93" s="75">
        <f>SUMPRODUCT($A93:$C93,'Zero Gas Annual Calibration'!$U$60:$W$60)</f>
        <v>5.3561387795575677E-2</v>
      </c>
      <c r="Z93" s="75">
        <f>SUMPRODUCT($A93:$C93,'Zero Gas Annual Calibration'!$U$61:$W$61)</f>
        <v>-2.505827299191918E-6</v>
      </c>
      <c r="AA93" s="133">
        <f>SUMPRODUCT($A93:$D93,'Zero Gas Annual Calibration'!$AD$59:$AG$59)</f>
        <v>267.42884796153885</v>
      </c>
      <c r="AB93" s="112">
        <f>SUMPRODUCT($A93:$D93,'Zero Gas Annual Calibration'!$AD$60:$AG$60)</f>
        <v>-0.12811492276332892</v>
      </c>
      <c r="AC93" s="112">
        <f>SUMPRODUCT($A93:$D93,'Zero Gas Annual Calibration'!$AD$61:$AG$61)</f>
        <v>1.7868514219481759E-5</v>
      </c>
      <c r="AD93" s="134">
        <f>SUMPRODUCT($A93:$D93,'Zero Gas Annual Calibration'!$AD$62:$AG$62)</f>
        <v>-6.8322366454011088E-10</v>
      </c>
      <c r="AE93" s="81" t="e">
        <f>SUMPRODUCT(A93:E93,'Zero Gas Annual Calibration'!$BG$59:$BK$59)</f>
        <v>#DIV/0!</v>
      </c>
      <c r="AF93" s="81" t="e">
        <f>SUMPRODUCT(A93:E93,'Zero Gas Annual Calibration'!$BG$60:$BK$60)</f>
        <v>#DIV/0!</v>
      </c>
      <c r="AG93" s="81" t="e">
        <f>SUMPRODUCT(A93:E93,'Zero Gas Annual Calibration'!$BG$61:$BK$61)</f>
        <v>#DIV/0!</v>
      </c>
      <c r="AH93" s="81" t="e">
        <f>SUMPRODUCT(A93:E93,'Zero Gas Annual Calibration'!$BG$62:$BK$62)</f>
        <v>#DIV/0!</v>
      </c>
      <c r="AI93" s="135" t="e">
        <f>SUMPRODUCT(A93:E93,'Zero Gas Annual Calibration'!$BG$63:$BK$63)</f>
        <v>#DIV/0!</v>
      </c>
    </row>
    <row r="94" spans="1:35" ht="18" customHeight="1" x14ac:dyDescent="0.2">
      <c r="A94" s="124">
        <v>1</v>
      </c>
      <c r="B94" s="125">
        <f t="shared" si="0"/>
        <v>11440</v>
      </c>
      <c r="C94" s="126">
        <f t="shared" si="1"/>
        <v>130873600</v>
      </c>
      <c r="D94" s="127">
        <f t="shared" si="2"/>
        <v>1497193984000</v>
      </c>
      <c r="E94" s="128">
        <f t="shared" si="3"/>
        <v>1.712789917696E+16</v>
      </c>
      <c r="F94" s="129">
        <f>'Zero Gas Annual Calibration'!$K$27+'Zero Gas Annual Calibration'!$K$28*'Chart Data Zero Gas'!B94</f>
        <v>11475.202459738424</v>
      </c>
      <c r="G94" s="72">
        <f t="shared" si="4"/>
        <v>11446.493961168226</v>
      </c>
      <c r="H94" s="108">
        <f t="shared" si="10"/>
        <v>11503.910958308623</v>
      </c>
      <c r="I94" s="90"/>
      <c r="J94" s="130">
        <f>'Zero Gas Annual Calibration'!$U$30+'Chart Data Zero Gas'!B94*'Zero Gas Annual Calibration'!$U$31+'Chart Data Zero Gas'!B94^2*'Zero Gas Annual Calibration'!$U$32</f>
        <v>11489.264515276882</v>
      </c>
      <c r="K94" s="75">
        <f t="shared" si="11"/>
        <v>11451.077085484636</v>
      </c>
      <c r="L94" s="110">
        <f t="shared" si="5"/>
        <v>11527.451945069128</v>
      </c>
      <c r="M94" s="91"/>
      <c r="N94" s="111">
        <f>'Zero Gas Annual Calibration'!$AD$30+B94*'Zero Gas Annual Calibration'!$AD$31+B94^2*'Zero Gas Annual Calibration'!$AD$32+B94^3*'Zero Gas Annual Calibration'!$AD$33</f>
        <v>11493.49685281679</v>
      </c>
      <c r="O94" s="131">
        <f t="shared" si="6"/>
        <v>11454.234143553245</v>
      </c>
      <c r="P94" s="112">
        <f t="shared" si="7"/>
        <v>11532.759562080335</v>
      </c>
      <c r="Q94" s="92"/>
      <c r="R94" s="132">
        <f>SUMPRODUCT(A94:E94,'Zero Gas Annual Calibration'!$BI$43:$BM$43)</f>
        <v>11497.789394360439</v>
      </c>
      <c r="S94" s="81" t="e">
        <f t="shared" si="8"/>
        <v>#DIV/0!</v>
      </c>
      <c r="T94" s="114" t="e">
        <f t="shared" si="9"/>
        <v>#DIV/0!</v>
      </c>
      <c r="U94" s="81"/>
      <c r="V94" s="71">
        <f>SUMPRODUCT($A94:$B94,'Zero Gas Annual Calibration'!$K$52:$L$52)</f>
        <v>-7.0685306698152317</v>
      </c>
      <c r="W94" s="90">
        <f>SUMPRODUCT($A94:$B94,'Zero Gas Annual Calibration'!$K$53:$L$53)</f>
        <v>7.7312054201104097E-3</v>
      </c>
      <c r="X94" s="74">
        <f>SUMPRODUCT($A94:$C94,'Zero Gas Annual Calibration'!$U$59:$W$59)</f>
        <v>-201.97719243096867</v>
      </c>
      <c r="Y94" s="75">
        <f>SUMPRODUCT($A94:$C94,'Zero Gas Annual Calibration'!$U$60:$W$60)</f>
        <v>5.2253175772971505E-2</v>
      </c>
      <c r="Z94" s="75">
        <f>SUMPRODUCT($A94:$C94,'Zero Gas Annual Calibration'!$U$61:$W$61)</f>
        <v>-2.4223968179303569E-6</v>
      </c>
      <c r="AA94" s="133">
        <f>SUMPRODUCT($A94:$D94,'Zero Gas Annual Calibration'!$AD$59:$AG$59)</f>
        <v>327.50075113806633</v>
      </c>
      <c r="AB94" s="112">
        <f>SUMPRODUCT($A94:$D94,'Zero Gas Annual Calibration'!$AD$60:$AG$60)</f>
        <v>-0.15118840123327892</v>
      </c>
      <c r="AC94" s="112">
        <f>SUMPRODUCT($A94:$D94,'Zero Gas Annual Calibration'!$AD$61:$AG$61)</f>
        <v>2.0392840657287967E-5</v>
      </c>
      <c r="AD94" s="134">
        <f>SUMPRODUCT($A94:$D94,'Zero Gas Annual Calibration'!$AD$62:$AG$62)</f>
        <v>-7.6507553095076569E-10</v>
      </c>
      <c r="AE94" s="81" t="e">
        <f>SUMPRODUCT(A94:E94,'Zero Gas Annual Calibration'!$BG$59:$BK$59)</f>
        <v>#DIV/0!</v>
      </c>
      <c r="AF94" s="81" t="e">
        <f>SUMPRODUCT(A94:E94,'Zero Gas Annual Calibration'!$BG$60:$BK$60)</f>
        <v>#DIV/0!</v>
      </c>
      <c r="AG94" s="81" t="e">
        <f>SUMPRODUCT(A94:E94,'Zero Gas Annual Calibration'!$BG$61:$BK$61)</f>
        <v>#DIV/0!</v>
      </c>
      <c r="AH94" s="81" t="e">
        <f>SUMPRODUCT(A94:E94,'Zero Gas Annual Calibration'!$BG$62:$BK$62)</f>
        <v>#DIV/0!</v>
      </c>
      <c r="AI94" s="135" t="e">
        <f>SUMPRODUCT(A94:E94,'Zero Gas Annual Calibration'!$BG$63:$BK$63)</f>
        <v>#DIV/0!</v>
      </c>
    </row>
    <row r="95" spans="1:35" ht="18" customHeight="1" x14ac:dyDescent="0.2">
      <c r="A95" s="124">
        <v>1</v>
      </c>
      <c r="B95" s="125">
        <f t="shared" si="0"/>
        <v>11680</v>
      </c>
      <c r="C95" s="126">
        <f t="shared" si="1"/>
        <v>136422400</v>
      </c>
      <c r="D95" s="127">
        <f t="shared" si="2"/>
        <v>1593413632000</v>
      </c>
      <c r="E95" s="128">
        <f t="shared" si="3"/>
        <v>1.861107122176E+16</v>
      </c>
      <c r="F95" s="129">
        <f>'Zero Gas Annual Calibration'!$K$27+'Zero Gas Annual Calibration'!$K$28*'Chart Data Zero Gas'!B95</f>
        <v>11715.297847790212</v>
      </c>
      <c r="G95" s="72">
        <f t="shared" si="4"/>
        <v>11685.907781210804</v>
      </c>
      <c r="H95" s="108">
        <f t="shared" si="10"/>
        <v>11744.687914369621</v>
      </c>
      <c r="I95" s="90"/>
      <c r="J95" s="130">
        <f>'Zero Gas Annual Calibration'!$U$30+'Chart Data Zero Gas'!B95*'Zero Gas Annual Calibration'!$U$31+'Chart Data Zero Gas'!B95^2*'Zero Gas Annual Calibration'!$U$32</f>
        <v>11728.782676275483</v>
      </c>
      <c r="K95" s="75">
        <f t="shared" si="11"/>
        <v>11690.99507043315</v>
      </c>
      <c r="L95" s="110">
        <f t="shared" si="5"/>
        <v>11766.570282117817</v>
      </c>
      <c r="M95" s="91"/>
      <c r="N95" s="111">
        <f>'Zero Gas Annual Calibration'!$AD$30+B95*'Zero Gas Annual Calibration'!$AD$31+B95^2*'Zero Gas Annual Calibration'!$AD$32+B95^3*'Zero Gas Annual Calibration'!$AD$33</f>
        <v>11733.428371395863</v>
      </c>
      <c r="O95" s="131">
        <f t="shared" si="6"/>
        <v>11693.036781013547</v>
      </c>
      <c r="P95" s="112">
        <f t="shared" si="7"/>
        <v>11773.819961778179</v>
      </c>
      <c r="Q95" s="92"/>
      <c r="R95" s="132">
        <f>SUMPRODUCT(A95:E95,'Zero Gas Annual Calibration'!$BI$43:$BM$43)</f>
        <v>11734.602975148409</v>
      </c>
      <c r="S95" s="81" t="e">
        <f t="shared" si="8"/>
        <v>#DIV/0!</v>
      </c>
      <c r="T95" s="114" t="e">
        <f t="shared" si="9"/>
        <v>#DIV/0!</v>
      </c>
      <c r="U95" s="81"/>
      <c r="V95" s="71">
        <f>SUMPRODUCT($A95:$B95,'Zero Gas Annual Calibration'!$K$52:$L$52)</f>
        <v>-14.689290298209755</v>
      </c>
      <c r="W95" s="90">
        <f>SUMPRODUCT($A95:$B95,'Zero Gas Annual Calibration'!$K$53:$L$53)</f>
        <v>8.5595488579793821E-3</v>
      </c>
      <c r="X95" s="74">
        <f>SUMPRODUCT($A95:$C95,'Zero Gas Annual Calibration'!$U$59:$W$59)</f>
        <v>-197.23812033108356</v>
      </c>
      <c r="Y95" s="75">
        <f>SUMPRODUCT($A95:$C95,'Zero Gas Annual Calibration'!$U$60:$W$60)</f>
        <v>5.0622647977114354E-2</v>
      </c>
      <c r="Z95" s="75">
        <f>SUMPRODUCT($A95:$C95,'Zero Gas Annual Calibration'!$U$61:$W$61)</f>
        <v>-2.3229609301202676E-6</v>
      </c>
      <c r="AA95" s="133">
        <f>SUMPRODUCT($A95:$D95,'Zero Gas Annual Calibration'!$AD$59:$AG$59)</f>
        <v>383.952079142191</v>
      </c>
      <c r="AB95" s="112">
        <f>SUMPRODUCT($A95:$D95,'Zero Gas Annual Calibration'!$AD$60:$AG$60)</f>
        <v>-0.1726883551676357</v>
      </c>
      <c r="AC95" s="112">
        <f>SUMPRODUCT($A95:$D95,'Zero Gas Annual Calibration'!$AD$61:$AG$61)</f>
        <v>2.2720560863953207E-5</v>
      </c>
      <c r="AD95" s="134">
        <f>SUMPRODUCT($A95:$D95,'Zero Gas Annual Calibration'!$AD$62:$AG$62)</f>
        <v>-8.3979777787933553E-10</v>
      </c>
      <c r="AE95" s="81" t="e">
        <f>SUMPRODUCT(A95:E95,'Zero Gas Annual Calibration'!$BG$59:$BK$59)</f>
        <v>#DIV/0!</v>
      </c>
      <c r="AF95" s="81" t="e">
        <f>SUMPRODUCT(A95:E95,'Zero Gas Annual Calibration'!$BG$60:$BK$60)</f>
        <v>#DIV/0!</v>
      </c>
      <c r="AG95" s="81" t="e">
        <f>SUMPRODUCT(A95:E95,'Zero Gas Annual Calibration'!$BG$61:$BK$61)</f>
        <v>#DIV/0!</v>
      </c>
      <c r="AH95" s="81" t="e">
        <f>SUMPRODUCT(A95:E95,'Zero Gas Annual Calibration'!$BG$62:$BK$62)</f>
        <v>#DIV/0!</v>
      </c>
      <c r="AI95" s="135" t="e">
        <f>SUMPRODUCT(A95:E95,'Zero Gas Annual Calibration'!$BG$63:$BK$63)</f>
        <v>#DIV/0!</v>
      </c>
    </row>
    <row r="96" spans="1:35" ht="18" customHeight="1" x14ac:dyDescent="0.2">
      <c r="A96" s="124">
        <v>1</v>
      </c>
      <c r="B96" s="125">
        <f t="shared" si="0"/>
        <v>11920</v>
      </c>
      <c r="C96" s="126">
        <f t="shared" si="1"/>
        <v>142086400</v>
      </c>
      <c r="D96" s="127">
        <f t="shared" si="2"/>
        <v>1693669888000</v>
      </c>
      <c r="E96" s="128">
        <f t="shared" si="3"/>
        <v>2.018854506496E+16</v>
      </c>
      <c r="F96" s="129">
        <f>'Zero Gas Annual Calibration'!$K$27+'Zero Gas Annual Calibration'!$K$28*'Chart Data Zero Gas'!B96</f>
        <v>11955.393235841999</v>
      </c>
      <c r="G96" s="72">
        <f t="shared" si="4"/>
        <v>11925.270137317262</v>
      </c>
      <c r="H96" s="108">
        <f t="shared" si="10"/>
        <v>11985.516334366735</v>
      </c>
      <c r="I96" s="90"/>
      <c r="J96" s="130">
        <f>'Zero Gas Annual Calibration'!$U$30+'Chart Data Zero Gas'!B96*'Zero Gas Annual Calibration'!$U$31+'Chart Data Zero Gas'!B96^2*'Zero Gas Annual Calibration'!$U$32</f>
        <v>11968.207925611498</v>
      </c>
      <c r="K96" s="75">
        <f t="shared" si="11"/>
        <v>11930.871397908464</v>
      </c>
      <c r="L96" s="110">
        <f t="shared" si="5"/>
        <v>12005.544453314531</v>
      </c>
      <c r="M96" s="91"/>
      <c r="N96" s="111">
        <f>'Zero Gas Annual Calibration'!$AD$30+B96*'Zero Gas Annual Calibration'!$AD$31+B96^2*'Zero Gas Annual Calibration'!$AD$32+B96^3*'Zero Gas Annual Calibration'!$AD$33</f>
        <v>11973.221226084353</v>
      </c>
      <c r="O96" s="131">
        <f t="shared" si="6"/>
        <v>11931.803879869722</v>
      </c>
      <c r="P96" s="112">
        <f t="shared" si="7"/>
        <v>12014.638572298985</v>
      </c>
      <c r="Q96" s="92"/>
      <c r="R96" s="132">
        <f>SUMPRODUCT(A96:E96,'Zero Gas Annual Calibration'!$BI$43:$BM$43)</f>
        <v>11971.088602162863</v>
      </c>
      <c r="S96" s="81" t="e">
        <f t="shared" si="8"/>
        <v>#DIV/0!</v>
      </c>
      <c r="T96" s="114" t="e">
        <f t="shared" si="9"/>
        <v>#DIV/0!</v>
      </c>
      <c r="U96" s="81"/>
      <c r="V96" s="71">
        <f>SUMPRODUCT($A96:$B96,'Zero Gas Annual Calibration'!$K$52:$L$52)</f>
        <v>-22.310049926604336</v>
      </c>
      <c r="W96" s="90">
        <f>SUMPRODUCT($A96:$B96,'Zero Gas Annual Calibration'!$K$53:$L$53)</f>
        <v>9.3878922958483546E-3</v>
      </c>
      <c r="X96" s="74">
        <f>SUMPRODUCT($A96:$C96,'Zero Gas Annual Calibration'!$U$59:$W$59)</f>
        <v>-191.18550107307829</v>
      </c>
      <c r="Y96" s="75">
        <f>SUMPRODUCT($A96:$C96,'Zero Gas Annual Calibration'!$U$60:$W$60)</f>
        <v>4.8669804408004114E-2</v>
      </c>
      <c r="Z96" s="75">
        <f>SUMPRODUCT($A96:$C96,'Zero Gas Annual Calibration'!$U$61:$W$61)</f>
        <v>-2.2075196357616569E-6</v>
      </c>
      <c r="AA96" s="133">
        <f>SUMPRODUCT($A96:$D96,'Zero Gas Annual Calibration'!$AD$59:$AG$59)</f>
        <v>435.99321526337735</v>
      </c>
      <c r="AB96" s="112">
        <f>SUMPRODUCT($A96:$D96,'Zero Gas Annual Calibration'!$AD$60:$AG$60)</f>
        <v>-0.19231138973990536</v>
      </c>
      <c r="AC96" s="112">
        <f>SUMPRODUCT($A96:$D96,'Zero Gas Annual Calibration'!$AD$61:$AG$61)</f>
        <v>2.4817650206376048E-5</v>
      </c>
      <c r="AD96" s="134">
        <f>SUMPRODUCT($A96:$D96,'Zero Gas Annual Calibration'!$AD$62:$AG$62)</f>
        <v>-9.0624943915076121E-10</v>
      </c>
      <c r="AE96" s="81" t="e">
        <f>SUMPRODUCT(A96:E96,'Zero Gas Annual Calibration'!$BG$59:$BK$59)</f>
        <v>#DIV/0!</v>
      </c>
      <c r="AF96" s="81" t="e">
        <f>SUMPRODUCT(A96:E96,'Zero Gas Annual Calibration'!$BG$60:$BK$60)</f>
        <v>#DIV/0!</v>
      </c>
      <c r="AG96" s="81" t="e">
        <f>SUMPRODUCT(A96:E96,'Zero Gas Annual Calibration'!$BG$61:$BK$61)</f>
        <v>#DIV/0!</v>
      </c>
      <c r="AH96" s="81" t="e">
        <f>SUMPRODUCT(A96:E96,'Zero Gas Annual Calibration'!$BG$62:$BK$62)</f>
        <v>#DIV/0!</v>
      </c>
      <c r="AI96" s="135" t="e">
        <f>SUMPRODUCT(A96:E96,'Zero Gas Annual Calibration'!$BG$63:$BK$63)</f>
        <v>#DIV/0!</v>
      </c>
    </row>
    <row r="97" spans="1:35" ht="18" customHeight="1" x14ac:dyDescent="0.2">
      <c r="A97" s="124">
        <v>1</v>
      </c>
      <c r="B97" s="125">
        <f t="shared" si="0"/>
        <v>12160</v>
      </c>
      <c r="C97" s="126">
        <f t="shared" si="1"/>
        <v>147865600</v>
      </c>
      <c r="D97" s="127">
        <f t="shared" si="2"/>
        <v>1798045696000</v>
      </c>
      <c r="E97" s="128">
        <f t="shared" si="3"/>
        <v>2.186423566336E+16</v>
      </c>
      <c r="F97" s="129">
        <f>'Zero Gas Annual Calibration'!$K$27+'Zero Gas Annual Calibration'!$K$28*'Chart Data Zero Gas'!B97</f>
        <v>12195.488623893787</v>
      </c>
      <c r="G97" s="72">
        <f t="shared" si="4"/>
        <v>12164.584691397711</v>
      </c>
      <c r="H97" s="108">
        <f t="shared" si="10"/>
        <v>12226.392556389863</v>
      </c>
      <c r="I97" s="90"/>
      <c r="J97" s="130">
        <f>'Zero Gas Annual Calibration'!$U$30+'Chart Data Zero Gas'!B97*'Zero Gas Annual Calibration'!$U$31+'Chart Data Zero Gas'!B97^2*'Zero Gas Annual Calibration'!$U$32</f>
        <v>12207.540263284925</v>
      </c>
      <c r="K97" s="75">
        <f t="shared" si="11"/>
        <v>12170.687903456605</v>
      </c>
      <c r="L97" s="110">
        <f t="shared" si="5"/>
        <v>12244.392623113246</v>
      </c>
      <c r="M97" s="91"/>
      <c r="N97" s="111">
        <f>'Zero Gas Annual Calibration'!$AD$30+B97*'Zero Gas Annual Calibration'!$AD$31+B97^2*'Zero Gas Annual Calibration'!$AD$32+B97^3*'Zero Gas Annual Calibration'!$AD$33</f>
        <v>12212.869105147311</v>
      </c>
      <c r="O97" s="131">
        <f t="shared" si="6"/>
        <v>12170.569641611053</v>
      </c>
      <c r="P97" s="112">
        <f t="shared" si="7"/>
        <v>12255.168568683568</v>
      </c>
      <c r="Q97" s="92"/>
      <c r="R97" s="132">
        <f>SUMPRODUCT(A97:E97,'Zero Gas Annual Calibration'!$BI$43:$BM$43)</f>
        <v>12207.301919654534</v>
      </c>
      <c r="S97" s="81" t="e">
        <f t="shared" si="8"/>
        <v>#DIV/0!</v>
      </c>
      <c r="T97" s="114" t="e">
        <f t="shared" si="9"/>
        <v>#DIV/0!</v>
      </c>
      <c r="U97" s="81"/>
      <c r="V97" s="71">
        <f>SUMPRODUCT($A97:$B97,'Zero Gas Annual Calibration'!$K$52:$L$52)</f>
        <v>-29.930809554998859</v>
      </c>
      <c r="W97" s="90">
        <f>SUMPRODUCT($A97:$B97,'Zero Gas Annual Calibration'!$K$53:$L$53)</f>
        <v>1.0216235733717327E-2</v>
      </c>
      <c r="X97" s="74">
        <f>SUMPRODUCT($A97:$C97,'Zero Gas Annual Calibration'!$U$59:$W$59)</f>
        <v>-183.81933465695261</v>
      </c>
      <c r="Y97" s="75">
        <f>SUMPRODUCT($A97:$C97,'Zero Gas Annual Calibration'!$U$60:$W$60)</f>
        <v>4.6394645065640727E-2</v>
      </c>
      <c r="Z97" s="75">
        <f>SUMPRODUCT($A97:$C97,'Zero Gas Annual Calibration'!$U$61:$W$61)</f>
        <v>-2.0760729348545213E-6</v>
      </c>
      <c r="AA97" s="133">
        <f>SUMPRODUCT($A97:$D97,'Zero Gas Annual Calibration'!$AD$59:$AG$59)</f>
        <v>482.83454279108992</v>
      </c>
      <c r="AB97" s="112">
        <f>SUMPRODUCT($A97:$D97,'Zero Gas Annual Calibration'!$AD$60:$AG$60)</f>
        <v>-0.20975411012359046</v>
      </c>
      <c r="AC97" s="112">
        <f>SUMPRODUCT($A97:$D97,'Zero Gas Annual Calibration'!$AD$61:$AG$61)</f>
        <v>2.6650084051454731E-5</v>
      </c>
      <c r="AD97" s="134">
        <f>SUMPRODUCT($A97:$D97,'Zero Gas Annual Calibration'!$AD$62:$AG$62)</f>
        <v>-9.6328954858994714E-10</v>
      </c>
      <c r="AE97" s="81" t="e">
        <f>SUMPRODUCT(A97:E97,'Zero Gas Annual Calibration'!$BG$59:$BK$59)</f>
        <v>#DIV/0!</v>
      </c>
      <c r="AF97" s="81" t="e">
        <f>SUMPRODUCT(A97:E97,'Zero Gas Annual Calibration'!$BG$60:$BK$60)</f>
        <v>#DIV/0!</v>
      </c>
      <c r="AG97" s="81" t="e">
        <f>SUMPRODUCT(A97:E97,'Zero Gas Annual Calibration'!$BG$61:$BK$61)</f>
        <v>#DIV/0!</v>
      </c>
      <c r="AH97" s="81" t="e">
        <f>SUMPRODUCT(A97:E97,'Zero Gas Annual Calibration'!$BG$62:$BK$62)</f>
        <v>#DIV/0!</v>
      </c>
      <c r="AI97" s="135" t="e">
        <f>SUMPRODUCT(A97:E97,'Zero Gas Annual Calibration'!$BG$63:$BK$63)</f>
        <v>#DIV/0!</v>
      </c>
    </row>
    <row r="98" spans="1:35" ht="18" customHeight="1" x14ac:dyDescent="0.2">
      <c r="A98" s="124">
        <v>1</v>
      </c>
      <c r="B98" s="125">
        <f t="shared" si="0"/>
        <v>12400</v>
      </c>
      <c r="C98" s="126">
        <f t="shared" si="1"/>
        <v>153760000</v>
      </c>
      <c r="D98" s="127">
        <f t="shared" si="2"/>
        <v>1906624000000</v>
      </c>
      <c r="E98" s="128">
        <f t="shared" si="3"/>
        <v>2.36421376E+16</v>
      </c>
      <c r="F98" s="129">
        <f>'Zero Gas Annual Calibration'!$K$27+'Zero Gas Annual Calibration'!$K$28*'Chart Data Zero Gas'!B98</f>
        <v>12435.584011945575</v>
      </c>
      <c r="G98" s="72">
        <f t="shared" si="4"/>
        <v>12403.85497239952</v>
      </c>
      <c r="H98" s="108">
        <f t="shared" si="10"/>
        <v>12467.31305149163</v>
      </c>
      <c r="I98" s="90"/>
      <c r="J98" s="130">
        <f>'Zero Gas Annual Calibration'!$U$30+'Chart Data Zero Gas'!B98*'Zero Gas Annual Calibration'!$U$31+'Chart Data Zero Gas'!B98^2*'Zero Gas Annual Calibration'!$U$32</f>
        <v>12446.779689295767</v>
      </c>
      <c r="K98" s="75">
        <f t="shared" si="11"/>
        <v>12410.422770733279</v>
      </c>
      <c r="L98" s="110">
        <f t="shared" si="5"/>
        <v>12483.136607858254</v>
      </c>
      <c r="M98" s="91"/>
      <c r="N98" s="111">
        <f>'Zero Gas Annual Calibration'!$AD$30+B98*'Zero Gas Annual Calibration'!$AD$31+B98^2*'Zero Gas Annual Calibration'!$AD$32+B98^3*'Zero Gas Annual Calibration'!$AD$33</f>
        <v>12452.36569684978</v>
      </c>
      <c r="O98" s="131">
        <f t="shared" si="6"/>
        <v>12409.364832882409</v>
      </c>
      <c r="P98" s="112">
        <f t="shared" si="7"/>
        <v>12495.36656081715</v>
      </c>
      <c r="Q98" s="92"/>
      <c r="R98" s="132">
        <f>SUMPRODUCT(A98:E98,'Zero Gas Annual Calibration'!$BI$43:$BM$43)</f>
        <v>12443.305778999011</v>
      </c>
      <c r="S98" s="81" t="e">
        <f t="shared" si="8"/>
        <v>#DIV/0!</v>
      </c>
      <c r="T98" s="114" t="e">
        <f t="shared" si="9"/>
        <v>#DIV/0!</v>
      </c>
      <c r="U98" s="81"/>
      <c r="V98" s="71">
        <f>SUMPRODUCT($A98:$B98,'Zero Gas Annual Calibration'!$K$52:$L$52)</f>
        <v>-37.55156918339344</v>
      </c>
      <c r="W98" s="90">
        <f>SUMPRODUCT($A98:$B98,'Zero Gas Annual Calibration'!$K$53:$L$53)</f>
        <v>1.10445791715863E-2</v>
      </c>
      <c r="X98" s="74">
        <f>SUMPRODUCT($A98:$C98,'Zero Gas Annual Calibration'!$U$59:$W$59)</f>
        <v>-175.13962108270675</v>
      </c>
      <c r="Y98" s="75">
        <f>SUMPRODUCT($A98:$C98,'Zero Gas Annual Calibration'!$U$60:$W$60)</f>
        <v>4.3797169950024417E-2</v>
      </c>
      <c r="Z98" s="75">
        <f>SUMPRODUCT($A98:$C98,'Zero Gas Annual Calibration'!$U$61:$W$61)</f>
        <v>-1.9286208273988542E-6</v>
      </c>
      <c r="AA98" s="133">
        <f>SUMPRODUCT($A98:$D98,'Zero Gas Annual Calibration'!$AD$59:$AG$59)</f>
        <v>523.68644501478047</v>
      </c>
      <c r="AB98" s="112">
        <f>SUMPRODUCT($A98:$D98,'Zero Gas Annual Calibration'!$AD$60:$AG$60)</f>
        <v>-0.22471312149219802</v>
      </c>
      <c r="AC98" s="112">
        <f>SUMPRODUCT($A98:$D98,'Zero Gas Annual Calibration'!$AD$61:$AG$61)</f>
        <v>2.8183837766087932E-5</v>
      </c>
      <c r="AD98" s="134">
        <f>SUMPRODUCT($A98:$D98,'Zero Gas Annual Calibration'!$AD$62:$AG$62)</f>
        <v>-1.0097771400218209E-9</v>
      </c>
      <c r="AE98" s="81" t="e">
        <f>SUMPRODUCT(A98:E98,'Zero Gas Annual Calibration'!$BG$59:$BK$59)</f>
        <v>#DIV/0!</v>
      </c>
      <c r="AF98" s="81" t="e">
        <f>SUMPRODUCT(A98:E98,'Zero Gas Annual Calibration'!$BG$60:$BK$60)</f>
        <v>#DIV/0!</v>
      </c>
      <c r="AG98" s="81" t="e">
        <f>SUMPRODUCT(A98:E98,'Zero Gas Annual Calibration'!$BG$61:$BK$61)</f>
        <v>#DIV/0!</v>
      </c>
      <c r="AH98" s="81" t="e">
        <f>SUMPRODUCT(A98:E98,'Zero Gas Annual Calibration'!$BG$62:$BK$62)</f>
        <v>#DIV/0!</v>
      </c>
      <c r="AI98" s="135" t="e">
        <f>SUMPRODUCT(A98:E98,'Zero Gas Annual Calibration'!$BG$63:$BK$63)</f>
        <v>#DIV/0!</v>
      </c>
    </row>
    <row r="99" spans="1:35" ht="18" customHeight="1" x14ac:dyDescent="0.2">
      <c r="A99" s="124">
        <v>1</v>
      </c>
      <c r="B99" s="125">
        <f t="shared" si="0"/>
        <v>12640</v>
      </c>
      <c r="C99" s="126">
        <f t="shared" si="1"/>
        <v>159769600</v>
      </c>
      <c r="D99" s="127">
        <f t="shared" si="2"/>
        <v>2019487744000</v>
      </c>
      <c r="E99" s="128">
        <f t="shared" si="3"/>
        <v>2.552632508416E+16</v>
      </c>
      <c r="F99" s="129">
        <f>'Zero Gas Annual Calibration'!$K$27+'Zero Gas Annual Calibration'!$K$28*'Chart Data Zero Gas'!B99</f>
        <v>12675.679399997363</v>
      </c>
      <c r="G99" s="72">
        <f t="shared" si="4"/>
        <v>12643.084342318163</v>
      </c>
      <c r="H99" s="108">
        <f t="shared" si="10"/>
        <v>12708.274457676564</v>
      </c>
      <c r="I99" s="90"/>
      <c r="J99" s="130">
        <f>'Zero Gas Annual Calibration'!$U$30+'Chart Data Zero Gas'!B99*'Zero Gas Annual Calibration'!$U$31+'Chart Data Zero Gas'!B99^2*'Zero Gas Annual Calibration'!$U$32</f>
        <v>12685.926203644025</v>
      </c>
      <c r="K99" s="75">
        <f t="shared" si="11"/>
        <v>12650.050161296936</v>
      </c>
      <c r="L99" s="110">
        <f t="shared" si="5"/>
        <v>12721.802245991114</v>
      </c>
      <c r="M99" s="91"/>
      <c r="N99" s="111">
        <f>'Zero Gas Annual Calibration'!$AD$30+B99*'Zero Gas Annual Calibration'!$AD$31+B99^2*'Zero Gas Annual Calibration'!$AD$32+B99^3*'Zero Gas Annual Calibration'!$AD$33</f>
        <v>12691.704689456812</v>
      </c>
      <c r="O99" s="131">
        <f t="shared" si="6"/>
        <v>12648.216082874771</v>
      </c>
      <c r="P99" s="112">
        <f t="shared" si="7"/>
        <v>12735.193296038853</v>
      </c>
      <c r="Q99" s="92"/>
      <c r="R99" s="132">
        <f>SUMPRODUCT(A99:E99,'Zero Gas Annual Calibration'!$BI$43:$BM$43)</f>
        <v>12679.170238696734</v>
      </c>
      <c r="S99" s="81" t="e">
        <f t="shared" si="8"/>
        <v>#DIV/0!</v>
      </c>
      <c r="T99" s="114" t="e">
        <f t="shared" si="9"/>
        <v>#DIV/0!</v>
      </c>
      <c r="U99" s="81"/>
      <c r="V99" s="71">
        <f>SUMPRODUCT($A99:$B99,'Zero Gas Annual Calibration'!$K$52:$L$52)</f>
        <v>-45.172328811787963</v>
      </c>
      <c r="W99" s="90">
        <f>SUMPRODUCT($A99:$B99,'Zero Gas Annual Calibration'!$K$53:$L$53)</f>
        <v>1.1872922609455272E-2</v>
      </c>
      <c r="X99" s="74">
        <f>SUMPRODUCT($A99:$C99,'Zero Gas Annual Calibration'!$U$59:$W$59)</f>
        <v>-165.1463603503405</v>
      </c>
      <c r="Y99" s="75">
        <f>SUMPRODUCT($A99:$C99,'Zero Gas Annual Calibration'!$U$60:$W$60)</f>
        <v>4.0877379061155017E-2</v>
      </c>
      <c r="Z99" s="75">
        <f>SUMPRODUCT($A99:$C99,'Zero Gas Annual Calibration'!$U$61:$W$61)</f>
        <v>-1.7651633133946689E-6</v>
      </c>
      <c r="AA99" s="133">
        <f>SUMPRODUCT($A99:$D99,'Zero Gas Annual Calibration'!$AD$59:$AG$59)</f>
        <v>557.7593052239281</v>
      </c>
      <c r="AB99" s="112">
        <f>SUMPRODUCT($A99:$D99,'Zero Gas Annual Calibration'!$AD$60:$AG$60)</f>
        <v>-0.23688502901922881</v>
      </c>
      <c r="AC99" s="112">
        <f>SUMPRODUCT($A99:$D99,'Zero Gas Annual Calibration'!$AD$61:$AG$61)</f>
        <v>2.9384886717174108E-5</v>
      </c>
      <c r="AD99" s="134">
        <f>SUMPRODUCT($A99:$D99,'Zero Gas Annual Calibration'!$AD$62:$AG$62)</f>
        <v>-1.04457124727132E-9</v>
      </c>
      <c r="AE99" s="81" t="e">
        <f>SUMPRODUCT(A99:E99,'Zero Gas Annual Calibration'!$BG$59:$BK$59)</f>
        <v>#DIV/0!</v>
      </c>
      <c r="AF99" s="81" t="e">
        <f>SUMPRODUCT(A99:E99,'Zero Gas Annual Calibration'!$BG$60:$BK$60)</f>
        <v>#DIV/0!</v>
      </c>
      <c r="AG99" s="81" t="e">
        <f>SUMPRODUCT(A99:E99,'Zero Gas Annual Calibration'!$BG$61:$BK$61)</f>
        <v>#DIV/0!</v>
      </c>
      <c r="AH99" s="81" t="e">
        <f>SUMPRODUCT(A99:E99,'Zero Gas Annual Calibration'!$BG$62:$BK$62)</f>
        <v>#DIV/0!</v>
      </c>
      <c r="AI99" s="135" t="e">
        <f>SUMPRODUCT(A99:E99,'Zero Gas Annual Calibration'!$BG$63:$BK$63)</f>
        <v>#DIV/0!</v>
      </c>
    </row>
    <row r="100" spans="1:35" ht="18" customHeight="1" x14ac:dyDescent="0.2">
      <c r="A100" s="124">
        <v>1</v>
      </c>
      <c r="B100" s="125">
        <f t="shared" si="0"/>
        <v>12880</v>
      </c>
      <c r="C100" s="126">
        <f t="shared" si="1"/>
        <v>165894400</v>
      </c>
      <c r="D100" s="127">
        <f t="shared" si="2"/>
        <v>2136719872000</v>
      </c>
      <c r="E100" s="128">
        <f t="shared" si="3"/>
        <v>2.752095195136E+16</v>
      </c>
      <c r="F100" s="129">
        <f>'Zero Gas Annual Calibration'!$K$27+'Zero Gas Annual Calibration'!$K$28*'Chart Data Zero Gas'!B100</f>
        <v>12915.774788049152</v>
      </c>
      <c r="G100" s="72">
        <f t="shared" si="4"/>
        <v>12882.275973928237</v>
      </c>
      <c r="H100" s="108">
        <f t="shared" si="10"/>
        <v>12949.273602170066</v>
      </c>
      <c r="I100" s="90"/>
      <c r="J100" s="130">
        <f>'Zero Gas Annual Calibration'!$U$30+'Chart Data Zero Gas'!B100*'Zero Gas Annual Calibration'!$U$31+'Chart Data Zero Gas'!B100^2*'Zero Gas Annual Calibration'!$U$32</f>
        <v>12924.979806329697</v>
      </c>
      <c r="K100" s="75">
        <f t="shared" si="11"/>
        <v>12889.539960129174</v>
      </c>
      <c r="L100" s="110">
        <f t="shared" si="5"/>
        <v>12960.41965253022</v>
      </c>
      <c r="M100" s="91"/>
      <c r="N100" s="111">
        <f>'Zero Gas Annual Calibration'!$AD$30+B100*'Zero Gas Annual Calibration'!$AD$31+B100^2*'Zero Gas Annual Calibration'!$AD$32+B100^3*'Zero Gas Annual Calibration'!$AD$33</f>
        <v>12930.879771233451</v>
      </c>
      <c r="O100" s="131">
        <f t="shared" si="6"/>
        <v>12887.14500434181</v>
      </c>
      <c r="P100" s="112">
        <f t="shared" si="7"/>
        <v>12974.614538125092</v>
      </c>
      <c r="Q100" s="92"/>
      <c r="R100" s="132">
        <f>SUMPRODUCT(A100:E100,'Zero Gas Annual Calibration'!$BI$43:$BM$43)</f>
        <v>12914.972564373009</v>
      </c>
      <c r="S100" s="81" t="e">
        <f t="shared" si="8"/>
        <v>#DIV/0!</v>
      </c>
      <c r="T100" s="114" t="e">
        <f t="shared" si="9"/>
        <v>#DIV/0!</v>
      </c>
      <c r="U100" s="81"/>
      <c r="V100" s="71">
        <f>SUMPRODUCT($A100:$B100,'Zero Gas Annual Calibration'!$K$52:$L$52)</f>
        <v>-52.793088440182544</v>
      </c>
      <c r="W100" s="90">
        <f>SUMPRODUCT($A100:$B100,'Zero Gas Annual Calibration'!$K$53:$L$53)</f>
        <v>1.2701266047324251E-2</v>
      </c>
      <c r="X100" s="74">
        <f>SUMPRODUCT($A100:$C100,'Zero Gas Annual Calibration'!$U$59:$W$59)</f>
        <v>-153.83955245985385</v>
      </c>
      <c r="Y100" s="75">
        <f>SUMPRODUCT($A100:$C100,'Zero Gas Annual Calibration'!$U$60:$W$60)</f>
        <v>3.7635272399032638E-2</v>
      </c>
      <c r="Z100" s="75">
        <f>SUMPRODUCT($A100:$C100,'Zero Gas Annual Calibration'!$U$61:$W$61)</f>
        <v>-1.5857003928419622E-6</v>
      </c>
      <c r="AA100" s="133">
        <f>SUMPRODUCT($A100:$D100,'Zero Gas Annual Calibration'!$AD$59:$AG$59)</f>
        <v>584.2635067079791</v>
      </c>
      <c r="AB100" s="112">
        <f>SUMPRODUCT($A100:$D100,'Zero Gas Annual Calibration'!$AD$60:$AG$60)</f>
        <v>-0.24596643787818984</v>
      </c>
      <c r="AC100" s="112">
        <f>SUMPRODUCT($A100:$D100,'Zero Gas Annual Calibration'!$AD$61:$AG$61)</f>
        <v>3.0219206271610852E-5</v>
      </c>
      <c r="AD100" s="134">
        <f>SUMPRODUCT($A100:$D100,'Zero Gas Annual Calibration'!$AD$62:$AG$62)</f>
        <v>-1.0665309041633389E-9</v>
      </c>
      <c r="AE100" s="81" t="e">
        <f>SUMPRODUCT(A100:E100,'Zero Gas Annual Calibration'!$BG$59:$BK$59)</f>
        <v>#DIV/0!</v>
      </c>
      <c r="AF100" s="81" t="e">
        <f>SUMPRODUCT(A100:E100,'Zero Gas Annual Calibration'!$BG$60:$BK$60)</f>
        <v>#DIV/0!</v>
      </c>
      <c r="AG100" s="81" t="e">
        <f>SUMPRODUCT(A100:E100,'Zero Gas Annual Calibration'!$BG$61:$BK$61)</f>
        <v>#DIV/0!</v>
      </c>
      <c r="AH100" s="81" t="e">
        <f>SUMPRODUCT(A100:E100,'Zero Gas Annual Calibration'!$BG$62:$BK$62)</f>
        <v>#DIV/0!</v>
      </c>
      <c r="AI100" s="135" t="e">
        <f>SUMPRODUCT(A100:E100,'Zero Gas Annual Calibration'!$BG$63:$BK$63)</f>
        <v>#DIV/0!</v>
      </c>
    </row>
    <row r="101" spans="1:35" ht="18" customHeight="1" x14ac:dyDescent="0.2">
      <c r="A101" s="124">
        <v>1</v>
      </c>
      <c r="B101" s="125">
        <f t="shared" si="0"/>
        <v>13120</v>
      </c>
      <c r="C101" s="126">
        <f t="shared" si="1"/>
        <v>172134400</v>
      </c>
      <c r="D101" s="127">
        <f t="shared" si="2"/>
        <v>2258403328000</v>
      </c>
      <c r="E101" s="128">
        <f t="shared" si="3"/>
        <v>2.963025166336E+16</v>
      </c>
      <c r="F101" s="129">
        <f>'Zero Gas Annual Calibration'!$K$27+'Zero Gas Annual Calibration'!$K$28*'Chart Data Zero Gas'!B101</f>
        <v>13155.870176100938</v>
      </c>
      <c r="G101" s="72">
        <f t="shared" si="4"/>
        <v>13121.432838258026</v>
      </c>
      <c r="H101" s="108">
        <f t="shared" si="10"/>
        <v>13190.30751394385</v>
      </c>
      <c r="I101" s="90"/>
      <c r="J101" s="130">
        <f>'Zero Gas Annual Calibration'!$U$30+'Chart Data Zero Gas'!B101*'Zero Gas Annual Calibration'!$U$31+'Chart Data Zero Gas'!B101^2*'Zero Gas Annual Calibration'!$U$32</f>
        <v>13163.940497352782</v>
      </c>
      <c r="K101" s="75">
        <f t="shared" si="11"/>
        <v>13128.857755176405</v>
      </c>
      <c r="L101" s="110">
        <f t="shared" si="5"/>
        <v>13199.023239529159</v>
      </c>
      <c r="M101" s="91"/>
      <c r="N101" s="111">
        <f>'Zero Gas Annual Calibration'!$AD$30+B101*'Zero Gas Annual Calibration'!$AD$31+B101^2*'Zero Gas Annual Calibration'!$AD$32+B101^3*'Zero Gas Annual Calibration'!$AD$33</f>
        <v>13169.884630444745</v>
      </c>
      <c r="O101" s="131">
        <f t="shared" si="6"/>
        <v>13126.166954829503</v>
      </c>
      <c r="P101" s="112">
        <f t="shared" si="7"/>
        <v>13213.602306059987</v>
      </c>
      <c r="Q101" s="92"/>
      <c r="R101" s="132">
        <f>SUMPRODUCT(A101:E101,'Zero Gas Annual Calibration'!$BI$43:$BM$43)</f>
        <v>13150.797228777985</v>
      </c>
      <c r="S101" s="81" t="e">
        <f t="shared" si="8"/>
        <v>#DIV/0!</v>
      </c>
      <c r="T101" s="114" t="e">
        <f t="shared" si="9"/>
        <v>#DIV/0!</v>
      </c>
      <c r="U101" s="81"/>
      <c r="V101" s="71">
        <f>SUMPRODUCT($A101:$B101,'Zero Gas Annual Calibration'!$K$52:$L$52)</f>
        <v>-60.413848068577067</v>
      </c>
      <c r="W101" s="90">
        <f>SUMPRODUCT($A101:$B101,'Zero Gas Annual Calibration'!$K$53:$L$53)</f>
        <v>1.3529609485193224E-2</v>
      </c>
      <c r="X101" s="74">
        <f>SUMPRODUCT($A101:$C101,'Zero Gas Annual Calibration'!$U$59:$W$59)</f>
        <v>-141.21919741124725</v>
      </c>
      <c r="Y101" s="75">
        <f>SUMPRODUCT($A101:$C101,'Zero Gas Annual Calibration'!$U$60:$W$60)</f>
        <v>3.4070849963657113E-2</v>
      </c>
      <c r="Z101" s="75">
        <f>SUMPRODUCT($A101:$C101,'Zero Gas Annual Calibration'!$U$61:$W$61)</f>
        <v>-1.3902320657407273E-6</v>
      </c>
      <c r="AA101" s="133">
        <f>SUMPRODUCT($A101:$D101,'Zero Gas Annual Calibration'!$AD$59:$AG$59)</f>
        <v>602.40943275641985</v>
      </c>
      <c r="AB101" s="112">
        <f>SUMPRODUCT($A101:$D101,'Zero Gas Annual Calibration'!$AD$60:$AG$60)</f>
        <v>-0.25165395324258633</v>
      </c>
      <c r="AC101" s="112">
        <f>SUMPRODUCT($A101:$D101,'Zero Gas Annual Calibration'!$AD$61:$AG$61)</f>
        <v>3.0652771796297923E-5</v>
      </c>
      <c r="AD101" s="134">
        <f>SUMPRODUCT($A101:$D101,'Zero Gas Annual Calibration'!$AD$62:$AG$62)</f>
        <v>-1.0745151445228151E-9</v>
      </c>
      <c r="AE101" s="81" t="e">
        <f>SUMPRODUCT(A101:E101,'Zero Gas Annual Calibration'!$BG$59:$BK$59)</f>
        <v>#DIV/0!</v>
      </c>
      <c r="AF101" s="81" t="e">
        <f>SUMPRODUCT(A101:E101,'Zero Gas Annual Calibration'!$BG$60:$BK$60)</f>
        <v>#DIV/0!</v>
      </c>
      <c r="AG101" s="81" t="e">
        <f>SUMPRODUCT(A101:E101,'Zero Gas Annual Calibration'!$BG$61:$BK$61)</f>
        <v>#DIV/0!</v>
      </c>
      <c r="AH101" s="81" t="e">
        <f>SUMPRODUCT(A101:E101,'Zero Gas Annual Calibration'!$BG$62:$BK$62)</f>
        <v>#DIV/0!</v>
      </c>
      <c r="AI101" s="135" t="e">
        <f>SUMPRODUCT(A101:E101,'Zero Gas Annual Calibration'!$BG$63:$BK$63)</f>
        <v>#DIV/0!</v>
      </c>
    </row>
    <row r="102" spans="1:35" ht="18" customHeight="1" x14ac:dyDescent="0.2">
      <c r="A102" s="124">
        <v>1</v>
      </c>
      <c r="B102" s="125">
        <f t="shared" si="0"/>
        <v>13360</v>
      </c>
      <c r="C102" s="126">
        <f t="shared" si="1"/>
        <v>178489600</v>
      </c>
      <c r="D102" s="127">
        <f t="shared" si="2"/>
        <v>2384621056000</v>
      </c>
      <c r="E102" s="128">
        <f t="shared" si="3"/>
        <v>3.185853730816E+16</v>
      </c>
      <c r="F102" s="129">
        <f>'Zero Gas Annual Calibration'!$K$27+'Zero Gas Annual Calibration'!$K$28*'Chart Data Zero Gas'!B102</f>
        <v>13395.965564152726</v>
      </c>
      <c r="G102" s="72">
        <f t="shared" si="4"/>
        <v>13360.55769983266</v>
      </c>
      <c r="H102" s="108">
        <f t="shared" si="10"/>
        <v>13431.373428472793</v>
      </c>
      <c r="I102" s="90"/>
      <c r="J102" s="130">
        <f>'Zero Gas Annual Calibration'!$U$30+'Chart Data Zero Gas'!B102*'Zero Gas Annual Calibration'!$U$31+'Chart Data Zero Gas'!B102^2*'Zero Gas Annual Calibration'!$U$32</f>
        <v>13402.80827671328</v>
      </c>
      <c r="K102" s="75">
        <f t="shared" si="11"/>
        <v>13367.96520080249</v>
      </c>
      <c r="L102" s="110">
        <f t="shared" si="5"/>
        <v>13437.651352624071</v>
      </c>
      <c r="M102" s="91"/>
      <c r="N102" s="111">
        <f>'Zero Gas Annual Calibration'!$AD$30+B102*'Zero Gas Annual Calibration'!$AD$31+B102^2*'Zero Gas Annual Calibration'!$AD$32+B102^3*'Zero Gas Annual Calibration'!$AD$33</f>
        <v>13408.712955355744</v>
      </c>
      <c r="O102" s="131">
        <f t="shared" si="6"/>
        <v>13365.289204531273</v>
      </c>
      <c r="P102" s="112">
        <f t="shared" si="7"/>
        <v>13452.136706180216</v>
      </c>
      <c r="Q102" s="92"/>
      <c r="R102" s="132">
        <f>SUMPRODUCT(A102:E102,'Zero Gas Annual Calibration'!$BI$43:$BM$43)</f>
        <v>13386.735911786676</v>
      </c>
      <c r="S102" s="81" t="e">
        <f t="shared" si="8"/>
        <v>#DIV/0!</v>
      </c>
      <c r="T102" s="114" t="e">
        <f t="shared" si="9"/>
        <v>#DIV/0!</v>
      </c>
      <c r="U102" s="81"/>
      <c r="V102" s="71">
        <f>SUMPRODUCT($A102:$B102,'Zero Gas Annual Calibration'!$K$52:$L$52)</f>
        <v>-68.034607696971648</v>
      </c>
      <c r="W102" s="90">
        <f>SUMPRODUCT($A102:$B102,'Zero Gas Annual Calibration'!$K$53:$L$53)</f>
        <v>1.4357952923062196E-2</v>
      </c>
      <c r="X102" s="74">
        <f>SUMPRODUCT($A102:$C102,'Zero Gas Annual Calibration'!$U$59:$W$59)</f>
        <v>-127.28529520451957</v>
      </c>
      <c r="Y102" s="75">
        <f>SUMPRODUCT($A102:$C102,'Zero Gas Annual Calibration'!$U$60:$W$60)</f>
        <v>3.0184111755028609E-2</v>
      </c>
      <c r="Z102" s="75">
        <f>SUMPRODUCT($A102:$C102,'Zero Gas Annual Calibration'!$U$61:$W$61)</f>
        <v>-1.1787583320909608E-6</v>
      </c>
      <c r="AA102" s="133">
        <f>SUMPRODUCT($A102:$D102,'Zero Gas Annual Calibration'!$AD$59:$AG$59)</f>
        <v>611.4074666586821</v>
      </c>
      <c r="AB102" s="112">
        <f>SUMPRODUCT($A102:$D102,'Zero Gas Annual Calibration'!$AD$60:$AG$60)</f>
        <v>-0.25364418028592262</v>
      </c>
      <c r="AC102" s="112">
        <f>SUMPRODUCT($A102:$D102,'Zero Gas Annual Calibration'!$AD$61:$AG$61)</f>
        <v>3.0651558658132804E-5</v>
      </c>
      <c r="AD102" s="134">
        <f>SUMPRODUCT($A102:$D102,'Zero Gas Annual Calibration'!$AD$62:$AG$62)</f>
        <v>-1.0673830021746829E-9</v>
      </c>
      <c r="AE102" s="81" t="e">
        <f>SUMPRODUCT(A102:E102,'Zero Gas Annual Calibration'!$BG$59:$BK$59)</f>
        <v>#DIV/0!</v>
      </c>
      <c r="AF102" s="81" t="e">
        <f>SUMPRODUCT(A102:E102,'Zero Gas Annual Calibration'!$BG$60:$BK$60)</f>
        <v>#DIV/0!</v>
      </c>
      <c r="AG102" s="81" t="e">
        <f>SUMPRODUCT(A102:E102,'Zero Gas Annual Calibration'!$BG$61:$BK$61)</f>
        <v>#DIV/0!</v>
      </c>
      <c r="AH102" s="81" t="e">
        <f>SUMPRODUCT(A102:E102,'Zero Gas Annual Calibration'!$BG$62:$BK$62)</f>
        <v>#DIV/0!</v>
      </c>
      <c r="AI102" s="135" t="e">
        <f>SUMPRODUCT(A102:E102,'Zero Gas Annual Calibration'!$BG$63:$BK$63)</f>
        <v>#DIV/0!</v>
      </c>
    </row>
    <row r="103" spans="1:35" ht="18" customHeight="1" x14ac:dyDescent="0.2">
      <c r="A103" s="124">
        <v>1</v>
      </c>
      <c r="B103" s="125">
        <f t="shared" si="0"/>
        <v>13600</v>
      </c>
      <c r="C103" s="126">
        <f t="shared" si="1"/>
        <v>184960000</v>
      </c>
      <c r="D103" s="127">
        <f t="shared" si="2"/>
        <v>2515456000000</v>
      </c>
      <c r="E103" s="128">
        <f t="shared" si="3"/>
        <v>3.42102016E+16</v>
      </c>
      <c r="F103" s="129">
        <f>'Zero Gas Annual Calibration'!$K$27+'Zero Gas Annual Calibration'!$K$28*'Chart Data Zero Gas'!B103</f>
        <v>13636.060952204514</v>
      </c>
      <c r="G103" s="72">
        <f t="shared" si="4"/>
        <v>13599.653117862004</v>
      </c>
      <c r="H103" s="108">
        <f t="shared" si="10"/>
        <v>13672.468786547024</v>
      </c>
      <c r="I103" s="90"/>
      <c r="J103" s="130">
        <f>'Zero Gas Annual Calibration'!$U$30+'Chart Data Zero Gas'!B103*'Zero Gas Annual Calibration'!$U$31+'Chart Data Zero Gas'!B103^2*'Zero Gas Annual Calibration'!$U$32</f>
        <v>13641.583144411195</v>
      </c>
      <c r="K103" s="75">
        <f t="shared" si="11"/>
        <v>13606.820921372975</v>
      </c>
      <c r="L103" s="110">
        <f t="shared" si="5"/>
        <v>13676.345367449416</v>
      </c>
      <c r="M103" s="91"/>
      <c r="N103" s="111">
        <f>'Zero Gas Annual Calibration'!$AD$30+B103*'Zero Gas Annual Calibration'!$AD$31+B103^2*'Zero Gas Annual Calibration'!$AD$32+B103^3*'Zero Gas Annual Calibration'!$AD$33</f>
        <v>13647.358434231497</v>
      </c>
      <c r="O103" s="131">
        <f t="shared" si="6"/>
        <v>13604.508185618644</v>
      </c>
      <c r="P103" s="112">
        <f t="shared" si="7"/>
        <v>13690.20868284435</v>
      </c>
      <c r="Q103" s="92"/>
      <c r="R103" s="132">
        <f>SUMPRODUCT(A103:E103,'Zero Gas Annual Calibration'!$BI$43:$BM$43)</f>
        <v>13622.887500398941</v>
      </c>
      <c r="S103" s="81" t="e">
        <f t="shared" si="8"/>
        <v>#DIV/0!</v>
      </c>
      <c r="T103" s="114" t="e">
        <f t="shared" si="9"/>
        <v>#DIV/0!</v>
      </c>
      <c r="U103" s="81"/>
      <c r="V103" s="71">
        <f>SUMPRODUCT($A103:$B103,'Zero Gas Annual Calibration'!$K$52:$L$52)</f>
        <v>-75.655367325366171</v>
      </c>
      <c r="W103" s="90">
        <f>SUMPRODUCT($A103:$B103,'Zero Gas Annual Calibration'!$K$53:$L$53)</f>
        <v>1.5186296360931169E-2</v>
      </c>
      <c r="X103" s="74">
        <f>SUMPRODUCT($A103:$C103,'Zero Gas Annual Calibration'!$U$59:$W$59)</f>
        <v>-112.03784583967263</v>
      </c>
      <c r="Y103" s="75">
        <f>SUMPRODUCT($A103:$C103,'Zero Gas Annual Calibration'!$U$60:$W$60)</f>
        <v>2.5975057773147014E-2</v>
      </c>
      <c r="Z103" s="75">
        <f>SUMPRODUCT($A103:$C103,'Zero Gas Annual Calibration'!$U$61:$W$61)</f>
        <v>-9.5127919189267628E-7</v>
      </c>
      <c r="AA103" s="133">
        <f>SUMPRODUCT($A103:$D103,'Zero Gas Annual Calibration'!$AD$59:$AG$59)</f>
        <v>610.4679917042522</v>
      </c>
      <c r="AB103" s="112">
        <f>SUMPRODUCT($A103:$D103,'Zero Gas Annual Calibration'!$AD$60:$AG$60)</f>
        <v>-0.25163372418170482</v>
      </c>
      <c r="AC103" s="112">
        <f>SUMPRODUCT($A103:$D103,'Zero Gas Annual Calibration'!$AD$61:$AG$61)</f>
        <v>3.0181542224014604E-5</v>
      </c>
      <c r="AD103" s="134">
        <f>SUMPRODUCT($A103:$D103,'Zero Gas Annual Calibration'!$AD$62:$AG$62)</f>
        <v>-1.0439935109438333E-9</v>
      </c>
      <c r="AE103" s="81" t="e">
        <f>SUMPRODUCT(A103:E103,'Zero Gas Annual Calibration'!$BG$59:$BK$59)</f>
        <v>#DIV/0!</v>
      </c>
      <c r="AF103" s="81" t="e">
        <f>SUMPRODUCT(A103:E103,'Zero Gas Annual Calibration'!$BG$60:$BK$60)</f>
        <v>#DIV/0!</v>
      </c>
      <c r="AG103" s="81" t="e">
        <f>SUMPRODUCT(A103:E103,'Zero Gas Annual Calibration'!$BG$61:$BK$61)</f>
        <v>#DIV/0!</v>
      </c>
      <c r="AH103" s="81" t="e">
        <f>SUMPRODUCT(A103:E103,'Zero Gas Annual Calibration'!$BG$62:$BK$62)</f>
        <v>#DIV/0!</v>
      </c>
      <c r="AI103" s="135" t="e">
        <f>SUMPRODUCT(A103:E103,'Zero Gas Annual Calibration'!$BG$63:$BK$63)</f>
        <v>#DIV/0!</v>
      </c>
    </row>
    <row r="104" spans="1:35" ht="18" customHeight="1" x14ac:dyDescent="0.2">
      <c r="A104" s="124">
        <v>1</v>
      </c>
      <c r="B104" s="125">
        <f t="shared" si="0"/>
        <v>13840</v>
      </c>
      <c r="C104" s="126">
        <f t="shared" si="1"/>
        <v>191545600</v>
      </c>
      <c r="D104" s="127">
        <f t="shared" si="2"/>
        <v>2650991104000</v>
      </c>
      <c r="E104" s="128">
        <f t="shared" si="3"/>
        <v>3.668971687936E+16</v>
      </c>
      <c r="F104" s="129">
        <f>'Zero Gas Annual Calibration'!$K$27+'Zero Gas Annual Calibration'!$K$28*'Chart Data Zero Gas'!B104</f>
        <v>13876.156340256302</v>
      </c>
      <c r="G104" s="72">
        <f t="shared" si="4"/>
        <v>13838.72145178155</v>
      </c>
      <c r="H104" s="108">
        <f t="shared" si="10"/>
        <v>13913.591228731055</v>
      </c>
      <c r="I104" s="90"/>
      <c r="J104" s="130">
        <f>'Zero Gas Annual Calibration'!$U$30+'Chart Data Zero Gas'!B104*'Zero Gas Annual Calibration'!$U$31+'Chart Data Zero Gas'!B104^2*'Zero Gas Annual Calibration'!$U$32</f>
        <v>13880.265100446524</v>
      </c>
      <c r="K104" s="75">
        <f t="shared" si="11"/>
        <v>13845.382063442954</v>
      </c>
      <c r="L104" s="110">
        <f t="shared" si="5"/>
        <v>13915.148137450095</v>
      </c>
      <c r="M104" s="91"/>
      <c r="N104" s="111">
        <f>'Zero Gas Annual Calibration'!$AD$30+B104*'Zero Gas Annual Calibration'!$AD$31+B104^2*'Zero Gas Annual Calibration'!$AD$32+B104^3*'Zero Gas Annual Calibration'!$AD$33</f>
        <v>13885.814755337044</v>
      </c>
      <c r="O104" s="131">
        <f t="shared" si="6"/>
        <v>13843.805355648423</v>
      </c>
      <c r="P104" s="112">
        <f t="shared" si="7"/>
        <v>13927.824155025664</v>
      </c>
      <c r="Q104" s="92"/>
      <c r="R104" s="132">
        <f>SUMPRODUCT(A104:E104,'Zero Gas Annual Calibration'!$BI$43:$BM$43)</f>
        <v>13859.358088739511</v>
      </c>
      <c r="S104" s="81" t="e">
        <f t="shared" si="8"/>
        <v>#DIV/0!</v>
      </c>
      <c r="T104" s="114" t="e">
        <f t="shared" si="9"/>
        <v>#DIV/0!</v>
      </c>
      <c r="U104" s="81"/>
      <c r="V104" s="71">
        <f>SUMPRODUCT($A104:$B104,'Zero Gas Annual Calibration'!$K$52:$L$52)</f>
        <v>-83.276126953760695</v>
      </c>
      <c r="W104" s="90">
        <f>SUMPRODUCT($A104:$B104,'Zero Gas Annual Calibration'!$K$53:$L$53)</f>
        <v>1.6014639798800141E-2</v>
      </c>
      <c r="X104" s="74">
        <f>SUMPRODUCT($A104:$C104,'Zero Gas Annual Calibration'!$U$59:$W$59)</f>
        <v>-95.476849316704374</v>
      </c>
      <c r="Y104" s="75">
        <f>SUMPRODUCT($A104:$C104,'Zero Gas Annual Calibration'!$U$60:$W$60)</f>
        <v>2.1443688018012441E-2</v>
      </c>
      <c r="Z104" s="75">
        <f>SUMPRODUCT($A104:$C104,'Zero Gas Annual Calibration'!$U$61:$W$61)</f>
        <v>-7.0779464514586688E-7</v>
      </c>
      <c r="AA104" s="133">
        <f>SUMPRODUCT($A104:$D104,'Zero Gas Annual Calibration'!$AD$59:$AG$59)</f>
        <v>598.80139118257284</v>
      </c>
      <c r="AB104" s="112">
        <f>SUMPRODUCT($A104:$D104,'Zero Gas Annual Calibration'!$AD$60:$AG$60)</f>
        <v>-0.2453191901034355</v>
      </c>
      <c r="AC104" s="112">
        <f>SUMPRODUCT($A104:$D104,'Zero Gas Annual Calibration'!$AD$61:$AG$61)</f>
        <v>2.9208697860840698E-5</v>
      </c>
      <c r="AD104" s="134">
        <f>SUMPRODUCT($A104:$D104,'Zero Gas Annual Calibration'!$AD$62:$AG$62)</f>
        <v>-1.0032057046552138E-9</v>
      </c>
      <c r="AE104" s="81" t="e">
        <f>SUMPRODUCT(A104:E104,'Zero Gas Annual Calibration'!$BG$59:$BK$59)</f>
        <v>#DIV/0!</v>
      </c>
      <c r="AF104" s="81" t="e">
        <f>SUMPRODUCT(A104:E104,'Zero Gas Annual Calibration'!$BG$60:$BK$60)</f>
        <v>#DIV/0!</v>
      </c>
      <c r="AG104" s="81" t="e">
        <f>SUMPRODUCT(A104:E104,'Zero Gas Annual Calibration'!$BG$61:$BK$61)</f>
        <v>#DIV/0!</v>
      </c>
      <c r="AH104" s="81" t="e">
        <f>SUMPRODUCT(A104:E104,'Zero Gas Annual Calibration'!$BG$62:$BK$62)</f>
        <v>#DIV/0!</v>
      </c>
      <c r="AI104" s="135" t="e">
        <f>SUMPRODUCT(A104:E104,'Zero Gas Annual Calibration'!$BG$63:$BK$63)</f>
        <v>#DIV/0!</v>
      </c>
    </row>
    <row r="105" spans="1:35" ht="18" customHeight="1" x14ac:dyDescent="0.2">
      <c r="A105" s="124">
        <v>1</v>
      </c>
      <c r="B105" s="125">
        <f t="shared" si="0"/>
        <v>14080</v>
      </c>
      <c r="C105" s="126">
        <f t="shared" si="1"/>
        <v>198246400</v>
      </c>
      <c r="D105" s="127">
        <f t="shared" si="2"/>
        <v>2791309312000</v>
      </c>
      <c r="E105" s="128">
        <f t="shared" si="3"/>
        <v>3.930163511296E+16</v>
      </c>
      <c r="F105" s="129">
        <f>'Zero Gas Annual Calibration'!$K$27+'Zero Gas Annual Calibration'!$K$28*'Chart Data Zero Gas'!B105</f>
        <v>14116.251728308089</v>
      </c>
      <c r="G105" s="72">
        <f t="shared" si="4"/>
        <v>14077.76486981685</v>
      </c>
      <c r="H105" s="108">
        <f t="shared" si="10"/>
        <v>14154.738586799327</v>
      </c>
      <c r="I105" s="90"/>
      <c r="J105" s="130">
        <f>'Zero Gas Annual Calibration'!$U$30+'Chart Data Zero Gas'!B105*'Zero Gas Annual Calibration'!$U$31+'Chart Data Zero Gas'!B105^2*'Zero Gas Annual Calibration'!$U$32</f>
        <v>14118.854144819266</v>
      </c>
      <c r="K105" s="75">
        <f t="shared" si="11"/>
        <v>14083.60647904876</v>
      </c>
      <c r="L105" s="110">
        <f t="shared" si="5"/>
        <v>14154.101810589773</v>
      </c>
      <c r="M105" s="91"/>
      <c r="N105" s="111">
        <f>'Zero Gas Annual Calibration'!$AD$30+B105*'Zero Gas Annual Calibration'!$AD$31+B105^2*'Zero Gas Annual Calibration'!$AD$32+B105^3*'Zero Gas Annual Calibration'!$AD$33</f>
        <v>14124.07560693744</v>
      </c>
      <c r="O105" s="131">
        <f t="shared" si="6"/>
        <v>14083.141020911708</v>
      </c>
      <c r="P105" s="112">
        <f t="shared" si="7"/>
        <v>14165.010192963173</v>
      </c>
      <c r="Q105" s="92"/>
      <c r="R105" s="132">
        <f>SUMPRODUCT(A105:E105,'Zero Gas Annual Calibration'!$BI$43:$BM$43)</f>
        <v>14096.260978057953</v>
      </c>
      <c r="S105" s="81" t="e">
        <f t="shared" si="8"/>
        <v>#DIV/0!</v>
      </c>
      <c r="T105" s="114" t="e">
        <f t="shared" si="9"/>
        <v>#DIV/0!</v>
      </c>
      <c r="U105" s="81"/>
      <c r="V105" s="71">
        <f>SUMPRODUCT($A105:$B105,'Zero Gas Annual Calibration'!$K$52:$L$52)</f>
        <v>-90.896886582155275</v>
      </c>
      <c r="W105" s="90">
        <f>SUMPRODUCT($A105:$B105,'Zero Gas Annual Calibration'!$K$53:$L$53)</f>
        <v>1.6842983236669114E-2</v>
      </c>
      <c r="X105" s="74">
        <f>SUMPRODUCT($A105:$C105,'Zero Gas Annual Calibration'!$U$59:$W$59)</f>
        <v>-77.602305635616631</v>
      </c>
      <c r="Y105" s="75">
        <f>SUMPRODUCT($A105:$C105,'Zero Gas Annual Calibration'!$U$60:$W$60)</f>
        <v>1.6590002489624722E-2</v>
      </c>
      <c r="Z105" s="75">
        <f>SUMPRODUCT($A105:$C105,'Zero Gas Annual Calibration'!$U$61:$W$61)</f>
        <v>-4.4830469185053266E-7</v>
      </c>
      <c r="AA105" s="133">
        <f>SUMPRODUCT($A105:$D105,'Zero Gas Annual Calibration'!$AD$59:$AG$59)</f>
        <v>575.61804838313037</v>
      </c>
      <c r="AB105" s="112">
        <f>SUMPRODUCT($A105:$D105,'Zero Gas Annual Calibration'!$AD$60:$AG$60)</f>
        <v>-0.234397183224619</v>
      </c>
      <c r="AC105" s="112">
        <f>SUMPRODUCT($A105:$D105,'Zero Gas Annual Calibration'!$AD$61:$AG$61)</f>
        <v>2.7699000935510519E-5</v>
      </c>
      <c r="AD105" s="134">
        <f>SUMPRODUCT($A105:$D105,'Zero Gas Annual Calibration'!$AD$62:$AG$62)</f>
        <v>-9.4387861713373884E-10</v>
      </c>
      <c r="AE105" s="81" t="e">
        <f>SUMPRODUCT(A105:E105,'Zero Gas Annual Calibration'!$BG$59:$BK$59)</f>
        <v>#DIV/0!</v>
      </c>
      <c r="AF105" s="81" t="e">
        <f>SUMPRODUCT(A105:E105,'Zero Gas Annual Calibration'!$BG$60:$BK$60)</f>
        <v>#DIV/0!</v>
      </c>
      <c r="AG105" s="81" t="e">
        <f>SUMPRODUCT(A105:E105,'Zero Gas Annual Calibration'!$BG$61:$BK$61)</f>
        <v>#DIV/0!</v>
      </c>
      <c r="AH105" s="81" t="e">
        <f>SUMPRODUCT(A105:E105,'Zero Gas Annual Calibration'!$BG$62:$BK$62)</f>
        <v>#DIV/0!</v>
      </c>
      <c r="AI105" s="135" t="e">
        <f>SUMPRODUCT(A105:E105,'Zero Gas Annual Calibration'!$BG$63:$BK$63)</f>
        <v>#DIV/0!</v>
      </c>
    </row>
    <row r="106" spans="1:35" ht="18" customHeight="1" x14ac:dyDescent="0.2">
      <c r="A106" s="124">
        <v>1</v>
      </c>
      <c r="B106" s="125">
        <f t="shared" si="0"/>
        <v>14320</v>
      </c>
      <c r="C106" s="126">
        <f t="shared" si="1"/>
        <v>205062400</v>
      </c>
      <c r="D106" s="127">
        <f t="shared" si="2"/>
        <v>2936493568000</v>
      </c>
      <c r="E106" s="128">
        <f t="shared" si="3"/>
        <v>4.205058789376E+16</v>
      </c>
      <c r="F106" s="129">
        <f>'Zero Gas Annual Calibration'!$K$27+'Zero Gas Annual Calibration'!$K$28*'Chart Data Zero Gas'!B106</f>
        <v>14356.347116359877</v>
      </c>
      <c r="G106" s="72">
        <f t="shared" si="4"/>
        <v>14316.785359501337</v>
      </c>
      <c r="H106" s="108">
        <f t="shared" si="10"/>
        <v>14395.908873218417</v>
      </c>
      <c r="I106" s="90"/>
      <c r="J106" s="130">
        <f>'Zero Gas Annual Calibration'!$U$30+'Chart Data Zero Gas'!B106*'Zero Gas Annual Calibration'!$U$31+'Chart Data Zero Gas'!B106^2*'Zero Gas Annual Calibration'!$U$32</f>
        <v>14357.350277529422</v>
      </c>
      <c r="K106" s="75">
        <f t="shared" si="11"/>
        <v>14321.455325029096</v>
      </c>
      <c r="L106" s="110">
        <f t="shared" si="5"/>
        <v>14393.245230029748</v>
      </c>
      <c r="M106" s="91"/>
      <c r="N106" s="111">
        <f>'Zero Gas Annual Calibration'!$AD$30+B106*'Zero Gas Annual Calibration'!$AD$31+B106^2*'Zero Gas Annual Calibration'!$AD$32+B106^3*'Zero Gas Annual Calibration'!$AD$33</f>
        <v>14362.134677297729</v>
      </c>
      <c r="O106" s="131">
        <f t="shared" si="6"/>
        <v>14322.445304214152</v>
      </c>
      <c r="P106" s="112">
        <f t="shared" si="7"/>
        <v>14401.824050381305</v>
      </c>
      <c r="Q106" s="92"/>
      <c r="R106" s="132">
        <f>SUMPRODUCT(A106:E106,'Zero Gas Annual Calibration'!$BI$43:$BM$43)</f>
        <v>14333.716676728705</v>
      </c>
      <c r="S106" s="81" t="e">
        <f t="shared" si="8"/>
        <v>#DIV/0!</v>
      </c>
      <c r="T106" s="114" t="e">
        <f t="shared" si="9"/>
        <v>#DIV/0!</v>
      </c>
      <c r="U106" s="81"/>
      <c r="V106" s="71">
        <f>SUMPRODUCT($A106:$B106,'Zero Gas Annual Calibration'!$K$52:$L$52)</f>
        <v>-98.517646210549799</v>
      </c>
      <c r="W106" s="90">
        <f>SUMPRODUCT($A106:$B106,'Zero Gas Annual Calibration'!$K$53:$L$53)</f>
        <v>1.7671326674538086E-2</v>
      </c>
      <c r="X106" s="74">
        <f>SUMPRODUCT($A106:$C106,'Zero Gas Annual Calibration'!$U$59:$W$59)</f>
        <v>-58.414214796408032</v>
      </c>
      <c r="Y106" s="75">
        <f>SUMPRODUCT($A106:$C106,'Zero Gas Annual Calibration'!$U$60:$W$60)</f>
        <v>1.1414001187983969E-2</v>
      </c>
      <c r="Z106" s="75">
        <f>SUMPRODUCT($A106:$C106,'Zero Gas Annual Calibration'!$U$61:$W$61)</f>
        <v>-1.7280933200667698E-7</v>
      </c>
      <c r="AA106" s="133">
        <f>SUMPRODUCT($A106:$D106,'Zero Gas Annual Calibration'!$AD$59:$AG$59)</f>
        <v>540.12834659537839</v>
      </c>
      <c r="AB106" s="112">
        <f>SUMPRODUCT($A106:$D106,'Zero Gas Annual Calibration'!$AD$60:$AG$60)</f>
        <v>-0.21856430871876498</v>
      </c>
      <c r="AC106" s="112">
        <f>SUMPRODUCT($A106:$D106,'Zero Gas Annual Calibration'!$AD$61:$AG$61)</f>
        <v>2.5618426814922636E-5</v>
      </c>
      <c r="AD106" s="134">
        <f>SUMPRODUCT($A106:$D106,'Zero Gas Annual Calibration'!$AD$62:$AG$62)</f>
        <v>-8.6487128220433588E-10</v>
      </c>
      <c r="AE106" s="81" t="e">
        <f>SUMPRODUCT(A106:E106,'Zero Gas Annual Calibration'!$BG$59:$BK$59)</f>
        <v>#DIV/0!</v>
      </c>
      <c r="AF106" s="81" t="e">
        <f>SUMPRODUCT(A106:E106,'Zero Gas Annual Calibration'!$BG$60:$BK$60)</f>
        <v>#DIV/0!</v>
      </c>
      <c r="AG106" s="81" t="e">
        <f>SUMPRODUCT(A106:E106,'Zero Gas Annual Calibration'!$BG$61:$BK$61)</f>
        <v>#DIV/0!</v>
      </c>
      <c r="AH106" s="81" t="e">
        <f>SUMPRODUCT(A106:E106,'Zero Gas Annual Calibration'!$BG$62:$BK$62)</f>
        <v>#DIV/0!</v>
      </c>
      <c r="AI106" s="135" t="e">
        <f>SUMPRODUCT(A106:E106,'Zero Gas Annual Calibration'!$BG$63:$BK$63)</f>
        <v>#DIV/0!</v>
      </c>
    </row>
    <row r="107" spans="1:35" ht="18" customHeight="1" x14ac:dyDescent="0.2">
      <c r="A107" s="124">
        <v>1</v>
      </c>
      <c r="B107" s="125">
        <f t="shared" si="0"/>
        <v>14560</v>
      </c>
      <c r="C107" s="126">
        <f t="shared" si="1"/>
        <v>211993600</v>
      </c>
      <c r="D107" s="127">
        <f t="shared" si="2"/>
        <v>3086626816000</v>
      </c>
      <c r="E107" s="128">
        <f t="shared" si="3"/>
        <v>4.494128644096E+16</v>
      </c>
      <c r="F107" s="129">
        <f>'Zero Gas Annual Calibration'!$K$27+'Zero Gas Annual Calibration'!$K$28*'Chart Data Zero Gas'!B107</f>
        <v>14596.442504411665</v>
      </c>
      <c r="G107" s="72">
        <f t="shared" si="4"/>
        <v>14555.784739313889</v>
      </c>
      <c r="H107" s="108">
        <f t="shared" si="10"/>
        <v>14637.100269509441</v>
      </c>
      <c r="I107" s="90"/>
      <c r="J107" s="130">
        <f>'Zero Gas Annual Calibration'!$U$30+'Chart Data Zero Gas'!B107*'Zero Gas Annual Calibration'!$U$31+'Chart Data Zero Gas'!B107^2*'Zero Gas Annual Calibration'!$U$32</f>
        <v>14595.753498576994</v>
      </c>
      <c r="K107" s="75">
        <f t="shared" si="11"/>
        <v>14558.895656204379</v>
      </c>
      <c r="L107" s="110">
        <f t="shared" si="5"/>
        <v>14632.61134094961</v>
      </c>
      <c r="M107" s="91"/>
      <c r="N107" s="111">
        <f>'Zero Gas Annual Calibration'!$AD$30+B107*'Zero Gas Annual Calibration'!$AD$31+B107^2*'Zero Gas Annual Calibration'!$AD$32+B107^3*'Zero Gas Annual Calibration'!$AD$33</f>
        <v>14599.985654682961</v>
      </c>
      <c r="O107" s="131">
        <f t="shared" si="6"/>
        <v>14561.605570374573</v>
      </c>
      <c r="P107" s="112">
        <f t="shared" si="7"/>
        <v>14638.36573899135</v>
      </c>
      <c r="Q107" s="92"/>
      <c r="R107" s="132">
        <f>SUMPRODUCT(A107:E107,'Zero Gas Annual Calibration'!$BI$43:$BM$43)</f>
        <v>14571.85290025105</v>
      </c>
      <c r="S107" s="81" t="e">
        <f t="shared" si="8"/>
        <v>#DIV/0!</v>
      </c>
      <c r="T107" s="114" t="e">
        <f t="shared" si="9"/>
        <v>#DIV/0!</v>
      </c>
      <c r="U107" s="81"/>
      <c r="V107" s="71">
        <f>SUMPRODUCT($A107:$B107,'Zero Gas Annual Calibration'!$K$52:$L$52)</f>
        <v>-106.13840583894438</v>
      </c>
      <c r="W107" s="90">
        <f>SUMPRODUCT($A107:$B107,'Zero Gas Annual Calibration'!$K$53:$L$53)</f>
        <v>1.8499670112407059E-2</v>
      </c>
      <c r="X107" s="74">
        <f>SUMPRODUCT($A107:$C107,'Zero Gas Annual Calibration'!$U$59:$W$59)</f>
        <v>-37.912576799079488</v>
      </c>
      <c r="Y107" s="75">
        <f>SUMPRODUCT($A107:$C107,'Zero Gas Annual Calibration'!$U$60:$W$60)</f>
        <v>5.9156841130902915E-3</v>
      </c>
      <c r="Z107" s="75">
        <f>SUMPRODUCT($A107:$C107,'Zero Gas Annual Calibration'!$U$61:$W$61)</f>
        <v>1.1869143438571368E-7</v>
      </c>
      <c r="AA107" s="133">
        <f>SUMPRODUCT($A107:$D107,'Zero Gas Annual Calibration'!$AD$59:$AG$59)</f>
        <v>491.54266910876686</v>
      </c>
      <c r="AB107" s="112">
        <f>SUMPRODUCT($A107:$D107,'Zero Gas Annual Calibration'!$AD$60:$AG$60)</f>
        <v>-0.19751717175937067</v>
      </c>
      <c r="AC107" s="112">
        <f>SUMPRODUCT($A107:$D107,'Zero Gas Annual Calibration'!$AD$61:$AG$61)</f>
        <v>2.2932950865974314E-5</v>
      </c>
      <c r="AD107" s="134">
        <f>SUMPRODUCT($A107:$D107,'Zero Gas Annual Calibration'!$AD$62:$AG$62)</f>
        <v>-7.650427336919259E-10</v>
      </c>
      <c r="AE107" s="81" t="e">
        <f>SUMPRODUCT(A107:E107,'Zero Gas Annual Calibration'!$BG$59:$BK$59)</f>
        <v>#DIV/0!</v>
      </c>
      <c r="AF107" s="81" t="e">
        <f>SUMPRODUCT(A107:E107,'Zero Gas Annual Calibration'!$BG$60:$BK$60)</f>
        <v>#DIV/0!</v>
      </c>
      <c r="AG107" s="81" t="e">
        <f>SUMPRODUCT(A107:E107,'Zero Gas Annual Calibration'!$BG$61:$BK$61)</f>
        <v>#DIV/0!</v>
      </c>
      <c r="AH107" s="81" t="e">
        <f>SUMPRODUCT(A107:E107,'Zero Gas Annual Calibration'!$BG$62:$BK$62)</f>
        <v>#DIV/0!</v>
      </c>
      <c r="AI107" s="135" t="e">
        <f>SUMPRODUCT(A107:E107,'Zero Gas Annual Calibration'!$BG$63:$BK$63)</f>
        <v>#DIV/0!</v>
      </c>
    </row>
    <row r="108" spans="1:35" ht="18" customHeight="1" x14ac:dyDescent="0.2">
      <c r="A108" s="124">
        <v>1</v>
      </c>
      <c r="B108" s="125">
        <f t="shared" si="0"/>
        <v>14800</v>
      </c>
      <c r="C108" s="126">
        <f t="shared" si="1"/>
        <v>219040000</v>
      </c>
      <c r="D108" s="127">
        <f t="shared" si="2"/>
        <v>3241792000000</v>
      </c>
      <c r="E108" s="128">
        <f t="shared" si="3"/>
        <v>4.79785216E+16</v>
      </c>
      <c r="F108" s="129">
        <f>'Zero Gas Annual Calibration'!$K$27+'Zero Gas Annual Calibration'!$K$28*'Chart Data Zero Gas'!B108</f>
        <v>14836.537892463453</v>
      </c>
      <c r="G108" s="72">
        <f t="shared" si="4"/>
        <v>14794.764670806995</v>
      </c>
      <c r="H108" s="108">
        <f t="shared" si="10"/>
        <v>14878.311114119912</v>
      </c>
      <c r="I108" s="90"/>
      <c r="J108" s="130">
        <f>'Zero Gas Annual Calibration'!$U$30+'Chart Data Zero Gas'!B108*'Zero Gas Annual Calibration'!$U$31+'Chart Data Zero Gas'!B108^2*'Zero Gas Annual Calibration'!$U$32</f>
        <v>14834.06380796198</v>
      </c>
      <c r="K108" s="75">
        <f t="shared" si="11"/>
        <v>14795.902482092635</v>
      </c>
      <c r="L108" s="110">
        <f t="shared" si="5"/>
        <v>14872.225133831325</v>
      </c>
      <c r="M108" s="91"/>
      <c r="N108" s="111">
        <f>'Zero Gas Annual Calibration'!$AD$30+B108*'Zero Gas Annual Calibration'!$AD$31+B108^2*'Zero Gas Annual Calibration'!$AD$32+B108^3*'Zero Gas Annual Calibration'!$AD$33</f>
        <v>14837.622227358179</v>
      </c>
      <c r="O108" s="131">
        <f t="shared" si="6"/>
        <v>14800.450777663629</v>
      </c>
      <c r="P108" s="112">
        <f t="shared" si="7"/>
        <v>14874.793677052729</v>
      </c>
      <c r="Q108" s="92"/>
      <c r="R108" s="132">
        <f>SUMPRODUCT(A108:E108,'Zero Gas Annual Calibration'!$BI$43:$BM$43)</f>
        <v>14810.804571249135</v>
      </c>
      <c r="S108" s="81" t="e">
        <f t="shared" si="8"/>
        <v>#DIV/0!</v>
      </c>
      <c r="T108" s="114" t="e">
        <f t="shared" si="9"/>
        <v>#DIV/0!</v>
      </c>
      <c r="U108" s="81"/>
      <c r="V108" s="71">
        <f>SUMPRODUCT($A108:$B108,'Zero Gas Annual Calibration'!$K$52:$L$52)</f>
        <v>-113.7591654673389</v>
      </c>
      <c r="W108" s="90">
        <f>SUMPRODUCT($A108:$B108,'Zero Gas Annual Calibration'!$K$53:$L$53)</f>
        <v>1.9328013550276031E-2</v>
      </c>
      <c r="X108" s="74">
        <f>SUMPRODUCT($A108:$C108,'Zero Gas Annual Calibration'!$U$59:$W$59)</f>
        <v>-16.09739164363009</v>
      </c>
      <c r="Y108" s="75">
        <f>SUMPRODUCT($A108:$C108,'Zero Gas Annual Calibration'!$U$60:$W$60)</f>
        <v>9.5051264943468716E-5</v>
      </c>
      <c r="Z108" s="75">
        <f>SUMPRODUCT($A108:$C108,'Zero Gas Annual Calibration'!$U$61:$W$61)</f>
        <v>4.2619760732662241E-7</v>
      </c>
      <c r="AA108" s="133">
        <f>SUMPRODUCT($A108:$D108,'Zero Gas Annual Calibration'!$AD$59:$AG$59)</f>
        <v>429.07139921277485</v>
      </c>
      <c r="AB108" s="112">
        <f>SUMPRODUCT($A108:$D108,'Zero Gas Annual Calibration'!$AD$60:$AG$60)</f>
        <v>-0.17095237751994752</v>
      </c>
      <c r="AC108" s="112">
        <f>SUMPRODUCT($A108:$D108,'Zero Gas Annual Calibration'!$AD$61:$AG$61)</f>
        <v>1.9608548455565204E-5</v>
      </c>
      <c r="AD108" s="134">
        <f>SUMPRODUCT($A108:$D108,'Zero Gas Annual Calibration'!$AD$62:$AG$62)</f>
        <v>-6.4325200542141002E-10</v>
      </c>
      <c r="AE108" s="81" t="e">
        <f>SUMPRODUCT(A108:E108,'Zero Gas Annual Calibration'!$BG$59:$BK$59)</f>
        <v>#DIV/0!</v>
      </c>
      <c r="AF108" s="81" t="e">
        <f>SUMPRODUCT(A108:E108,'Zero Gas Annual Calibration'!$BG$60:$BK$60)</f>
        <v>#DIV/0!</v>
      </c>
      <c r="AG108" s="81" t="e">
        <f>SUMPRODUCT(A108:E108,'Zero Gas Annual Calibration'!$BG$61:$BK$61)</f>
        <v>#DIV/0!</v>
      </c>
      <c r="AH108" s="81" t="e">
        <f>SUMPRODUCT(A108:E108,'Zero Gas Annual Calibration'!$BG$62:$BK$62)</f>
        <v>#DIV/0!</v>
      </c>
      <c r="AI108" s="135" t="e">
        <f>SUMPRODUCT(A108:E108,'Zero Gas Annual Calibration'!$BG$63:$BK$63)</f>
        <v>#DIV/0!</v>
      </c>
    </row>
    <row r="109" spans="1:35" ht="18" customHeight="1" x14ac:dyDescent="0.2">
      <c r="A109" s="124">
        <v>1</v>
      </c>
      <c r="B109" s="125">
        <f t="shared" si="0"/>
        <v>15040</v>
      </c>
      <c r="C109" s="126">
        <f t="shared" si="1"/>
        <v>226201600</v>
      </c>
      <c r="D109" s="127">
        <f t="shared" si="2"/>
        <v>3402072064000</v>
      </c>
      <c r="E109" s="128">
        <f t="shared" si="3"/>
        <v>5.116716384256E+16</v>
      </c>
      <c r="F109" s="129">
        <f>'Zero Gas Annual Calibration'!$K$27+'Zero Gas Annual Calibration'!$K$28*'Chart Data Zero Gas'!B109</f>
        <v>15076.633280515241</v>
      </c>
      <c r="G109" s="72">
        <f t="shared" si="4"/>
        <v>15033.72667076598</v>
      </c>
      <c r="H109" s="108">
        <f t="shared" si="10"/>
        <v>15119.539890264503</v>
      </c>
      <c r="I109" s="90"/>
      <c r="J109" s="130">
        <f>'Zero Gas Annual Calibration'!$U$30+'Chart Data Zero Gas'!B109*'Zero Gas Annual Calibration'!$U$31+'Chart Data Zero Gas'!B109^2*'Zero Gas Annual Calibration'!$U$32</f>
        <v>15072.28120568438</v>
      </c>
      <c r="K109" s="75">
        <f t="shared" si="11"/>
        <v>15032.459839231955</v>
      </c>
      <c r="L109" s="110">
        <f t="shared" si="5"/>
        <v>15112.102572136804</v>
      </c>
      <c r="M109" s="91"/>
      <c r="N109" s="111">
        <f>'Zero Gas Annual Calibration'!$AD$30+B109*'Zero Gas Annual Calibration'!$AD$31+B109^2*'Zero Gas Annual Calibration'!$AD$32+B109^3*'Zero Gas Annual Calibration'!$AD$33</f>
        <v>15075.038083588435</v>
      </c>
      <c r="O109" s="131">
        <f t="shared" si="6"/>
        <v>15038.736886682431</v>
      </c>
      <c r="P109" s="112">
        <f t="shared" si="7"/>
        <v>15111.33928049444</v>
      </c>
      <c r="Q109" s="92"/>
      <c r="R109" s="132">
        <f>SUMPRODUCT(A109:E109,'Zero Gas Annual Calibration'!$BI$43:$BM$43)</f>
        <v>15050.713819471954</v>
      </c>
      <c r="S109" s="81" t="e">
        <f t="shared" si="8"/>
        <v>#DIV/0!</v>
      </c>
      <c r="T109" s="114" t="e">
        <f t="shared" si="9"/>
        <v>#DIV/0!</v>
      </c>
      <c r="U109" s="81"/>
      <c r="V109" s="71">
        <f>SUMPRODUCT($A109:$B109,'Zero Gas Annual Calibration'!$K$52:$L$52)</f>
        <v>-121.37992509573348</v>
      </c>
      <c r="W109" s="90">
        <f>SUMPRODUCT($A109:$B109,'Zero Gas Annual Calibration'!$K$53:$L$53)</f>
        <v>2.0156356988145004E-2</v>
      </c>
      <c r="X109" s="74">
        <f>SUMPRODUCT($A109:$C109,'Zero Gas Annual Calibration'!$U$59:$W$59)</f>
        <v>7.0313406699387997</v>
      </c>
      <c r="Y109" s="75">
        <f>SUMPRODUCT($A109:$C109,'Zero Gas Annual Calibration'!$U$60:$W$60)</f>
        <v>-6.0478973564564997E-3</v>
      </c>
      <c r="Z109" s="75">
        <f>SUMPRODUCT($A109:$C109,'Zero Gas Annual Calibration'!$U$61:$W$61)</f>
        <v>7.4970918681605258E-7</v>
      </c>
      <c r="AA109" s="133">
        <f>SUMPRODUCT($A109:$D109,'Zero Gas Annual Calibration'!$AD$59:$AG$59)</f>
        <v>351.92492019685596</v>
      </c>
      <c r="AB109" s="112">
        <f>SUMPRODUCT($A109:$D109,'Zero Gas Annual Calibration'!$AD$60:$AG$60)</f>
        <v>-0.13856653117399631</v>
      </c>
      <c r="AC109" s="112">
        <f>SUMPRODUCT($A109:$D109,'Zero Gas Annual Calibration'!$AD$61:$AG$61)</f>
        <v>1.5611194950593005E-5</v>
      </c>
      <c r="AD109" s="134">
        <f>SUMPRODUCT($A109:$D109,'Zero Gas Annual Calibration'!$AD$62:$AG$62)</f>
        <v>-4.9835813121774228E-10</v>
      </c>
      <c r="AE109" s="81" t="e">
        <f>SUMPRODUCT(A109:E109,'Zero Gas Annual Calibration'!$BG$59:$BK$59)</f>
        <v>#DIV/0!</v>
      </c>
      <c r="AF109" s="81" t="e">
        <f>SUMPRODUCT(A109:E109,'Zero Gas Annual Calibration'!$BG$60:$BK$60)</f>
        <v>#DIV/0!</v>
      </c>
      <c r="AG109" s="81" t="e">
        <f>SUMPRODUCT(A109:E109,'Zero Gas Annual Calibration'!$BG$61:$BK$61)</f>
        <v>#DIV/0!</v>
      </c>
      <c r="AH109" s="81" t="e">
        <f>SUMPRODUCT(A109:E109,'Zero Gas Annual Calibration'!$BG$62:$BK$62)</f>
        <v>#DIV/0!</v>
      </c>
      <c r="AI109" s="135" t="e">
        <f>SUMPRODUCT(A109:E109,'Zero Gas Annual Calibration'!$BG$63:$BK$63)</f>
        <v>#DIV/0!</v>
      </c>
    </row>
    <row r="110" spans="1:35" ht="18" customHeight="1" x14ac:dyDescent="0.2">
      <c r="A110" s="124">
        <v>1</v>
      </c>
      <c r="B110" s="125">
        <f t="shared" si="0"/>
        <v>15280</v>
      </c>
      <c r="C110" s="126">
        <f t="shared" si="1"/>
        <v>233478400</v>
      </c>
      <c r="D110" s="127">
        <f t="shared" si="2"/>
        <v>3567549952000</v>
      </c>
      <c r="E110" s="128">
        <f t="shared" si="3"/>
        <v>5.451216326656E+16</v>
      </c>
      <c r="F110" s="129">
        <f>'Zero Gas Annual Calibration'!$K$27+'Zero Gas Annual Calibration'!$K$28*'Chart Data Zero Gas'!B110</f>
        <v>15316.728668567028</v>
      </c>
      <c r="G110" s="72">
        <f t="shared" si="4"/>
        <v>15272.67212307611</v>
      </c>
      <c r="H110" s="108">
        <f t="shared" si="10"/>
        <v>15360.785214057945</v>
      </c>
      <c r="I110" s="90"/>
      <c r="J110" s="130">
        <f>'Zero Gas Annual Calibration'!$U$30+'Chart Data Zero Gas'!B110*'Zero Gas Annual Calibration'!$U$31+'Chart Data Zero Gas'!B110^2*'Zero Gas Annual Calibration'!$U$32</f>
        <v>15310.405691744192</v>
      </c>
      <c r="K110" s="75">
        <f t="shared" si="11"/>
        <v>15268.560697771913</v>
      </c>
      <c r="L110" s="110">
        <f t="shared" si="5"/>
        <v>15352.250685716472</v>
      </c>
      <c r="M110" s="91"/>
      <c r="N110" s="111">
        <f>'Zero Gas Annual Calibration'!$AD$30+B110*'Zero Gas Annual Calibration'!$AD$31+B110^2*'Zero Gas Annual Calibration'!$AD$32+B110^3*'Zero Gas Annual Calibration'!$AD$33</f>
        <v>15312.226911638776</v>
      </c>
      <c r="O110" s="131">
        <f t="shared" si="6"/>
        <v>15276.144920638004</v>
      </c>
      <c r="P110" s="112">
        <f t="shared" si="7"/>
        <v>15348.308902639548</v>
      </c>
      <c r="Q110" s="92"/>
      <c r="R110" s="132">
        <f>SUMPRODUCT(A110:E110,'Zero Gas Annual Calibration'!$BI$43:$BM$43)</f>
        <v>15291.729981793367</v>
      </c>
      <c r="S110" s="81" t="e">
        <f t="shared" si="8"/>
        <v>#DIV/0!</v>
      </c>
      <c r="T110" s="114" t="e">
        <f t="shared" si="9"/>
        <v>#DIV/0!</v>
      </c>
      <c r="U110" s="81"/>
      <c r="V110" s="71">
        <f>SUMPRODUCT($A110:$B110,'Zero Gas Annual Calibration'!$K$52:$L$52)</f>
        <v>-129.00068472412801</v>
      </c>
      <c r="W110" s="90">
        <f>SUMPRODUCT($A110:$B110,'Zero Gas Annual Calibration'!$K$53:$L$53)</f>
        <v>2.0984700426013976E-2</v>
      </c>
      <c r="X110" s="74">
        <f>SUMPRODUCT($A110:$C110,'Zero Gas Annual Calibration'!$U$59:$W$59)</f>
        <v>31.473620141628544</v>
      </c>
      <c r="Y110" s="75">
        <f>SUMPRODUCT($A110:$C110,'Zero Gas Annual Calibration'!$U$60:$W$60)</f>
        <v>-1.2513161751109392E-2</v>
      </c>
      <c r="Z110" s="75">
        <f>SUMPRODUCT($A110:$C110,'Zero Gas Annual Calibration'!$U$61:$W$61)</f>
        <v>1.0892261728540144E-6</v>
      </c>
      <c r="AA110" s="133">
        <f>SUMPRODUCT($A110:$D110,'Zero Gas Annual Calibration'!$AD$59:$AG$59)</f>
        <v>259.31361535046744</v>
      </c>
      <c r="AB110" s="112">
        <f>SUMPRODUCT($A110:$D110,'Zero Gas Annual Calibration'!$AD$60:$AG$60)</f>
        <v>-0.10005623789501961</v>
      </c>
      <c r="AC110" s="112">
        <f>SUMPRODUCT($A110:$D110,'Zero Gas Annual Calibration'!$AD$61:$AG$61)</f>
        <v>1.0906865717956286E-5</v>
      </c>
      <c r="AD110" s="134">
        <f>SUMPRODUCT($A110:$D110,'Zero Gas Annual Calibration'!$AD$62:$AG$62)</f>
        <v>-3.2922014490583702E-10</v>
      </c>
      <c r="AE110" s="81" t="e">
        <f>SUMPRODUCT(A110:E110,'Zero Gas Annual Calibration'!$BG$59:$BK$59)</f>
        <v>#DIV/0!</v>
      </c>
      <c r="AF110" s="81" t="e">
        <f>SUMPRODUCT(A110:E110,'Zero Gas Annual Calibration'!$BG$60:$BK$60)</f>
        <v>#DIV/0!</v>
      </c>
      <c r="AG110" s="81" t="e">
        <f>SUMPRODUCT(A110:E110,'Zero Gas Annual Calibration'!$BG$61:$BK$61)</f>
        <v>#DIV/0!</v>
      </c>
      <c r="AH110" s="81" t="e">
        <f>SUMPRODUCT(A110:E110,'Zero Gas Annual Calibration'!$BG$62:$BK$62)</f>
        <v>#DIV/0!</v>
      </c>
      <c r="AI110" s="135" t="e">
        <f>SUMPRODUCT(A110:E110,'Zero Gas Annual Calibration'!$BG$63:$BK$63)</f>
        <v>#DIV/0!</v>
      </c>
    </row>
    <row r="111" spans="1:35" ht="18" customHeight="1" x14ac:dyDescent="0.2">
      <c r="A111" s="124">
        <v>1</v>
      </c>
      <c r="B111" s="125">
        <f t="shared" si="0"/>
        <v>15520</v>
      </c>
      <c r="C111" s="126">
        <f t="shared" si="1"/>
        <v>240870400</v>
      </c>
      <c r="D111" s="127">
        <f t="shared" si="2"/>
        <v>3738308608000</v>
      </c>
      <c r="E111" s="128">
        <f t="shared" si="3"/>
        <v>5.801854959616E+16</v>
      </c>
      <c r="F111" s="129">
        <f>'Zero Gas Annual Calibration'!$K$27+'Zero Gas Annual Calibration'!$K$28*'Chart Data Zero Gas'!B111</f>
        <v>15556.824056618816</v>
      </c>
      <c r="G111" s="72">
        <f t="shared" si="4"/>
        <v>15511.602290080864</v>
      </c>
      <c r="H111" s="108">
        <f t="shared" si="10"/>
        <v>15602.045823156768</v>
      </c>
      <c r="I111" s="90"/>
      <c r="J111" s="130">
        <f>'Zero Gas Annual Calibration'!$U$30+'Chart Data Zero Gas'!B111*'Zero Gas Annual Calibration'!$U$31+'Chart Data Zero Gas'!B111^2*'Zero Gas Annual Calibration'!$U$32</f>
        <v>15548.437266141422</v>
      </c>
      <c r="K111" s="75">
        <f t="shared" si="11"/>
        <v>15504.205850207061</v>
      </c>
      <c r="L111" s="110">
        <f t="shared" si="5"/>
        <v>15592.668682075782</v>
      </c>
      <c r="M111" s="91"/>
      <c r="N111" s="111">
        <f>'Zero Gas Annual Calibration'!$AD$30+B111*'Zero Gas Annual Calibration'!$AD$31+B111^2*'Zero Gas Annual Calibration'!$AD$32+B111^3*'Zero Gas Annual Calibration'!$AD$33</f>
        <v>15549.182399774249</v>
      </c>
      <c r="O111" s="131">
        <f t="shared" si="6"/>
        <v>15512.310471409846</v>
      </c>
      <c r="P111" s="112">
        <f t="shared" si="7"/>
        <v>15586.054328138651</v>
      </c>
      <c r="Q111" s="92"/>
      <c r="R111" s="132">
        <f>SUMPRODUCT(A111:E111,'Zero Gas Annual Calibration'!$BI$43:$BM$43)</f>
        <v>15534.009602212078</v>
      </c>
      <c r="S111" s="81" t="e">
        <f t="shared" si="8"/>
        <v>#DIV/0!</v>
      </c>
      <c r="T111" s="114" t="e">
        <f t="shared" si="9"/>
        <v>#DIV/0!</v>
      </c>
      <c r="U111" s="81"/>
      <c r="V111" s="71">
        <f>SUMPRODUCT($A111:$B111,'Zero Gas Annual Calibration'!$K$52:$L$52)</f>
        <v>-136.62144435252259</v>
      </c>
      <c r="W111" s="90">
        <f>SUMPRODUCT($A111:$B111,'Zero Gas Annual Calibration'!$K$53:$L$53)</f>
        <v>2.1813043863882949E-2</v>
      </c>
      <c r="X111" s="74">
        <f>SUMPRODUCT($A111:$C111,'Zero Gas Annual Calibration'!$U$59:$W$59)</f>
        <v>57.229446771438234</v>
      </c>
      <c r="Y111" s="75">
        <f>SUMPRODUCT($A111:$C111,'Zero Gas Annual Calibration'!$U$60:$W$60)</f>
        <v>-1.9300741919015318E-2</v>
      </c>
      <c r="Z111" s="75">
        <f>SUMPRODUCT($A111:$C111,'Zero Gas Annual Calibration'!$U$61:$W$61)</f>
        <v>1.4447485654404908E-6</v>
      </c>
      <c r="AA111" s="133">
        <f>SUMPRODUCT($A111:$D111,'Zero Gas Annual Calibration'!$AD$59:$AG$59)</f>
        <v>150.44786796309199</v>
      </c>
      <c r="AB111" s="112">
        <f>SUMPRODUCT($A111:$D111,'Zero Gas Annual Calibration'!$AD$60:$AG$60)</f>
        <v>-5.5118102856530626E-2</v>
      </c>
      <c r="AC111" s="112">
        <f>SUMPRODUCT($A111:$D111,'Zero Gas Annual Calibration'!$AD$61:$AG$61)</f>
        <v>5.4615361245538303E-6</v>
      </c>
      <c r="AD111" s="134">
        <f>SUMPRODUCT($A111:$D111,'Zero Gas Annual Calibration'!$AD$62:$AG$62)</f>
        <v>-1.3469708031060196E-10</v>
      </c>
      <c r="AE111" s="81" t="e">
        <f>SUMPRODUCT(A111:E111,'Zero Gas Annual Calibration'!$BG$59:$BK$59)</f>
        <v>#DIV/0!</v>
      </c>
      <c r="AF111" s="81" t="e">
        <f>SUMPRODUCT(A111:E111,'Zero Gas Annual Calibration'!$BG$60:$BK$60)</f>
        <v>#DIV/0!</v>
      </c>
      <c r="AG111" s="81" t="e">
        <f>SUMPRODUCT(A111:E111,'Zero Gas Annual Calibration'!$BG$61:$BK$61)</f>
        <v>#DIV/0!</v>
      </c>
      <c r="AH111" s="81" t="e">
        <f>SUMPRODUCT(A111:E111,'Zero Gas Annual Calibration'!$BG$62:$BK$62)</f>
        <v>#DIV/0!</v>
      </c>
      <c r="AI111" s="135" t="e">
        <f>SUMPRODUCT(A111:E111,'Zero Gas Annual Calibration'!$BG$63:$BK$63)</f>
        <v>#DIV/0!</v>
      </c>
    </row>
    <row r="112" spans="1:35" ht="18" customHeight="1" x14ac:dyDescent="0.2">
      <c r="A112" s="124">
        <v>1</v>
      </c>
      <c r="B112" s="125">
        <f t="shared" si="0"/>
        <v>15760</v>
      </c>
      <c r="C112" s="126">
        <f t="shared" si="1"/>
        <v>248377600</v>
      </c>
      <c r="D112" s="127">
        <f t="shared" si="2"/>
        <v>3914430976000</v>
      </c>
      <c r="E112" s="128">
        <f t="shared" si="3"/>
        <v>6.169143218176E+16</v>
      </c>
      <c r="F112" s="129">
        <f>'Zero Gas Annual Calibration'!$K$27+'Zero Gas Annual Calibration'!$K$28*'Chart Data Zero Gas'!B112</f>
        <v>15796.919444670604</v>
      </c>
      <c r="G112" s="72">
        <f t="shared" si="4"/>
        <v>15750.518323295846</v>
      </c>
      <c r="H112" s="108">
        <f t="shared" si="10"/>
        <v>15843.320566045362</v>
      </c>
      <c r="I112" s="90"/>
      <c r="J112" s="130">
        <f>'Zero Gas Annual Calibration'!$U$30+'Chart Data Zero Gas'!B112*'Zero Gas Annual Calibration'!$U$31+'Chart Data Zero Gas'!B112^2*'Zero Gas Annual Calibration'!$U$32</f>
        <v>15786.375928876065</v>
      </c>
      <c r="K112" s="75">
        <f t="shared" si="11"/>
        <v>15739.40216579914</v>
      </c>
      <c r="L112" s="110">
        <f t="shared" si="5"/>
        <v>15833.34969195299</v>
      </c>
      <c r="M112" s="91"/>
      <c r="N112" s="111">
        <f>'Zero Gas Annual Calibration'!$AD$30+B112*'Zero Gas Annual Calibration'!$AD$31+B112^2*'Zero Gas Annual Calibration'!$AD$32+B112^3*'Zero Gas Annual Calibration'!$AD$33</f>
        <v>15785.898236259898</v>
      </c>
      <c r="O112" s="131">
        <f t="shared" si="6"/>
        <v>15746.893950827016</v>
      </c>
      <c r="P112" s="112">
        <f t="shared" si="7"/>
        <v>15824.90252169278</v>
      </c>
      <c r="Q112" s="92"/>
      <c r="R112" s="132">
        <f>SUMPRODUCT(A112:E112,'Zero Gas Annual Calibration'!$BI$43:$BM$43)</f>
        <v>15777.716431851652</v>
      </c>
      <c r="S112" s="81" t="e">
        <f t="shared" si="8"/>
        <v>#DIV/0!</v>
      </c>
      <c r="T112" s="114" t="e">
        <f t="shared" si="9"/>
        <v>#DIV/0!</v>
      </c>
      <c r="U112" s="81"/>
      <c r="V112" s="71">
        <f>SUMPRODUCT($A112:$B112,'Zero Gas Annual Calibration'!$K$52:$L$52)</f>
        <v>-144.24220398091711</v>
      </c>
      <c r="W112" s="90">
        <f>SUMPRODUCT($A112:$B112,'Zero Gas Annual Calibration'!$K$53:$L$53)</f>
        <v>2.2641387301751921E-2</v>
      </c>
      <c r="X112" s="74">
        <f>SUMPRODUCT($A112:$C112,'Zero Gas Annual Calibration'!$U$59:$W$59)</f>
        <v>84.298820559368778</v>
      </c>
      <c r="Y112" s="75">
        <f>SUMPRODUCT($A112:$C112,'Zero Gas Annual Calibration'!$U$60:$W$60)</f>
        <v>-2.6410637860174391E-2</v>
      </c>
      <c r="Z112" s="75">
        <f>SUMPRODUCT($A112:$C112,'Zero Gas Annual Calibration'!$U$61:$W$61)</f>
        <v>1.816276364575509E-6</v>
      </c>
      <c r="AA112" s="133">
        <f>SUMPRODUCT($A112:$D112,'Zero Gas Annual Calibration'!$AD$59:$AG$59)</f>
        <v>24.53806132417958</v>
      </c>
      <c r="AB112" s="112">
        <f>SUMPRODUCT($A112:$D112,'Zero Gas Annual Calibration'!$AD$60:$AG$60)</f>
        <v>-3.4487312320248265E-3</v>
      </c>
      <c r="AC112" s="112">
        <f>SUMPRODUCT($A112:$D112,'Zero Gas Annual Calibration'!$AD$61:$AG$61)</f>
        <v>-7.588184627164464E-7</v>
      </c>
      <c r="AD112" s="134">
        <f>SUMPRODUCT($A112:$D112,'Zero Gas Annual Calibration'!$AD$62:$AG$62)</f>
        <v>8.635202874302871E-11</v>
      </c>
      <c r="AE112" s="81" t="e">
        <f>SUMPRODUCT(A112:E112,'Zero Gas Annual Calibration'!$BG$59:$BK$59)</f>
        <v>#DIV/0!</v>
      </c>
      <c r="AF112" s="81" t="e">
        <f>SUMPRODUCT(A112:E112,'Zero Gas Annual Calibration'!$BG$60:$BK$60)</f>
        <v>#DIV/0!</v>
      </c>
      <c r="AG112" s="81" t="e">
        <f>SUMPRODUCT(A112:E112,'Zero Gas Annual Calibration'!$BG$61:$BK$61)</f>
        <v>#DIV/0!</v>
      </c>
      <c r="AH112" s="81" t="e">
        <f>SUMPRODUCT(A112:E112,'Zero Gas Annual Calibration'!$BG$62:$BK$62)</f>
        <v>#DIV/0!</v>
      </c>
      <c r="AI112" s="135" t="e">
        <f>SUMPRODUCT(A112:E112,'Zero Gas Annual Calibration'!$BG$63:$BK$63)</f>
        <v>#DIV/0!</v>
      </c>
    </row>
    <row r="113" spans="1:35" ht="18" customHeight="1" x14ac:dyDescent="0.2">
      <c r="A113" s="136">
        <v>1</v>
      </c>
      <c r="B113" s="137">
        <f>B112+0.02*($A$7-$B$63)</f>
        <v>16000</v>
      </c>
      <c r="C113" s="138">
        <f t="shared" si="1"/>
        <v>256000000</v>
      </c>
      <c r="D113" s="139">
        <f t="shared" si="2"/>
        <v>4096000000000</v>
      </c>
      <c r="E113" s="140">
        <f t="shared" si="3"/>
        <v>6.5536E+16</v>
      </c>
      <c r="F113" s="141">
        <f>'Zero Gas Annual Calibration'!$K$27+'Zero Gas Annual Calibration'!$K$28*'Chart Data Zero Gas'!B113</f>
        <v>16037.014832722392</v>
      </c>
      <c r="G113" s="142">
        <f t="shared" si="4"/>
        <v>15989.42127340331</v>
      </c>
      <c r="H113" s="143">
        <f t="shared" si="10"/>
        <v>16084.608392041475</v>
      </c>
      <c r="I113" s="144"/>
      <c r="J113" s="145">
        <f>'Zero Gas Annual Calibration'!$U$30+'Chart Data Zero Gas'!B113*'Zero Gas Annual Calibration'!$U$31+'Chart Data Zero Gas'!B113^2*'Zero Gas Annual Calibration'!$U$32</f>
        <v>16024.221679948121</v>
      </c>
      <c r="K113" s="146">
        <f t="shared" si="11"/>
        <v>15974.160653198094</v>
      </c>
      <c r="L113" s="147">
        <f t="shared" si="5"/>
        <v>16074.282706698148</v>
      </c>
      <c r="M113" s="148"/>
      <c r="N113" s="149">
        <f>'Zero Gas Annual Calibration'!$AD$30+B113*'Zero Gas Annual Calibration'!$AD$31+B113^2*'Zero Gas Annual Calibration'!$AD$32+B113^3*'Zero Gas Annual Calibration'!$AD$33</f>
        <v>16022.368109360776</v>
      </c>
      <c r="O113" s="150">
        <f t="shared" si="6"/>
        <v>15979.662601228745</v>
      </c>
      <c r="P113" s="151">
        <f t="shared" si="7"/>
        <v>16065.073617492806</v>
      </c>
      <c r="Q113" s="152"/>
      <c r="R113" s="153">
        <f>SUMPRODUCT(A113:E113,'Zero Gas Annual Calibration'!$BI$43:$BM$43)</f>
        <v>16023.02142896051</v>
      </c>
      <c r="S113" s="154" t="e">
        <f t="shared" si="8"/>
        <v>#DIV/0!</v>
      </c>
      <c r="T113" s="155" t="e">
        <f t="shared" si="9"/>
        <v>#DIV/0!</v>
      </c>
      <c r="U113" s="154"/>
      <c r="V113" s="156">
        <f>SUMPRODUCT($A113:$B113,'Zero Gas Annual Calibration'!$K$52:$L$52)</f>
        <v>-151.86296360931169</v>
      </c>
      <c r="W113" s="144">
        <f>SUMPRODUCT($A113:$B113,'Zero Gas Annual Calibration'!$K$53:$L$53)</f>
        <v>2.3469730739620893E-2</v>
      </c>
      <c r="X113" s="157">
        <f>SUMPRODUCT($A113:$C113,'Zero Gas Annual Calibration'!$U$59:$W$59)</f>
        <v>112.68174150541881</v>
      </c>
      <c r="Y113" s="146">
        <f>SUMPRODUCT($A113:$C113,'Zero Gas Annual Calibration'!$U$60:$W$60)</f>
        <v>-3.3842849574586498E-2</v>
      </c>
      <c r="Z113" s="146">
        <f>SUMPRODUCT($A113:$C113,'Zero Gas Annual Calibration'!$U$61:$W$61)</f>
        <v>2.2038095702590351E-6</v>
      </c>
      <c r="AA113" s="158">
        <f>SUMPRODUCT($A113:$D113,'Zero Gas Annual Calibration'!$AD$59:$AG$59)</f>
        <v>-119.20542127681256</v>
      </c>
      <c r="AB113" s="151">
        <f>SUMPRODUCT($A113:$D113,'Zero Gas Annual Calibration'!$AD$60:$AG$60)</f>
        <v>5.5255271804988126E-2</v>
      </c>
      <c r="AC113" s="151">
        <f>SUMPRODUCT($A113:$D113,'Zero Gas Annual Calibration'!$AD$61:$AG$61)</f>
        <v>-7.7882226769559765E-6</v>
      </c>
      <c r="AD113" s="159">
        <f>SUMPRODUCT($A113:$D113,'Zero Gas Annual Calibration'!$AD$62:$AG$62)</f>
        <v>3.3506814843014064E-10</v>
      </c>
      <c r="AE113" s="154" t="e">
        <f>SUMPRODUCT(A113:E113,'Zero Gas Annual Calibration'!$BG$59:$BK$59)</f>
        <v>#DIV/0!</v>
      </c>
      <c r="AF113" s="154" t="e">
        <f>SUMPRODUCT(A113:E113,'Zero Gas Annual Calibration'!$BG$60:$BK$60)</f>
        <v>#DIV/0!</v>
      </c>
      <c r="AG113" s="154" t="e">
        <f>SUMPRODUCT(A113:E113,'Zero Gas Annual Calibration'!$BG$61:$BK$61)</f>
        <v>#DIV/0!</v>
      </c>
      <c r="AH113" s="154" t="e">
        <f>SUMPRODUCT(A113:E113,'Zero Gas Annual Calibration'!$BG$62:$BK$62)</f>
        <v>#DIV/0!</v>
      </c>
      <c r="AI113" s="160" t="e">
        <f>SUMPRODUCT(A113:E113,'Zero Gas Annual Calibration'!$BG$63:$BK$63)</f>
        <v>#DIV/0!</v>
      </c>
    </row>
  </sheetData>
  <sheetProtection sheet="1" objects="1" scenarios="1"/>
  <phoneticPr fontId="35" type="noConversion"/>
  <pageMargins left="0.75" right="0.75" top="0.17" bottom="0.23" header="0.17" footer="0.18"/>
  <pageSetup scale="27" orientation="landscape"/>
  <headerFooter alignWithMargins="0">
    <oddFooter>&amp;L&amp;F&amp;CPage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ReadMe</vt:lpstr>
      <vt:lpstr>Day of Use</vt:lpstr>
      <vt:lpstr>Monthly Flow Check</vt:lpstr>
      <vt:lpstr>Annual Gas Check</vt:lpstr>
      <vt:lpstr>Pollutant Annual Calibration</vt:lpstr>
      <vt:lpstr>Zero Gas Annual Calibration</vt:lpstr>
      <vt:lpstr>Chart Data Pollutant</vt:lpstr>
      <vt:lpstr>Chart Data Zero Gas</vt:lpstr>
      <vt:lpstr>Curves 1 Zero</vt:lpstr>
      <vt:lpstr>Residuals 1 Zero</vt:lpstr>
      <vt:lpstr>Curves 2 Zero</vt:lpstr>
      <vt:lpstr>Residuals 2 Zero</vt:lpstr>
      <vt:lpstr>Curves 1 Pollutant</vt:lpstr>
      <vt:lpstr> Residuals 1 Pollutant</vt:lpstr>
      <vt:lpstr>Curves 2 Pollutant</vt:lpstr>
      <vt:lpstr>Residuals 2 Pollutant</vt:lpstr>
      <vt:lpstr>df</vt:lpstr>
      <vt:lpstr>df_new</vt:lpstr>
      <vt:lpstr>n</vt:lpstr>
      <vt:lpstr>n_new</vt:lpstr>
      <vt:lpstr>p</vt:lpstr>
      <vt:lpstr>p_new</vt:lpstr>
      <vt:lpstr>'Pollutant Annual Calibration'!Print_Area</vt:lpstr>
      <vt:lpstr>'Zero Gas Annual Calibration'!Print_Area</vt:lpstr>
      <vt:lpstr>t</vt:lpstr>
      <vt:lpstr>t_new</vt:lpstr>
      <vt:lpstr>X</vt:lpstr>
      <vt:lpstr>X_new</vt:lpstr>
      <vt:lpstr>xcubed</vt:lpstr>
      <vt:lpstr>xcubed_new</vt:lpstr>
      <vt:lpstr>xsquared</vt:lpstr>
      <vt:lpstr>xsquared_new</vt:lpstr>
      <vt:lpstr>Y</vt:lpstr>
      <vt:lpstr>Y_new</vt:lpstr>
    </vt:vector>
  </TitlesOfParts>
  <Company>ChoiceStream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Lopes</dc:creator>
  <cp:lastModifiedBy>Robert S Wright</cp:lastModifiedBy>
  <cp:lastPrinted>2012-05-09T21:24:49Z</cp:lastPrinted>
  <dcterms:created xsi:type="dcterms:W3CDTF">2012-04-22T17:38:49Z</dcterms:created>
  <dcterms:modified xsi:type="dcterms:W3CDTF">2016-03-01T15:28:57Z</dcterms:modified>
</cp:coreProperties>
</file>