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RTP\Users\A-D\bwrigh02\Net MyDocuments\EPA Protocol Gases\2016 Protocol\"/>
    </mc:Choice>
  </mc:AlternateContent>
  <workbookProtection lockStructure="1"/>
  <bookViews>
    <workbookView xWindow="120" yWindow="75" windowWidth="9720" windowHeight="6750"/>
  </bookViews>
  <sheets>
    <sheet name="ReadMe" sheetId="1" r:id="rId1"/>
    <sheet name="Data" sheetId="2" r:id="rId2"/>
    <sheet name="Regression" sheetId="3" r:id="rId3"/>
    <sheet name="Residual" sheetId="4" r:id="rId4"/>
    <sheet name="Calibration Curve" sheetId="5" r:id="rId5"/>
    <sheet name="Report" sheetId="6" r:id="rId6"/>
    <sheet name="Chart Data" sheetId="7" r:id="rId7"/>
  </sheets>
  <definedNames>
    <definedName name="max">Data!$C$57</definedName>
    <definedName name="min">Data!$C$58</definedName>
    <definedName name="n">Data!$G$11</definedName>
    <definedName name="x">Data!$C$6:$C$55</definedName>
    <definedName name="y">Data!$D$6:$D$55</definedName>
  </definedNames>
  <calcPr calcId="152511"/>
</workbook>
</file>

<file path=xl/calcChain.xml><?xml version="1.0" encoding="utf-8"?>
<calcChain xmlns="http://schemas.openxmlformats.org/spreadsheetml/2006/main">
  <c r="D2" i="7" l="1"/>
  <c r="A11" i="7"/>
  <c r="C11" i="7"/>
  <c r="D11" i="7"/>
  <c r="E11" i="7"/>
  <c r="A12" i="7"/>
  <c r="C12" i="7"/>
  <c r="D12" i="7"/>
  <c r="E12" i="7"/>
  <c r="E13" i="7"/>
  <c r="A56" i="7"/>
  <c r="A60" i="7"/>
  <c r="B8" i="2"/>
  <c r="C8" i="2"/>
  <c r="C9" i="2"/>
  <c r="C10" i="2" s="1"/>
  <c r="C11" i="2"/>
  <c r="C12" i="2"/>
  <c r="B13" i="2"/>
  <c r="A18" i="7" s="1"/>
  <c r="B14" i="2"/>
  <c r="A19" i="7" s="1"/>
  <c r="B15" i="2"/>
  <c r="A20" i="7" s="1"/>
  <c r="B16" i="2"/>
  <c r="A21" i="7" s="1"/>
  <c r="B17" i="2"/>
  <c r="A22" i="7" s="1"/>
  <c r="B18" i="2"/>
  <c r="A23" i="7" s="1"/>
  <c r="B19" i="2"/>
  <c r="A24" i="7" s="1"/>
  <c r="B20" i="2"/>
  <c r="A25" i="7" s="1"/>
  <c r="B21" i="2"/>
  <c r="A26" i="7" s="1"/>
  <c r="B22" i="2"/>
  <c r="A27" i="7" s="1"/>
  <c r="B23" i="2"/>
  <c r="A28" i="7" s="1"/>
  <c r="B24" i="2"/>
  <c r="A29" i="7" s="1"/>
  <c r="B25" i="2"/>
  <c r="A30" i="7" s="1"/>
  <c r="B26" i="2"/>
  <c r="A31" i="7" s="1"/>
  <c r="B27" i="2"/>
  <c r="A32" i="7" s="1"/>
  <c r="B28" i="2"/>
  <c r="A33" i="7" s="1"/>
  <c r="B29" i="2"/>
  <c r="A34" i="7" s="1"/>
  <c r="B30" i="2"/>
  <c r="A35" i="7" s="1"/>
  <c r="B31" i="2"/>
  <c r="A36" i="7" s="1"/>
  <c r="B32" i="2"/>
  <c r="A37" i="7" s="1"/>
  <c r="B33" i="2"/>
  <c r="A38" i="7" s="1"/>
  <c r="B34" i="2"/>
  <c r="A39" i="7" s="1"/>
  <c r="B35" i="2"/>
  <c r="A40" i="7" s="1"/>
  <c r="B36" i="2"/>
  <c r="A41" i="7" s="1"/>
  <c r="B37" i="2"/>
  <c r="A42" i="7" s="1"/>
  <c r="B38" i="2"/>
  <c r="A43" i="7" s="1"/>
  <c r="B39" i="2"/>
  <c r="A44" i="7" s="1"/>
  <c r="B40" i="2"/>
  <c r="A45" i="7" s="1"/>
  <c r="B41" i="2"/>
  <c r="A46" i="7" s="1"/>
  <c r="B42" i="2"/>
  <c r="A47" i="7" s="1"/>
  <c r="B43" i="2"/>
  <c r="A48" i="7" s="1"/>
  <c r="B44" i="2"/>
  <c r="A49" i="7" s="1"/>
  <c r="B45" i="2"/>
  <c r="A50" i="7" s="1"/>
  <c r="B46" i="2"/>
  <c r="A51" i="7" s="1"/>
  <c r="B47" i="2"/>
  <c r="A52" i="7" s="1"/>
  <c r="B48" i="2"/>
  <c r="A53" i="7" s="1"/>
  <c r="B49" i="2"/>
  <c r="A54" i="7" s="1"/>
  <c r="B50" i="2"/>
  <c r="A55" i="7" s="1"/>
  <c r="B51" i="2"/>
  <c r="B52" i="2"/>
  <c r="A57" i="7" s="1"/>
  <c r="B53" i="2"/>
  <c r="A58" i="7" s="1"/>
  <c r="B54" i="2"/>
  <c r="A59" i="7" s="1"/>
  <c r="B55" i="2"/>
  <c r="C57" i="2"/>
  <c r="C58" i="2"/>
  <c r="H35" i="1"/>
  <c r="H36" i="1"/>
  <c r="H37" i="1"/>
  <c r="H38" i="1"/>
  <c r="G18" i="3"/>
  <c r="C19" i="3"/>
  <c r="C23" i="3"/>
  <c r="C24" i="3"/>
  <c r="D41" i="3"/>
  <c r="G13" i="6"/>
  <c r="C14" i="6"/>
  <c r="D13" i="6" s="1"/>
  <c r="C18" i="6"/>
  <c r="C19" i="6"/>
  <c r="F34" i="6"/>
  <c r="G40" i="6"/>
  <c r="G58" i="7" l="1"/>
  <c r="G54" i="7"/>
  <c r="C46" i="7"/>
  <c r="E22" i="7"/>
  <c r="E49" i="7"/>
  <c r="D45" i="7"/>
  <c r="C41" i="7"/>
  <c r="C33" i="7"/>
  <c r="C29" i="7"/>
  <c r="C25" i="7"/>
  <c r="C21" i="7"/>
  <c r="D19" i="3"/>
  <c r="D14" i="6"/>
  <c r="G53" i="7"/>
  <c r="D41" i="7"/>
  <c r="D37" i="7"/>
  <c r="D18" i="3"/>
  <c r="A13" i="7"/>
  <c r="C13" i="7" s="1"/>
  <c r="D13" i="7" s="1"/>
  <c r="B9" i="2"/>
  <c r="G52" i="7"/>
  <c r="G48" i="7"/>
  <c r="G44" i="7"/>
  <c r="G11" i="2"/>
  <c r="C60" i="7"/>
  <c r="G60" i="7"/>
  <c r="C56" i="7"/>
  <c r="G56" i="7"/>
  <c r="E50" i="7"/>
  <c r="C51" i="7"/>
  <c r="C47" i="7"/>
  <c r="C43" i="7"/>
  <c r="D39" i="7"/>
  <c r="E39" i="7"/>
  <c r="C35" i="7"/>
  <c r="G35" i="7"/>
  <c r="E35" i="7"/>
  <c r="C31" i="7"/>
  <c r="G31" i="7"/>
  <c r="E31" i="7"/>
  <c r="C27" i="7"/>
  <c r="G27" i="7"/>
  <c r="E27" i="7"/>
  <c r="C23" i="7"/>
  <c r="G23" i="7"/>
  <c r="E23" i="7"/>
  <c r="C19" i="7"/>
  <c r="G19" i="7"/>
  <c r="E19" i="7"/>
  <c r="E51" i="7"/>
  <c r="D47" i="7"/>
  <c r="D31" i="7"/>
  <c r="D50" i="7"/>
  <c r="D46" i="7"/>
  <c r="D42" i="7"/>
  <c r="E38" i="7"/>
  <c r="G38" i="7"/>
  <c r="C34" i="7"/>
  <c r="G34" i="7"/>
  <c r="D34" i="7"/>
  <c r="C30" i="7"/>
  <c r="G30" i="7"/>
  <c r="D30" i="7"/>
  <c r="C26" i="7"/>
  <c r="G26" i="7"/>
  <c r="D26" i="7"/>
  <c r="C22" i="7"/>
  <c r="G22" i="7"/>
  <c r="D22" i="7"/>
  <c r="C18" i="7"/>
  <c r="G18" i="7"/>
  <c r="D18" i="7"/>
  <c r="E60" i="7"/>
  <c r="D51" i="7"/>
  <c r="G46" i="7"/>
  <c r="G43" i="7"/>
  <c r="E42" i="7"/>
  <c r="E34" i="7"/>
  <c r="D27" i="7"/>
  <c r="E18" i="7"/>
  <c r="E40" i="7"/>
  <c r="C36" i="7"/>
  <c r="D36" i="7"/>
  <c r="C32" i="7"/>
  <c r="G32" i="7"/>
  <c r="D32" i="7"/>
  <c r="C28" i="7"/>
  <c r="G28" i="7"/>
  <c r="D28" i="7"/>
  <c r="C24" i="7"/>
  <c r="G24" i="7"/>
  <c r="D24" i="7"/>
  <c r="C20" i="7"/>
  <c r="G20" i="7"/>
  <c r="D20" i="7"/>
  <c r="D40" i="7"/>
  <c r="G3" i="7"/>
  <c r="G4" i="7" s="1"/>
  <c r="G5" i="7" s="1"/>
  <c r="D3" i="7" s="1"/>
  <c r="G6" i="7" s="1"/>
  <c r="G19" i="3" l="1"/>
  <c r="G20" i="3" s="1"/>
  <c r="E20" i="7"/>
  <c r="E36" i="7"/>
  <c r="C44" i="7"/>
  <c r="D48" i="7"/>
  <c r="E52" i="7"/>
  <c r="E56" i="7"/>
  <c r="E24" i="7"/>
  <c r="G36" i="7"/>
  <c r="D44" i="7"/>
  <c r="E48" i="7"/>
  <c r="C18" i="3"/>
  <c r="C13" i="6"/>
  <c r="E28" i="7"/>
  <c r="C40" i="7"/>
  <c r="E44" i="7"/>
  <c r="C52" i="7"/>
  <c r="G14" i="6"/>
  <c r="G15" i="6" s="1"/>
  <c r="D23" i="7"/>
  <c r="E30" i="7"/>
  <c r="E32" i="7"/>
  <c r="G40" i="7"/>
  <c r="E43" i="7"/>
  <c r="C48" i="7"/>
  <c r="G50" i="7"/>
  <c r="D56" i="7"/>
  <c r="E46" i="7"/>
  <c r="D38" i="7"/>
  <c r="C42" i="7"/>
  <c r="D60" i="7"/>
  <c r="G39" i="7"/>
  <c r="C45" i="7"/>
  <c r="G47" i="7"/>
  <c r="D52" i="7"/>
  <c r="A14" i="7"/>
  <c r="B10" i="2"/>
  <c r="E55" i="7"/>
  <c r="D21" i="7"/>
  <c r="D25" i="7"/>
  <c r="D29" i="7"/>
  <c r="D33" i="7"/>
  <c r="E37" i="7"/>
  <c r="G41" i="7"/>
  <c r="E45" i="7"/>
  <c r="D53" i="7"/>
  <c r="E26" i="7"/>
  <c r="C50" i="7"/>
  <c r="C54" i="7"/>
  <c r="C58" i="7"/>
  <c r="C39" i="7"/>
  <c r="D55" i="7"/>
  <c r="G59" i="7"/>
  <c r="E57" i="7"/>
  <c r="E21" i="7"/>
  <c r="E25" i="7"/>
  <c r="E29" i="7"/>
  <c r="E33" i="7"/>
  <c r="C37" i="7"/>
  <c r="E41" i="7"/>
  <c r="C49" i="7"/>
  <c r="C53" i="7"/>
  <c r="C38" i="7"/>
  <c r="E54" i="7"/>
  <c r="E58" i="7"/>
  <c r="E59" i="7"/>
  <c r="D43" i="7"/>
  <c r="G55" i="7"/>
  <c r="C59" i="7"/>
  <c r="D57" i="7"/>
  <c r="G21" i="7"/>
  <c r="G25" i="7"/>
  <c r="G29" i="7"/>
  <c r="G33" i="7"/>
  <c r="G37" i="7"/>
  <c r="G45" i="7"/>
  <c r="G49" i="7"/>
  <c r="E53" i="7"/>
  <c r="G42" i="7"/>
  <c r="D54" i="7"/>
  <c r="D58" i="7"/>
  <c r="D19" i="7"/>
  <c r="E47" i="7"/>
  <c r="C55" i="7"/>
  <c r="D49" i="7"/>
  <c r="G57" i="7"/>
  <c r="D35" i="7"/>
  <c r="G51" i="7"/>
  <c r="D59" i="7"/>
  <c r="C57" i="7"/>
  <c r="C17" i="6" l="1"/>
  <c r="D16" i="6" s="1"/>
  <c r="A15" i="7"/>
  <c r="B11" i="2"/>
  <c r="C22" i="3"/>
  <c r="E14" i="7"/>
  <c r="C14" i="7"/>
  <c r="D14" i="7" s="1"/>
  <c r="A16" i="7" l="1"/>
  <c r="B12" i="2"/>
  <c r="A17" i="7" s="1"/>
  <c r="E15" i="7"/>
  <c r="C15" i="7"/>
  <c r="D15" i="7"/>
  <c r="C21" i="3"/>
  <c r="D20" i="3" s="1"/>
  <c r="G23" i="3" s="1"/>
  <c r="C20" i="3"/>
  <c r="G22" i="3" s="1"/>
  <c r="D21" i="3"/>
  <c r="C16" i="6"/>
  <c r="D15" i="6" s="1"/>
  <c r="G18" i="6" s="1"/>
  <c r="C15" i="6"/>
  <c r="G17" i="6" s="1"/>
  <c r="F11" i="7" l="1"/>
  <c r="F12" i="7"/>
  <c r="F13" i="7"/>
  <c r="F14" i="7"/>
  <c r="F15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5" i="7"/>
  <c r="F59" i="7"/>
  <c r="F56" i="7"/>
  <c r="F60" i="7"/>
  <c r="F57" i="7"/>
  <c r="F58" i="7"/>
  <c r="E27" i="3"/>
  <c r="F54" i="7"/>
  <c r="F40" i="6"/>
  <c r="C17" i="7"/>
  <c r="D17" i="7" s="1"/>
  <c r="E17" i="7"/>
  <c r="E22" i="6"/>
  <c r="C16" i="7"/>
  <c r="F16" i="7" s="1"/>
  <c r="D16" i="7"/>
  <c r="E16" i="7"/>
  <c r="G16" i="7" l="1"/>
  <c r="E28" i="3"/>
  <c r="E29" i="3"/>
  <c r="E30" i="3"/>
  <c r="G14" i="7"/>
  <c r="F17" i="7"/>
  <c r="G13" i="7"/>
  <c r="G12" i="7"/>
  <c r="E23" i="6"/>
  <c r="E24" i="6"/>
  <c r="E25" i="6"/>
  <c r="G15" i="7"/>
  <c r="G11" i="7"/>
  <c r="L14" i="7" l="1"/>
  <c r="L37" i="7"/>
  <c r="L12" i="7"/>
  <c r="L13" i="7"/>
  <c r="L16" i="7"/>
  <c r="L18" i="7"/>
  <c r="L20" i="7"/>
  <c r="L22" i="7"/>
  <c r="L24" i="7"/>
  <c r="L26" i="7"/>
  <c r="L28" i="7"/>
  <c r="L30" i="7"/>
  <c r="L32" i="7"/>
  <c r="L34" i="7"/>
  <c r="L38" i="7"/>
  <c r="L15" i="7"/>
  <c r="L19" i="7"/>
  <c r="L23" i="7"/>
  <c r="L27" i="7"/>
  <c r="L31" i="7"/>
  <c r="L35" i="7"/>
  <c r="L36" i="7"/>
  <c r="L40" i="7"/>
  <c r="L44" i="7"/>
  <c r="L48" i="7"/>
  <c r="L52" i="7"/>
  <c r="F31" i="3"/>
  <c r="L21" i="7"/>
  <c r="L42" i="7"/>
  <c r="L45" i="7"/>
  <c r="L55" i="7"/>
  <c r="L59" i="7"/>
  <c r="L11" i="7"/>
  <c r="L25" i="7"/>
  <c r="L39" i="7"/>
  <c r="L51" i="7"/>
  <c r="L56" i="7"/>
  <c r="L60" i="7"/>
  <c r="F32" i="3"/>
  <c r="L29" i="7"/>
  <c r="L41" i="7"/>
  <c r="L47" i="7"/>
  <c r="L50" i="7"/>
  <c r="L53" i="7"/>
  <c r="L57" i="7"/>
  <c r="L17" i="7"/>
  <c r="L33" i="7"/>
  <c r="L54" i="7"/>
  <c r="E32" i="3"/>
  <c r="L43" i="7"/>
  <c r="L46" i="7"/>
  <c r="L58" i="7"/>
  <c r="L49" i="7"/>
  <c r="E31" i="3"/>
  <c r="F27" i="6"/>
  <c r="E28" i="6"/>
  <c r="F28" i="6"/>
  <c r="E27" i="6"/>
  <c r="G17" i="7"/>
  <c r="J23" i="3" l="1"/>
  <c r="E54" i="3" s="1"/>
  <c r="J22" i="3"/>
  <c r="E55" i="3" s="1"/>
  <c r="F38" i="6" s="1"/>
  <c r="J14" i="6"/>
  <c r="F32" i="6" s="1"/>
  <c r="J15" i="6"/>
  <c r="F33" i="6" s="1"/>
  <c r="M11" i="7"/>
  <c r="M12" i="7"/>
  <c r="M13" i="7"/>
  <c r="M14" i="7"/>
  <c r="M15" i="7"/>
  <c r="M17" i="7"/>
  <c r="M19" i="7"/>
  <c r="M21" i="7"/>
  <c r="M23" i="7"/>
  <c r="M25" i="7"/>
  <c r="M27" i="7"/>
  <c r="M29" i="7"/>
  <c r="M31" i="7"/>
  <c r="M33" i="7"/>
  <c r="M35" i="7"/>
  <c r="M36" i="7"/>
  <c r="M39" i="7"/>
  <c r="M40" i="7"/>
  <c r="M41" i="7"/>
  <c r="M37" i="7"/>
  <c r="M43" i="7"/>
  <c r="M47" i="7"/>
  <c r="M51" i="7"/>
  <c r="M28" i="7"/>
  <c r="M30" i="7"/>
  <c r="M46" i="7"/>
  <c r="M49" i="7"/>
  <c r="M52" i="7"/>
  <c r="M54" i="7"/>
  <c r="M58" i="7"/>
  <c r="M16" i="7"/>
  <c r="M18" i="7"/>
  <c r="M32" i="7"/>
  <c r="M34" i="7"/>
  <c r="M38" i="7"/>
  <c r="M42" i="7"/>
  <c r="M45" i="7"/>
  <c r="M48" i="7"/>
  <c r="M55" i="7"/>
  <c r="M59" i="7"/>
  <c r="M20" i="7"/>
  <c r="M22" i="7"/>
  <c r="M44" i="7"/>
  <c r="M56" i="7"/>
  <c r="M60" i="7"/>
  <c r="M24" i="7"/>
  <c r="M26" i="7"/>
  <c r="M57" i="7"/>
  <c r="M50" i="7"/>
  <c r="M53" i="7"/>
  <c r="J19" i="3"/>
  <c r="D39" i="3" s="1"/>
  <c r="E39" i="3" s="1"/>
  <c r="E41" i="3" s="1"/>
  <c r="J20" i="3"/>
  <c r="D40" i="3" s="1"/>
  <c r="E40" i="3" s="1"/>
  <c r="J18" i="6"/>
  <c r="J17" i="6"/>
  <c r="I57" i="7" l="1"/>
  <c r="J57" i="7"/>
  <c r="H57" i="7"/>
  <c r="K57" i="7"/>
  <c r="I56" i="7"/>
  <c r="K56" i="7"/>
  <c r="J56" i="7"/>
  <c r="H56" i="7"/>
  <c r="H59" i="7"/>
  <c r="I59" i="7"/>
  <c r="J59" i="7"/>
  <c r="K59" i="7"/>
  <c r="J42" i="7"/>
  <c r="I42" i="7"/>
  <c r="H42" i="7"/>
  <c r="K42" i="7"/>
  <c r="J18" i="7"/>
  <c r="K18" i="7"/>
  <c r="I18" i="7"/>
  <c r="H18" i="7"/>
  <c r="H52" i="7"/>
  <c r="I52" i="7"/>
  <c r="K52" i="7"/>
  <c r="J52" i="7"/>
  <c r="K28" i="7"/>
  <c r="I28" i="7"/>
  <c r="H28" i="7"/>
  <c r="J28" i="7"/>
  <c r="I37" i="7"/>
  <c r="J37" i="7"/>
  <c r="H37" i="7"/>
  <c r="K37" i="7"/>
  <c r="H36" i="7"/>
  <c r="I36" i="7"/>
  <c r="K36" i="7"/>
  <c r="J36" i="7"/>
  <c r="I29" i="7"/>
  <c r="J29" i="7"/>
  <c r="K29" i="7"/>
  <c r="H29" i="7"/>
  <c r="I21" i="7"/>
  <c r="J21" i="7"/>
  <c r="K21" i="7"/>
  <c r="H21" i="7"/>
  <c r="I14" i="7"/>
  <c r="J14" i="7"/>
  <c r="K14" i="7"/>
  <c r="H14" i="7"/>
  <c r="J26" i="7"/>
  <c r="K26" i="7"/>
  <c r="I26" i="7"/>
  <c r="H26" i="7"/>
  <c r="I44" i="7"/>
  <c r="K44" i="7"/>
  <c r="H44" i="7"/>
  <c r="J44" i="7"/>
  <c r="K55" i="7"/>
  <c r="H55" i="7"/>
  <c r="I55" i="7"/>
  <c r="J55" i="7"/>
  <c r="J38" i="7"/>
  <c r="K38" i="7"/>
  <c r="I38" i="7"/>
  <c r="H38" i="7"/>
  <c r="J16" i="7"/>
  <c r="K16" i="7"/>
  <c r="I16" i="7"/>
  <c r="H16" i="7"/>
  <c r="I49" i="7"/>
  <c r="J49" i="7"/>
  <c r="K49" i="7"/>
  <c r="H49" i="7"/>
  <c r="H51" i="7"/>
  <c r="K51" i="7"/>
  <c r="I51" i="7"/>
  <c r="J51" i="7"/>
  <c r="K41" i="7"/>
  <c r="I41" i="7"/>
  <c r="J41" i="7"/>
  <c r="H41" i="7"/>
  <c r="H35" i="7"/>
  <c r="I35" i="7"/>
  <c r="J35" i="7"/>
  <c r="K35" i="7"/>
  <c r="K27" i="7"/>
  <c r="H27" i="7"/>
  <c r="I27" i="7"/>
  <c r="J27" i="7"/>
  <c r="K19" i="7"/>
  <c r="H19" i="7"/>
  <c r="I19" i="7"/>
  <c r="J19" i="7"/>
  <c r="K13" i="7"/>
  <c r="I13" i="7"/>
  <c r="H13" i="7"/>
  <c r="J13" i="7"/>
  <c r="I53" i="7"/>
  <c r="J53" i="7"/>
  <c r="K53" i="7"/>
  <c r="H53" i="7"/>
  <c r="K24" i="7"/>
  <c r="I24" i="7"/>
  <c r="H24" i="7"/>
  <c r="J24" i="7"/>
  <c r="J22" i="7"/>
  <c r="K22" i="7"/>
  <c r="I22" i="7"/>
  <c r="H22" i="7"/>
  <c r="K48" i="7"/>
  <c r="H48" i="7"/>
  <c r="I48" i="7"/>
  <c r="J48" i="7"/>
  <c r="J34" i="7"/>
  <c r="K34" i="7"/>
  <c r="I34" i="7"/>
  <c r="H34" i="7"/>
  <c r="J58" i="7"/>
  <c r="K58" i="7"/>
  <c r="H58" i="7"/>
  <c r="I58" i="7"/>
  <c r="J46" i="7"/>
  <c r="I46" i="7"/>
  <c r="H46" i="7"/>
  <c r="K46" i="7"/>
  <c r="H47" i="7"/>
  <c r="I47" i="7"/>
  <c r="K47" i="7"/>
  <c r="J47" i="7"/>
  <c r="J40" i="7"/>
  <c r="H40" i="7"/>
  <c r="K40" i="7"/>
  <c r="I40" i="7"/>
  <c r="I33" i="7"/>
  <c r="J33" i="7"/>
  <c r="K33" i="7"/>
  <c r="H33" i="7"/>
  <c r="I25" i="7"/>
  <c r="J25" i="7"/>
  <c r="K25" i="7"/>
  <c r="H25" i="7"/>
  <c r="I17" i="7"/>
  <c r="J17" i="7"/>
  <c r="K17" i="7"/>
  <c r="H17" i="7"/>
  <c r="J12" i="7"/>
  <c r="K12" i="7"/>
  <c r="I12" i="7"/>
  <c r="H12" i="7"/>
  <c r="J50" i="7"/>
  <c r="I50" i="7"/>
  <c r="H50" i="7"/>
  <c r="K50" i="7"/>
  <c r="K60" i="7"/>
  <c r="J60" i="7"/>
  <c r="H60" i="7"/>
  <c r="I60" i="7"/>
  <c r="K20" i="7"/>
  <c r="I20" i="7"/>
  <c r="H20" i="7"/>
  <c r="J20" i="7"/>
  <c r="I45" i="7"/>
  <c r="J45" i="7"/>
  <c r="K45" i="7"/>
  <c r="H45" i="7"/>
  <c r="K32" i="7"/>
  <c r="I32" i="7"/>
  <c r="H32" i="7"/>
  <c r="J32" i="7"/>
  <c r="H54" i="7"/>
  <c r="I54" i="7"/>
  <c r="J54" i="7"/>
  <c r="K54" i="7"/>
  <c r="J30" i="7"/>
  <c r="K30" i="7"/>
  <c r="I30" i="7"/>
  <c r="H30" i="7"/>
  <c r="H43" i="7"/>
  <c r="I43" i="7"/>
  <c r="K43" i="7"/>
  <c r="J43" i="7"/>
  <c r="J39" i="7"/>
  <c r="H39" i="7"/>
  <c r="K39" i="7"/>
  <c r="I39" i="7"/>
  <c r="K31" i="7"/>
  <c r="H31" i="7"/>
  <c r="I31" i="7"/>
  <c r="J31" i="7"/>
  <c r="H23" i="7"/>
  <c r="I23" i="7"/>
  <c r="J23" i="7"/>
  <c r="K23" i="7"/>
  <c r="K15" i="7"/>
  <c r="H15" i="7"/>
  <c r="I15" i="7"/>
  <c r="J15" i="7"/>
  <c r="H11" i="7"/>
  <c r="J11" i="7"/>
  <c r="I11" i="7"/>
  <c r="K11" i="7"/>
  <c r="F54" i="3"/>
  <c r="F37" i="6"/>
</calcChain>
</file>

<file path=xl/comments1.xml><?xml version="1.0" encoding="utf-8"?>
<comments xmlns="http://schemas.openxmlformats.org/spreadsheetml/2006/main">
  <authors>
    <author/>
  </authors>
  <commentList>
    <comment ref="A14" authorId="0" shapeId="0">
      <text>
        <r>
          <rPr>
            <sz val="9"/>
            <color indexed="81"/>
            <rFont val="Tahoma"/>
            <charset val="1"/>
          </rPr>
          <t>Beginning in this row, all formulas include "if" statements so special values (-999 or zero) are entered as needed to properly feed into other worksheets.  Chart axis ranges begin at zero, so -999 helps remove extraneous points from the charts.  Sumproduct functions in "Case 3" require the zeros under X-squared.  The Residual plots require the zeros in the residuals column.</t>
        </r>
      </text>
    </comment>
  </commentList>
</comments>
</file>

<file path=xl/sharedStrings.xml><?xml version="1.0" encoding="utf-8"?>
<sst xmlns="http://schemas.openxmlformats.org/spreadsheetml/2006/main" count="217" uniqueCount="183">
  <si>
    <t>PERMEATION DEVICE WEIGHT LOSS WORKSHEET</t>
  </si>
  <si>
    <t>What this Workbook is all About</t>
  </si>
  <si>
    <t>This workbook enables the user to estimate the rate at which the weight of a permeation tube</t>
  </si>
  <si>
    <t>decreases.  A linear relationship between the tube's weight and elapsed time is established.  If the</t>
  </si>
  <si>
    <t xml:space="preserve">estimated weight at time zero is significantly different from the actual weight at time zero, then </t>
  </si>
  <si>
    <t>then at least the earliest data pair should be removed from the analysis. Uncertainty of the slope</t>
  </si>
  <si>
    <t xml:space="preserve">estimate (the rate of weight loss or drift) will be determined.  The traceability protocol requires that </t>
  </si>
  <si>
    <t>this estimate have a relative uncertainty of less than 1%.</t>
  </si>
  <si>
    <t>How the Workbook is Organized</t>
  </si>
  <si>
    <r>
      <t xml:space="preserve">The workbook consists of several </t>
    </r>
    <r>
      <rPr>
        <b/>
        <sz val="11"/>
        <rFont val="Times New Roman"/>
      </rPr>
      <t xml:space="preserve">worksheets, </t>
    </r>
    <r>
      <rPr>
        <sz val="11"/>
        <rFont val="Times New Roman"/>
      </rPr>
      <t>which are</t>
    </r>
    <r>
      <rPr>
        <b/>
        <sz val="11"/>
        <rFont val="Times New Roman"/>
      </rPr>
      <t xml:space="preserve"> </t>
    </r>
    <r>
      <rPr>
        <sz val="11"/>
        <rFont val="Times New Roman"/>
        <family val="1"/>
      </rPr>
      <t xml:space="preserve">displayed as tabs on the bottom of </t>
    </r>
  </si>
  <si>
    <t>the screen.  Each worksheet performs a distinct function as described below.</t>
  </si>
  <si>
    <r>
      <t>ReadMe</t>
    </r>
    <r>
      <rPr>
        <sz val="11"/>
        <rFont val="Times New Roman"/>
        <family val="1"/>
      </rPr>
      <t xml:space="preserve"> - describes the workbook and explains how to use the worksheets</t>
    </r>
  </si>
  <si>
    <r>
      <t>Data</t>
    </r>
    <r>
      <rPr>
        <sz val="11"/>
        <rFont val="Times New Roman"/>
        <family val="1"/>
      </rPr>
      <t xml:space="preserve"> - allows for user input of the calibration data (elapsed time and weight)</t>
    </r>
  </si>
  <si>
    <r>
      <t>Regression</t>
    </r>
    <r>
      <rPr>
        <sz val="11"/>
        <rFont val="Times New Roman"/>
        <family val="1"/>
      </rPr>
      <t xml:space="preserve"> - calculates the drift and its uncertainty</t>
    </r>
  </si>
  <si>
    <r>
      <t>Calibration Curve</t>
    </r>
    <r>
      <rPr>
        <sz val="11"/>
        <rFont val="Times New Roman"/>
        <family val="1"/>
      </rPr>
      <t xml:space="preserve"> - graphically displays the drift line together with its confidence bands</t>
    </r>
  </si>
  <si>
    <r>
      <t>Residual</t>
    </r>
    <r>
      <rPr>
        <sz val="11"/>
        <rFont val="Times New Roman"/>
        <family val="1"/>
      </rPr>
      <t xml:space="preserve"> - graphically displays the vertical difference between the observed and estimated weights.</t>
    </r>
  </si>
  <si>
    <r>
      <t xml:space="preserve">Report </t>
    </r>
    <r>
      <rPr>
        <sz val="11"/>
        <rFont val="Times New Roman"/>
      </rPr>
      <t>- summarizes the assay results for a permeation device</t>
    </r>
  </si>
  <si>
    <r>
      <t>Chart Data</t>
    </r>
    <r>
      <rPr>
        <sz val="11"/>
        <rFont val="Times New Roman"/>
        <family val="1"/>
      </rPr>
      <t xml:space="preserve"> - includes the data used to create the curve and residual charts.</t>
    </r>
  </si>
  <si>
    <t xml:space="preserve">     How the Worksheets are Setup</t>
  </si>
  <si>
    <t>Each worksheet contains instructions that guide the user through the steps in using</t>
  </si>
  <si>
    <t>the worksheet.  The worksheets are also color coded to simplify use.</t>
  </si>
  <si>
    <r>
      <t xml:space="preserve">Shaded cells that are </t>
    </r>
    <r>
      <rPr>
        <sz val="11"/>
        <color indexed="12"/>
        <rFont val="Times New Roman"/>
        <family val="1"/>
      </rPr>
      <t>bordered in blue lines</t>
    </r>
    <r>
      <rPr>
        <sz val="11"/>
        <color indexed="8"/>
        <rFont val="Times New Roman"/>
        <family val="1"/>
      </rPr>
      <t xml:space="preserve"> are cells whose contents you can change</t>
    </r>
  </si>
  <si>
    <t>(i.e., enter data).  In other sheets you can change the following variables:</t>
  </si>
  <si>
    <t>Sheet</t>
  </si>
  <si>
    <t>Variable</t>
  </si>
  <si>
    <t>Location</t>
  </si>
  <si>
    <t>Current Value</t>
  </si>
  <si>
    <t>Data</t>
  </si>
  <si>
    <t>Unit of Time</t>
  </si>
  <si>
    <t>H22</t>
  </si>
  <si>
    <t>Unit of Weight</t>
  </si>
  <si>
    <t>H24</t>
  </si>
  <si>
    <t>Report</t>
  </si>
  <si>
    <t>Device ID</t>
  </si>
  <si>
    <t>F5</t>
  </si>
  <si>
    <t>Chart Data</t>
  </si>
  <si>
    <t>significance level</t>
  </si>
  <si>
    <t>D2</t>
  </si>
  <si>
    <r>
      <t xml:space="preserve">Derived values are colored red.  </t>
    </r>
    <r>
      <rPr>
        <sz val="11"/>
        <color indexed="8"/>
        <rFont val="Times New Roman"/>
        <family val="1"/>
      </rPr>
      <t>These cells contain formulas that should not be changed.  The</t>
    </r>
  </si>
  <si>
    <t>cells are protected to prevent alteration.</t>
  </si>
  <si>
    <t>How to Use the Worksheets</t>
  </si>
  <si>
    <t>Step 1:</t>
  </si>
  <si>
    <t>Enter the elapsed times (all in the same units) and corresponding tube weights</t>
  </si>
  <si>
    <r>
      <t xml:space="preserve">in the </t>
    </r>
    <r>
      <rPr>
        <b/>
        <sz val="11"/>
        <rFont val="Times New Roman"/>
      </rPr>
      <t>Data</t>
    </r>
    <r>
      <rPr>
        <sz val="11"/>
        <rFont val="Times New Roman"/>
        <family val="1"/>
      </rPr>
      <t xml:space="preserve"> worksheet.  The worksheet will compute the total weight loss for</t>
    </r>
  </si>
  <si>
    <t>each observation.</t>
  </si>
  <si>
    <t>Step 2:</t>
  </si>
  <si>
    <r>
      <t xml:space="preserve">Follow the steps of the </t>
    </r>
    <r>
      <rPr>
        <b/>
        <sz val="11"/>
        <rFont val="Times New Roman"/>
      </rPr>
      <t>Regression</t>
    </r>
    <r>
      <rPr>
        <sz val="11"/>
        <rFont val="Times New Roman"/>
        <family val="1"/>
      </rPr>
      <t xml:space="preserve"> worksheet.  Those steps involve reviewing the</t>
    </r>
  </si>
  <si>
    <t>regression line's coefficients.  The intercept should be consistent with the initial weight</t>
  </si>
  <si>
    <t>and the slope's uncertainty should be less than 1%.</t>
  </si>
  <si>
    <r>
      <t xml:space="preserve">Examine the </t>
    </r>
    <r>
      <rPr>
        <b/>
        <sz val="11"/>
        <rFont val="Times New Roman"/>
      </rPr>
      <t>Calibration Curve</t>
    </r>
    <r>
      <rPr>
        <sz val="11"/>
        <rFont val="Times New Roman"/>
        <family val="1"/>
      </rPr>
      <t xml:space="preserve"> chart.  You may need to adjust the chart's axis scaling.</t>
    </r>
  </si>
  <si>
    <t>The points should appear to fall virtually on top of the black line.  The black line should be</t>
  </si>
  <si>
    <t>very close to its confidence bands (colored red and blue).  To adjust the "closeness" of</t>
  </si>
  <si>
    <r>
      <t xml:space="preserve">the confidence bands, change the significance level of cell D2 in the </t>
    </r>
    <r>
      <rPr>
        <b/>
        <sz val="11"/>
        <rFont val="Times New Roman"/>
      </rPr>
      <t>Chart Data</t>
    </r>
    <r>
      <rPr>
        <sz val="11"/>
        <rFont val="Times New Roman"/>
        <family val="1"/>
      </rPr>
      <t xml:space="preserve"> </t>
    </r>
  </si>
  <si>
    <t>worksheet.</t>
  </si>
  <si>
    <t>Step 3:</t>
  </si>
  <si>
    <r>
      <t xml:space="preserve">Examine the </t>
    </r>
    <r>
      <rPr>
        <b/>
        <sz val="11"/>
        <rFont val="Times New Roman"/>
      </rPr>
      <t>Residual</t>
    </r>
    <r>
      <rPr>
        <sz val="11"/>
        <rFont val="Times New Roman"/>
        <family val="1"/>
      </rPr>
      <t xml:space="preserve"> worksheet.  The residuals should appear to be random in both</t>
    </r>
  </si>
  <si>
    <t>magnitude and direction.  If they appear to follow a regular pattern, then the simple linear</t>
  </si>
  <si>
    <t>model is not appropriate.  The device does not have a constant rate of weight loss.  More</t>
  </si>
  <si>
    <t>time may be required to establish and measure a linear relationship.  Observations taken</t>
  </si>
  <si>
    <t>before the linear relationship is established should be discarded and not used in the</t>
  </si>
  <si>
    <t>statistical analysis.</t>
  </si>
  <si>
    <t>Step 4:</t>
  </si>
  <si>
    <r>
      <t xml:space="preserve">Print the one-page report provided in the </t>
    </r>
    <r>
      <rPr>
        <b/>
        <sz val="11"/>
        <rFont val="Times New Roman"/>
      </rPr>
      <t>Report</t>
    </r>
    <r>
      <rPr>
        <sz val="11"/>
        <rFont val="Times New Roman"/>
        <family val="1"/>
      </rPr>
      <t xml:space="preserve"> sheet.  The report summarizes the assay</t>
    </r>
  </si>
  <si>
    <t xml:space="preserve">data and indicates the uncertainty of the estimate.  </t>
  </si>
  <si>
    <t>DATA ENTRY WORKSHEET</t>
  </si>
  <si>
    <t>Elapsed</t>
  </si>
  <si>
    <t>Time</t>
  </si>
  <si>
    <t>Weight</t>
  </si>
  <si>
    <t>i</t>
  </si>
  <si>
    <r>
      <t>X</t>
    </r>
    <r>
      <rPr>
        <b/>
        <vertAlign val="subscript"/>
        <sz val="12"/>
        <rFont val="Times New Roman"/>
        <family val="1"/>
      </rPr>
      <t>i</t>
    </r>
  </si>
  <si>
    <r>
      <t>Y</t>
    </r>
    <r>
      <rPr>
        <b/>
        <vertAlign val="subscript"/>
        <sz val="12"/>
        <rFont val="Times New Roman"/>
        <family val="1"/>
      </rPr>
      <t>i</t>
    </r>
  </si>
  <si>
    <r>
      <t>Enter the data in the blue bordered spaces.</t>
    </r>
    <r>
      <rPr>
        <sz val="11"/>
        <rFont val="Times New Roman"/>
        <family val="1"/>
      </rPr>
      <t xml:space="preserve">  The first</t>
    </r>
  </si>
  <si>
    <r>
      <t>column (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 xml:space="preserve">) is for the elapsed time.  The time of the first </t>
    </r>
  </si>
  <si>
    <r>
      <t>entry should be zero.  The second column (</t>
    </r>
    <r>
      <rPr>
        <b/>
        <sz val="11"/>
        <rFont val="Times New Roman"/>
        <family val="1"/>
      </rPr>
      <t>Y</t>
    </r>
    <r>
      <rPr>
        <sz val="11"/>
        <rFont val="Times New Roman"/>
        <family val="1"/>
      </rPr>
      <t xml:space="preserve">) is for the tube </t>
    </r>
  </si>
  <si>
    <t>weights.</t>
  </si>
  <si>
    <t>n = number of weighings.  This can't exceed 50.</t>
  </si>
  <si>
    <t xml:space="preserve">n = </t>
  </si>
  <si>
    <r>
      <t xml:space="preserve">No data entry is required for derived values, </t>
    </r>
    <r>
      <rPr>
        <sz val="11"/>
        <color indexed="10"/>
        <rFont val="Times New Roman"/>
        <family val="1"/>
      </rPr>
      <t>which are</t>
    </r>
  </si>
  <si>
    <r>
      <t>colored red, such as n and i.</t>
    </r>
    <r>
      <rPr>
        <sz val="11"/>
        <rFont val="Times New Roman"/>
        <family val="1"/>
      </rPr>
      <t xml:space="preserve">  These values are tabulated</t>
    </r>
  </si>
  <si>
    <t>automatically and their cells are protected from alteration.</t>
  </si>
  <si>
    <t>Multiple weighings at a single point in time requires multiple</t>
  </si>
  <si>
    <r>
      <t xml:space="preserve">entries in each column.  Reenter the time in column </t>
    </r>
    <r>
      <rPr>
        <b/>
        <sz val="11"/>
        <rFont val="Times New Roman"/>
      </rPr>
      <t>X</t>
    </r>
    <r>
      <rPr>
        <sz val="11"/>
        <rFont val="Times New Roman"/>
        <family val="1"/>
      </rPr>
      <t xml:space="preserve"> and</t>
    </r>
  </si>
  <si>
    <r>
      <t xml:space="preserve">enter the corresponding weight in column </t>
    </r>
    <r>
      <rPr>
        <b/>
        <sz val="11"/>
        <rFont val="Times New Roman"/>
      </rPr>
      <t>Y</t>
    </r>
    <r>
      <rPr>
        <sz val="11"/>
        <rFont val="Times New Roman"/>
        <family val="1"/>
      </rPr>
      <t>.</t>
    </r>
  </si>
  <si>
    <t>Enter the time and weight units in the spaces below:</t>
  </si>
  <si>
    <t xml:space="preserve">Unit of Time = </t>
  </si>
  <si>
    <t>m</t>
  </si>
  <si>
    <t xml:space="preserve">Unit of Weight = </t>
  </si>
  <si>
    <t>g</t>
  </si>
  <si>
    <r>
      <t>= Max (X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</si>
  <si>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r>
      <t>= Min (Y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</si>
  <si>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t>WORKSHEET MODEL: LINEAR WITH NON-ZERO INTERCEPT</t>
  </si>
  <si>
    <r>
      <t>This sheet derives the regression equation in the form:  y =</t>
    </r>
    <r>
      <rPr>
        <b/>
        <sz val="11"/>
        <rFont val="Times New Roman"/>
      </rPr>
      <t xml:space="preserve"> 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+ </t>
    </r>
    <r>
      <rPr>
        <b/>
        <sz val="11"/>
        <rFont val="Times New Roman"/>
      </rPr>
      <t>b</t>
    </r>
    <r>
      <rPr>
        <b/>
        <vertAlign val="subscript"/>
        <sz val="11"/>
        <rFont val="Times New Roman"/>
        <family val="1"/>
      </rPr>
      <t>1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x + </t>
    </r>
    <r>
      <rPr>
        <sz val="11"/>
        <rFont val="Symbol"/>
        <family val="1"/>
        <charset val="2"/>
      </rPr>
      <t>e</t>
    </r>
    <r>
      <rPr>
        <sz val="11"/>
        <rFont val="Times New Roman"/>
        <family val="1"/>
      </rPr>
      <t>.  The intercept</t>
    </r>
  </si>
  <si>
    <t>and slope are estimated.  The sheet determines whether the intercept (weight estimated for</t>
  </si>
  <si>
    <t>time zero) is significantly different from the observed weight at time zero.  It also estimates the</t>
  </si>
  <si>
    <t>uncertainty in the slope estimate and compares this uncertainty with EPA's 1% limit. Reference:</t>
  </si>
  <si>
    <t>Appendix A, EPA Traceability Protocol Assay and Certification of Gaseous Calibration</t>
  </si>
  <si>
    <t>Standards, USEPA, 1997.</t>
  </si>
  <si>
    <t>STEP 1</t>
  </si>
  <si>
    <r>
      <t xml:space="preserve">Review the estimates of the intercept </t>
    </r>
    <r>
      <rPr>
        <b/>
        <sz val="11"/>
        <rFont val="Times New Roman"/>
      </rPr>
      <t>(b</t>
    </r>
    <r>
      <rPr>
        <b/>
        <vertAlign val="subscript"/>
        <sz val="11"/>
        <rFont val="Times New Roman"/>
        <family val="1"/>
      </rPr>
      <t>o</t>
    </r>
    <r>
      <rPr>
        <b/>
        <sz val="11"/>
        <rFont val="Times New Roman"/>
        <family val="1"/>
      </rPr>
      <t>)</t>
    </r>
    <r>
      <rPr>
        <sz val="11"/>
        <rFont val="Times New Roman"/>
      </rPr>
      <t xml:space="preserve">, slope of the regression line </t>
    </r>
    <r>
      <rPr>
        <b/>
        <sz val="11"/>
        <rFont val="Times New Roman"/>
      </rPr>
      <t>(b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</rPr>
      <t>)</t>
    </r>
    <r>
      <rPr>
        <sz val="11"/>
        <rFont val="Times New Roman"/>
      </rPr>
      <t>, and their</t>
    </r>
  </si>
  <si>
    <r>
      <t xml:space="preserve">confidence limits along with the estimates of variance-covariance matrix </t>
    </r>
    <r>
      <rPr>
        <b/>
        <sz val="11"/>
        <rFont val="Times New Roman"/>
      </rPr>
      <t>(V)</t>
    </r>
    <r>
      <rPr>
        <sz val="11"/>
        <rFont val="Times New Roman"/>
        <family val="1"/>
      </rPr>
      <t xml:space="preserve"> and the </t>
    </r>
  </si>
  <si>
    <r>
      <t xml:space="preserve">residual error variance </t>
    </r>
    <r>
      <rPr>
        <b/>
        <sz val="11"/>
        <rFont val="Times New Roman"/>
      </rPr>
      <t>(Var)</t>
    </r>
    <r>
      <rPr>
        <sz val="11"/>
        <rFont val="Times New Roman"/>
        <family val="1"/>
      </rPr>
      <t>.</t>
    </r>
  </si>
  <si>
    <r>
      <t xml:space="preserve">Derivation of the estimated intercept </t>
    </r>
    <r>
      <rPr>
        <b/>
        <sz val="11"/>
        <rFont val="Times New Roman"/>
      </rPr>
      <t>(b</t>
    </r>
    <r>
      <rPr>
        <b/>
        <vertAlign val="subscript"/>
        <sz val="11"/>
        <rFont val="Times New Roman"/>
      </rPr>
      <t>0</t>
    </r>
    <r>
      <rPr>
        <b/>
        <sz val="11"/>
        <rFont val="Times New Roman"/>
      </rPr>
      <t>)</t>
    </r>
    <r>
      <rPr>
        <sz val="11"/>
        <rFont val="Times New Roman"/>
        <family val="1"/>
      </rPr>
      <t xml:space="preserve"> and slope </t>
    </r>
    <r>
      <rPr>
        <b/>
        <sz val="11"/>
        <rFont val="Times New Roman"/>
      </rPr>
      <t>(b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</rPr>
      <t>)</t>
    </r>
    <r>
      <rPr>
        <sz val="11"/>
        <rFont val="Times New Roman"/>
      </rPr>
      <t xml:space="preserve"> of the regression line</t>
    </r>
  </si>
  <si>
    <r>
      <t>X'X</t>
    </r>
    <r>
      <rPr>
        <sz val="10"/>
        <rFont val="Times New Roman"/>
        <family val="1"/>
      </rPr>
      <t xml:space="preserve"> =</t>
    </r>
  </si>
  <si>
    <r>
      <t>Y'Y</t>
    </r>
    <r>
      <rPr>
        <sz val="10"/>
        <rFont val="Times New Roman"/>
        <family val="1"/>
      </rPr>
      <t xml:space="preserve"> =</t>
    </r>
  </si>
  <si>
    <t>95% Confidence Limits</t>
  </si>
  <si>
    <t>df =</t>
  </si>
  <si>
    <r>
      <t>b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lower limit =</t>
    </r>
  </si>
  <si>
    <r>
      <t>(</t>
    </r>
    <r>
      <rPr>
        <b/>
        <sz val="10"/>
        <rFont val="Times New Roman"/>
        <family val="1"/>
      </rPr>
      <t>X'X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= </t>
    </r>
  </si>
  <si>
    <t>t(0.95, df) =</t>
  </si>
  <si>
    <r>
      <t>b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upper limit =</t>
    </r>
  </si>
  <si>
    <t>det(X'X) =</t>
  </si>
  <si>
    <r>
      <t>b</t>
    </r>
    <r>
      <rPr>
        <b/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</t>
    </r>
  </si>
  <si>
    <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lower limit =</t>
    </r>
  </si>
  <si>
    <r>
      <t>X'Y</t>
    </r>
    <r>
      <rPr>
        <sz val="10"/>
        <rFont val="Times New Roman"/>
        <family val="1"/>
      </rPr>
      <t xml:space="preserve"> =</t>
    </r>
  </si>
  <si>
    <r>
      <t>b</t>
    </r>
    <r>
      <rPr>
        <b/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</si>
  <si>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upper limit =</t>
    </r>
  </si>
  <si>
    <r>
      <t xml:space="preserve">Derivation of the error variance </t>
    </r>
    <r>
      <rPr>
        <b/>
        <sz val="11"/>
        <rFont val="Times New Roman"/>
        <family val="1"/>
      </rPr>
      <t>(Var)</t>
    </r>
    <r>
      <rPr>
        <sz val="11"/>
        <rFont val="Times New Roman"/>
        <family val="1"/>
      </rPr>
      <t xml:space="preserve"> and variance-covariance matrix </t>
    </r>
    <r>
      <rPr>
        <b/>
        <sz val="11"/>
        <rFont val="Times New Roman"/>
      </rPr>
      <t>(V)</t>
    </r>
  </si>
  <si>
    <r>
      <t>b'X'Y</t>
    </r>
    <r>
      <rPr>
        <sz val="10"/>
        <rFont val="Times New Roman"/>
        <family val="1"/>
      </rPr>
      <t xml:space="preserve"> = </t>
    </r>
  </si>
  <si>
    <t>SS(model), 2df</t>
  </si>
  <si>
    <r>
      <t xml:space="preserve">b'X'Y - </t>
    </r>
    <r>
      <rPr>
        <sz val="10"/>
        <rFont val="Times New Roman"/>
      </rPr>
      <t>sum(</t>
    </r>
    <r>
      <rPr>
        <b/>
        <sz val="10"/>
        <rFont val="Times New Roman"/>
      </rPr>
      <t>Y</t>
    </r>
    <r>
      <rPr>
        <sz val="10"/>
        <rFont val="Times New Roman"/>
      </rPr>
      <t>)</t>
    </r>
    <r>
      <rPr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/ </t>
    </r>
    <r>
      <rPr>
        <sz val="10"/>
        <rFont val="Times New Roman"/>
      </rPr>
      <t>n</t>
    </r>
    <r>
      <rPr>
        <b/>
        <sz val="10"/>
        <rFont val="Times New Roman"/>
        <family val="1"/>
      </rPr>
      <t xml:space="preserve"> = </t>
    </r>
  </si>
  <si>
    <t>SS(regression) 1df</t>
  </si>
  <si>
    <r>
      <t xml:space="preserve"> (Y'Y - b'X'Y)</t>
    </r>
    <r>
      <rPr>
        <sz val="10"/>
        <rFont val="Times New Roman"/>
        <family val="1"/>
      </rPr>
      <t xml:space="preserve"> = </t>
    </r>
  </si>
  <si>
    <t>SS(residual)</t>
  </si>
  <si>
    <r>
      <t>Var</t>
    </r>
    <r>
      <rPr>
        <sz val="10"/>
        <rFont val="Times New Roman"/>
        <family val="1"/>
      </rPr>
      <t xml:space="preserve"> =</t>
    </r>
    <r>
      <rPr>
        <b/>
        <sz val="10"/>
        <rFont val="Times New Roman"/>
        <family val="1"/>
      </rPr>
      <t xml:space="preserve"> (Y'Y - b'X'Y) / </t>
    </r>
    <r>
      <rPr>
        <sz val="10"/>
        <rFont val="Times New Roman"/>
        <family val="1"/>
      </rPr>
      <t xml:space="preserve">df = </t>
    </r>
  </si>
  <si>
    <t>MS(residual), n-2 df</t>
  </si>
  <si>
    <r>
      <t>V</t>
    </r>
    <r>
      <rPr>
        <sz val="12"/>
        <rFont val="Arial"/>
      </rPr>
      <t xml:space="preserve"> = Var * (</t>
    </r>
    <r>
      <rPr>
        <b/>
        <sz val="10"/>
        <rFont val="Times New Roman"/>
      </rPr>
      <t>X'X</t>
    </r>
    <r>
      <rPr>
        <sz val="12"/>
        <rFont val="Arial"/>
      </rPr>
      <t>)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= </t>
    </r>
  </si>
  <si>
    <t>STEP 2</t>
  </si>
  <si>
    <r>
      <t xml:space="preserve">Examine the upper and lower limits for the intercept, </t>
    </r>
    <r>
      <rPr>
        <b/>
        <sz val="11"/>
        <rFont val="Times New Roman"/>
      </rPr>
      <t>b</t>
    </r>
    <r>
      <rPr>
        <b/>
        <vertAlign val="subscript"/>
        <sz val="11"/>
        <rFont val="Times New Roman"/>
      </rPr>
      <t>0</t>
    </r>
    <r>
      <rPr>
        <sz val="11"/>
        <rFont val="Times New Roman"/>
      </rPr>
      <t xml:space="preserve"> and compare with the initial weight.</t>
    </r>
  </si>
  <si>
    <r>
      <t>b</t>
    </r>
    <r>
      <rPr>
        <b/>
        <vertAlign val="subscript"/>
        <sz val="10"/>
        <rFont val="Times New Roman"/>
      </rPr>
      <t>0</t>
    </r>
    <r>
      <rPr>
        <sz val="12"/>
        <rFont val="Arial"/>
      </rPr>
      <t xml:space="preserve"> </t>
    </r>
    <r>
      <rPr>
        <sz val="11"/>
        <rFont val="Times New Roman"/>
        <family val="1"/>
      </rPr>
      <t>lower limit =</t>
    </r>
  </si>
  <si>
    <r>
      <t>b</t>
    </r>
    <r>
      <rPr>
        <b/>
        <vertAlign val="subscript"/>
        <sz val="10"/>
        <rFont val="Times New Roman"/>
      </rPr>
      <t>0</t>
    </r>
    <r>
      <rPr>
        <sz val="12"/>
        <rFont val="Arial"/>
      </rPr>
      <t xml:space="preserve"> </t>
    </r>
    <r>
      <rPr>
        <sz val="11"/>
        <rFont val="Times New Roman"/>
        <family val="1"/>
      </rPr>
      <t>upper limit =</t>
    </r>
  </si>
  <si>
    <r>
      <t>y</t>
    </r>
    <r>
      <rPr>
        <b/>
        <vertAlign val="subscript"/>
        <sz val="10"/>
        <rFont val="Times New Roman"/>
      </rPr>
      <t>0</t>
    </r>
    <r>
      <rPr>
        <sz val="12"/>
        <rFont val="Arial"/>
      </rPr>
      <t xml:space="preserve"> =</t>
    </r>
  </si>
  <si>
    <r>
      <t xml:space="preserve">If </t>
    </r>
    <r>
      <rPr>
        <b/>
        <sz val="11"/>
        <rFont val="Times New Roman"/>
      </rPr>
      <t>y</t>
    </r>
    <r>
      <rPr>
        <b/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is within the confidence limits for the intercept, proceed to STEP 3.  Otherwise, consider</t>
    </r>
  </si>
  <si>
    <t xml:space="preserve">removing the first observed weight from the analysis.  Re-enter the times and weights. </t>
  </si>
  <si>
    <r>
      <t>Remember that the first time (</t>
    </r>
    <r>
      <rPr>
        <b/>
        <sz val="11"/>
        <rFont val="Times New Roman"/>
      </rPr>
      <t>X</t>
    </r>
    <r>
      <rPr>
        <b/>
        <vertAlign val="subscript"/>
        <sz val="11"/>
        <rFont val="Times New Roman"/>
      </rPr>
      <t>0</t>
    </r>
    <r>
      <rPr>
        <sz val="11"/>
        <rFont val="Times New Roman"/>
        <family val="1"/>
      </rPr>
      <t xml:space="preserve">) should be zero.  This will require adjustment of the other </t>
    </r>
  </si>
  <si>
    <t>elapsed times. After entering the data, return to STEP 1, above.</t>
  </si>
  <si>
    <t>STEP 3</t>
  </si>
  <si>
    <r>
      <t xml:space="preserve">Examine the upper and lower limits for the slope, </t>
    </r>
    <r>
      <rPr>
        <b/>
        <sz val="11"/>
        <rFont val="Times New Roman"/>
      </rPr>
      <t>b</t>
    </r>
    <r>
      <rPr>
        <b/>
        <vertAlign val="subscript"/>
        <sz val="11"/>
        <rFont val="Times New Roman"/>
      </rPr>
      <t>1</t>
    </r>
    <r>
      <rPr>
        <sz val="11"/>
        <rFont val="Times New Roman"/>
        <family val="1"/>
      </rPr>
      <t>.  The limits should differ from</t>
    </r>
  </si>
  <si>
    <t>the estimate by no more than +/- 1% of the estimated slope.</t>
  </si>
  <si>
    <r>
      <t>(b</t>
    </r>
    <r>
      <rPr>
        <b/>
        <vertAlign val="subscript"/>
        <sz val="10"/>
        <rFont val="Times New Roman"/>
      </rPr>
      <t>1 upper</t>
    </r>
    <r>
      <rPr>
        <b/>
        <sz val="10"/>
        <rFont val="Times New Roman"/>
      </rPr>
      <t xml:space="preserve"> - b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) / |b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| =</t>
    </r>
  </si>
  <si>
    <r>
      <t>(b</t>
    </r>
    <r>
      <rPr>
        <b/>
        <vertAlign val="subscript"/>
        <sz val="10"/>
        <rFont val="Times New Roman"/>
      </rPr>
      <t>1 lower</t>
    </r>
    <r>
      <rPr>
        <b/>
        <sz val="10"/>
        <rFont val="Times New Roman"/>
      </rPr>
      <t xml:space="preserve"> - b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) / |b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| =</t>
    </r>
  </si>
  <si>
    <r>
      <t xml:space="preserve">If the uncertainty is unacceptable, consider collecting additional data.  Also, view the </t>
    </r>
    <r>
      <rPr>
        <b/>
        <sz val="11"/>
        <rFont val="Times New Roman"/>
      </rPr>
      <t>Curve</t>
    </r>
    <r>
      <rPr>
        <sz val="11"/>
        <rFont val="Times New Roman"/>
        <family val="1"/>
      </rPr>
      <t xml:space="preserve"> and</t>
    </r>
  </si>
  <si>
    <r>
      <t>Residual</t>
    </r>
    <r>
      <rPr>
        <sz val="11"/>
        <rFont val="Times New Roman"/>
        <family val="1"/>
      </rPr>
      <t xml:space="preserve"> plots.  They may reveal a nonlinear relationship for a portion of the data.  The initial</t>
    </r>
  </si>
  <si>
    <t>measurements may not align with subsequent measurements if the device was in the process of</t>
  </si>
  <si>
    <r>
      <t xml:space="preserve">stabilizing or equilibrating during those times.  If this is the case, the initial points of the </t>
    </r>
    <r>
      <rPr>
        <b/>
        <sz val="11"/>
        <rFont val="Times New Roman"/>
      </rPr>
      <t>Residual</t>
    </r>
  </si>
  <si>
    <t>chart would appear to be outliers.  The residuals of will the same sign (all positive or all</t>
  </si>
  <si>
    <t xml:space="preserve">negative) and their magnitude will likely be greater than the magnitude of subsequent residuals. </t>
  </si>
  <si>
    <t>If this is the case, consider removing the initial points from the computations and re-enter the</t>
  </si>
  <si>
    <t>remaining times and weights with the times adjusted so the first entry has time zero.</t>
  </si>
  <si>
    <r>
      <t xml:space="preserve">If the uncertainty is acceptable, print the </t>
    </r>
    <r>
      <rPr>
        <b/>
        <sz val="11"/>
        <rFont val="Times New Roman"/>
      </rPr>
      <t>Report</t>
    </r>
    <r>
      <rPr>
        <sz val="11"/>
        <rFont val="Times New Roman"/>
        <family val="1"/>
      </rPr>
      <t xml:space="preserve"> spreadsheet and include it with the</t>
    </r>
  </si>
  <si>
    <t>certification documentation.</t>
  </si>
  <si>
    <t>ASSAY RESULTS FOR PERMEATION DEVICE</t>
  </si>
  <si>
    <t>This sheet provides calibration information and assay results, including uncertainty estimates</t>
  </si>
  <si>
    <t>for a permeation device identified as:</t>
  </si>
  <si>
    <t>testdata</t>
  </si>
  <si>
    <t>Reference:  Appendix B, EPA Traceability Protocol Assay and Certification of Gaseous</t>
  </si>
  <si>
    <t>Calibration Standards, USEPA, 1997.</t>
  </si>
  <si>
    <t>Test Results</t>
  </si>
  <si>
    <r>
      <t xml:space="preserve">Intercept </t>
    </r>
    <r>
      <rPr>
        <b/>
        <sz val="11"/>
        <rFont val="Times New Roman"/>
      </rPr>
      <t>(b</t>
    </r>
    <r>
      <rPr>
        <b/>
        <vertAlign val="subscript"/>
        <sz val="11"/>
        <rFont val="Times New Roman"/>
      </rPr>
      <t>0</t>
    </r>
    <r>
      <rPr>
        <b/>
        <sz val="11"/>
        <rFont val="Times New Roman"/>
      </rPr>
      <t>)</t>
    </r>
    <r>
      <rPr>
        <sz val="11"/>
        <rFont val="Times New Roman"/>
        <family val="1"/>
      </rPr>
      <t xml:space="preserve">, slope </t>
    </r>
    <r>
      <rPr>
        <b/>
        <sz val="11"/>
        <rFont val="Times New Roman"/>
      </rPr>
      <t>(b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</rPr>
      <t>)</t>
    </r>
    <r>
      <rPr>
        <sz val="11"/>
        <rFont val="Times New Roman"/>
      </rPr>
      <t>, and their confidence limits</t>
    </r>
  </si>
  <si>
    <r>
      <t xml:space="preserve">Error variance </t>
    </r>
    <r>
      <rPr>
        <b/>
        <sz val="11"/>
        <rFont val="Times New Roman"/>
        <family val="1"/>
      </rPr>
      <t>(Var)</t>
    </r>
    <r>
      <rPr>
        <sz val="11"/>
        <rFont val="Times New Roman"/>
        <family val="1"/>
      </rPr>
      <t xml:space="preserve"> and variance-covariance matrix </t>
    </r>
    <r>
      <rPr>
        <b/>
        <sz val="11"/>
        <rFont val="Times New Roman"/>
      </rPr>
      <t>(V)</t>
    </r>
    <r>
      <rPr>
        <sz val="11"/>
        <rFont val="Times New Roman"/>
      </rPr>
      <t>.</t>
    </r>
  </si>
  <si>
    <r>
      <t xml:space="preserve">Upper and lower limits for the intercept, </t>
    </r>
    <r>
      <rPr>
        <b/>
        <sz val="11"/>
        <rFont val="Times New Roman"/>
      </rPr>
      <t>b</t>
    </r>
    <r>
      <rPr>
        <b/>
        <vertAlign val="subscript"/>
        <sz val="11"/>
        <rFont val="Times New Roman"/>
      </rPr>
      <t>0</t>
    </r>
    <r>
      <rPr>
        <b/>
        <sz val="11"/>
        <rFont val="Times New Roman"/>
      </rPr>
      <t>:</t>
    </r>
  </si>
  <si>
    <r>
      <t xml:space="preserve">Upper and lower limits for the slope, </t>
    </r>
    <r>
      <rPr>
        <b/>
        <sz val="11"/>
        <rFont val="Times New Roman"/>
      </rPr>
      <t>b</t>
    </r>
    <r>
      <rPr>
        <b/>
        <vertAlign val="subscript"/>
        <sz val="11"/>
        <rFont val="Times New Roman"/>
      </rPr>
      <t>1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</t>
    </r>
  </si>
  <si>
    <r>
      <t xml:space="preserve">Estimated rate of weight loss, </t>
    </r>
    <r>
      <rPr>
        <b/>
        <sz val="11"/>
        <rFont val="Times New Roman"/>
      </rPr>
      <t>b</t>
    </r>
    <r>
      <rPr>
        <b/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=</t>
    </r>
  </si>
  <si>
    <t>Significance Level =</t>
  </si>
  <si>
    <t>(This sig level is for charting purposes only.)</t>
  </si>
  <si>
    <t>1 - Conf Level =</t>
  </si>
  <si>
    <t>t =</t>
  </si>
  <si>
    <t xml:space="preserve"> level =</t>
  </si>
  <si>
    <t>Title =</t>
  </si>
  <si>
    <t>Line</t>
  </si>
  <si>
    <t>Error Components</t>
  </si>
  <si>
    <t xml:space="preserve">  Chart Data</t>
  </si>
  <si>
    <t>Est.</t>
  </si>
  <si>
    <t>Pred.</t>
  </si>
  <si>
    <t>Case 2</t>
  </si>
  <si>
    <t>X</t>
  </si>
  <si>
    <r>
      <t>X</t>
    </r>
    <r>
      <rPr>
        <vertAlign val="superscript"/>
        <sz val="10"/>
        <rFont val="Times New Roman"/>
        <family val="1"/>
      </rPr>
      <t>2</t>
    </r>
  </si>
  <si>
    <t>Y</t>
  </si>
  <si>
    <t>Y-hat</t>
  </si>
  <si>
    <t>Residual</t>
  </si>
  <si>
    <t>Lower</t>
  </si>
  <si>
    <t>Upper</t>
  </si>
  <si>
    <t>Var</t>
  </si>
  <si>
    <t>x'Vx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</si>
</sst>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E+00"/>
    <numFmt numFmtId="165" formatCode="0.000"/>
  </numFmts>
  <fonts count="37" x14ac:knownFonts="1">
    <font>
      <sz val="12"/>
      <name val="Arial"/>
    </font>
    <font>
      <sz val="12"/>
      <name val="Arial"/>
    </font>
    <font>
      <b/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</font>
    <font>
      <sz val="11"/>
      <name val="Times New Roman"/>
    </font>
    <font>
      <b/>
      <u/>
      <sz val="11"/>
      <name val="Times New Roman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  <font>
      <u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u/>
      <sz val="14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</font>
    <font>
      <sz val="10"/>
      <color indexed="16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name val="Symbol"/>
      <family val="1"/>
      <charset val="2"/>
    </font>
    <font>
      <b/>
      <vertAlign val="subscript"/>
      <sz val="11"/>
      <name val="Times New Roman"/>
    </font>
    <font>
      <b/>
      <sz val="10"/>
      <name val="Times New Roman"/>
      <family val="1"/>
    </font>
    <font>
      <b/>
      <u/>
      <sz val="10"/>
      <name val="Times New Roman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</font>
    <font>
      <b/>
      <sz val="10"/>
      <name val="Times New Roman"/>
    </font>
    <font>
      <b/>
      <vertAlign val="subscript"/>
      <sz val="10"/>
      <name val="Times New Roman"/>
    </font>
    <font>
      <i/>
      <sz val="11"/>
      <name val="Times New Roman"/>
    </font>
    <font>
      <sz val="10"/>
      <color indexed="12"/>
      <name val="Times New Roman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/>
      <bottom style="dotted">
        <color indexed="10"/>
      </bottom>
      <diagonal/>
    </border>
    <border>
      <left/>
      <right/>
      <top/>
      <bottom style="dotted">
        <color indexed="10"/>
      </bottom>
      <diagonal/>
    </border>
    <border>
      <left/>
      <right style="thin">
        <color indexed="64"/>
      </right>
      <top/>
      <bottom style="dotted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2" borderId="1" xfId="0" quotePrefix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quotePrefix="1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5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0" xfId="0" applyBorder="1"/>
    <xf numFmtId="0" fontId="6" fillId="0" borderId="0" xfId="0" quotePrefix="1" applyFont="1" applyAlignment="1">
      <alignment horizontal="left"/>
    </xf>
    <xf numFmtId="0" fontId="0" fillId="0" borderId="4" xfId="0" applyBorder="1"/>
    <xf numFmtId="0" fontId="6" fillId="0" borderId="4" xfId="0" quotePrefix="1" applyFont="1" applyBorder="1" applyAlignment="1">
      <alignment horizontal="left"/>
    </xf>
    <xf numFmtId="0" fontId="0" fillId="0" borderId="0" xfId="0" quotePrefix="1" applyAlignment="1">
      <alignment horizontal="left"/>
    </xf>
    <xf numFmtId="0" fontId="6" fillId="0" borderId="0" xfId="0" applyFont="1" applyBorder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4" xfId="0" quotePrefix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12" fillId="0" borderId="0" xfId="0" applyFont="1" applyBorder="1"/>
    <xf numFmtId="0" fontId="10" fillId="0" borderId="0" xfId="0" applyFont="1" applyBorder="1"/>
    <xf numFmtId="0" fontId="13" fillId="3" borderId="5" xfId="0" applyFont="1" applyFill="1" applyBorder="1" applyAlignment="1">
      <alignment horizontal="center"/>
    </xf>
    <xf numFmtId="0" fontId="12" fillId="3" borderId="6" xfId="0" applyFont="1" applyFill="1" applyBorder="1"/>
    <xf numFmtId="0" fontId="13" fillId="3" borderId="6" xfId="0" applyFont="1" applyFill="1" applyBorder="1" applyAlignment="1">
      <alignment horizontal="center"/>
    </xf>
    <xf numFmtId="0" fontId="12" fillId="3" borderId="7" xfId="0" applyFont="1" applyFill="1" applyBorder="1"/>
    <xf numFmtId="0" fontId="10" fillId="3" borderId="8" xfId="0" applyFont="1" applyFill="1" applyBorder="1" applyAlignment="1">
      <alignment horizontal="center"/>
    </xf>
    <xf numFmtId="0" fontId="12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2" fillId="3" borderId="9" xfId="0" applyFont="1" applyFill="1" applyBorder="1"/>
    <xf numFmtId="0" fontId="10" fillId="3" borderId="8" xfId="0" quotePrefix="1" applyFont="1" applyFill="1" applyBorder="1" applyAlignment="1">
      <alignment horizontal="center"/>
    </xf>
    <xf numFmtId="0" fontId="10" fillId="3" borderId="10" xfId="0" quotePrefix="1" applyFont="1" applyFill="1" applyBorder="1" applyAlignment="1">
      <alignment horizontal="center"/>
    </xf>
    <xf numFmtId="0" fontId="12" fillId="3" borderId="4" xfId="0" applyFont="1" applyFill="1" applyBorder="1"/>
    <xf numFmtId="0" fontId="10" fillId="3" borderId="4" xfId="0" applyFont="1" applyFill="1" applyBorder="1" applyAlignment="1">
      <alignment horizontal="center"/>
    </xf>
    <xf numFmtId="11" fontId="14" fillId="3" borderId="4" xfId="0" applyNumberFormat="1" applyFont="1" applyFill="1" applyBorder="1" applyAlignment="1">
      <alignment horizontal="center"/>
    </xf>
    <xf numFmtId="0" fontId="12" fillId="3" borderId="11" xfId="0" applyFont="1" applyFill="1" applyBorder="1"/>
    <xf numFmtId="0" fontId="14" fillId="0" borderId="0" xfId="0" quotePrefix="1" applyFont="1" applyAlignment="1">
      <alignment horizontal="left"/>
    </xf>
    <xf numFmtId="0" fontId="15" fillId="0" borderId="0" xfId="0" applyFont="1"/>
    <xf numFmtId="0" fontId="7" fillId="0" borderId="2" xfId="0" applyFont="1" applyBorder="1" applyAlignment="1">
      <alignment horizontal="center"/>
    </xf>
    <xf numFmtId="0" fontId="1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6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6" fillId="0" borderId="12" xfId="0" quotePrefix="1" applyFont="1" applyBorder="1" applyAlignment="1">
      <alignment horizontal="center"/>
    </xf>
    <xf numFmtId="0" fontId="0" fillId="0" borderId="8" xfId="0" applyBorder="1"/>
    <xf numFmtId="0" fontId="6" fillId="0" borderId="13" xfId="0" quotePrefix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11" fillId="0" borderId="0" xfId="0" quotePrefix="1" applyFont="1" applyAlignment="1">
      <alignment horizontal="left"/>
    </xf>
    <xf numFmtId="0" fontId="19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0" fillId="4" borderId="15" xfId="0" applyFont="1" applyFill="1" applyBorder="1" applyProtection="1">
      <protection locked="0"/>
    </xf>
    <xf numFmtId="0" fontId="20" fillId="4" borderId="16" xfId="0" applyFont="1" applyFill="1" applyBorder="1" applyProtection="1">
      <protection locked="0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0" fillId="4" borderId="17" xfId="0" applyFon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right"/>
    </xf>
    <xf numFmtId="0" fontId="20" fillId="4" borderId="17" xfId="0" quotePrefix="1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4" borderId="18" xfId="0" applyFont="1" applyFill="1" applyBorder="1" applyProtection="1">
      <protection locked="0"/>
    </xf>
    <xf numFmtId="0" fontId="15" fillId="0" borderId="4" xfId="0" applyFont="1" applyBorder="1"/>
    <xf numFmtId="0" fontId="0" fillId="0" borderId="0" xfId="0" quotePrefix="1" applyBorder="1" applyAlignment="1">
      <alignment horizontal="left"/>
    </xf>
    <xf numFmtId="0" fontId="15" fillId="0" borderId="0" xfId="0" applyFont="1" applyBorder="1"/>
    <xf numFmtId="0" fontId="7" fillId="2" borderId="19" xfId="0" quotePrefix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0" fillId="3" borderId="21" xfId="0" applyFill="1" applyBorder="1"/>
    <xf numFmtId="0" fontId="15" fillId="3" borderId="21" xfId="0" applyFont="1" applyFill="1" applyBorder="1"/>
    <xf numFmtId="0" fontId="15" fillId="3" borderId="22" xfId="0" applyFont="1" applyFill="1" applyBorder="1"/>
    <xf numFmtId="0" fontId="26" fillId="3" borderId="8" xfId="0" quotePrefix="1" applyFont="1" applyFill="1" applyBorder="1" applyAlignment="1">
      <alignment horizontal="right"/>
    </xf>
    <xf numFmtId="0" fontId="19" fillId="3" borderId="5" xfId="0" applyFont="1" applyFill="1" applyBorder="1"/>
    <xf numFmtId="0" fontId="19" fillId="3" borderId="7" xfId="0" applyFont="1" applyFill="1" applyBorder="1"/>
    <xf numFmtId="0" fontId="15" fillId="3" borderId="0" xfId="0" applyFont="1" applyFill="1" applyBorder="1"/>
    <xf numFmtId="0" fontId="26" fillId="3" borderId="0" xfId="0" quotePrefix="1" applyFont="1" applyFill="1" applyBorder="1" applyAlignment="1">
      <alignment horizontal="right"/>
    </xf>
    <xf numFmtId="0" fontId="19" fillId="3" borderId="0" xfId="0" applyFont="1" applyFill="1" applyBorder="1"/>
    <xf numFmtId="0" fontId="0" fillId="3" borderId="0" xfId="0" applyFill="1"/>
    <xf numFmtId="0" fontId="27" fillId="3" borderId="0" xfId="0" quotePrefix="1" applyFont="1" applyFill="1" applyAlignment="1">
      <alignment horizontal="center"/>
    </xf>
    <xf numFmtId="0" fontId="0" fillId="3" borderId="9" xfId="0" applyFill="1" applyBorder="1"/>
    <xf numFmtId="0" fontId="15" fillId="3" borderId="8" xfId="0" applyFont="1" applyFill="1" applyBorder="1"/>
    <xf numFmtId="0" fontId="19" fillId="3" borderId="10" xfId="0" applyFont="1" applyFill="1" applyBorder="1"/>
    <xf numFmtId="0" fontId="19" fillId="3" borderId="11" xfId="0" applyFont="1" applyFill="1" applyBorder="1"/>
    <xf numFmtId="0" fontId="0" fillId="3" borderId="0" xfId="0" applyFill="1" applyBorder="1"/>
    <xf numFmtId="0" fontId="15" fillId="3" borderId="0" xfId="0" quotePrefix="1" applyFont="1" applyFill="1" applyBorder="1" applyAlignment="1">
      <alignment horizontal="right"/>
    </xf>
    <xf numFmtId="0" fontId="19" fillId="3" borderId="9" xfId="0" applyFont="1" applyFill="1" applyBorder="1"/>
    <xf numFmtId="0" fontId="15" fillId="3" borderId="8" xfId="0" quotePrefix="1" applyFont="1" applyFill="1" applyBorder="1" applyAlignment="1">
      <alignment horizontal="right"/>
    </xf>
    <xf numFmtId="0" fontId="15" fillId="3" borderId="9" xfId="0" applyFont="1" applyFill="1" applyBorder="1"/>
    <xf numFmtId="0" fontId="19" fillId="3" borderId="0" xfId="0" quotePrefix="1" applyFont="1" applyFill="1" applyBorder="1" applyAlignment="1">
      <alignment horizontal="left"/>
    </xf>
    <xf numFmtId="0" fontId="19" fillId="3" borderId="12" xfId="0" applyFont="1" applyFill="1" applyBorder="1"/>
    <xf numFmtId="0" fontId="15" fillId="3" borderId="0" xfId="0" quotePrefix="1" applyFont="1" applyFill="1" applyBorder="1" applyAlignment="1">
      <alignment horizontal="left"/>
    </xf>
    <xf numFmtId="0" fontId="26" fillId="3" borderId="10" xfId="0" quotePrefix="1" applyFont="1" applyFill="1" applyBorder="1" applyAlignment="1">
      <alignment horizontal="left"/>
    </xf>
    <xf numFmtId="0" fontId="19" fillId="3" borderId="13" xfId="0" applyFont="1" applyFill="1" applyBorder="1"/>
    <xf numFmtId="0" fontId="15" fillId="3" borderId="4" xfId="0" applyFont="1" applyFill="1" applyBorder="1"/>
    <xf numFmtId="0" fontId="19" fillId="3" borderId="4" xfId="0" applyFont="1" applyFill="1" applyBorder="1"/>
    <xf numFmtId="0" fontId="15" fillId="3" borderId="11" xfId="0" applyFont="1" applyFill="1" applyBorder="1"/>
    <xf numFmtId="0" fontId="6" fillId="3" borderId="20" xfId="0" quotePrefix="1" applyFont="1" applyFill="1" applyBorder="1" applyAlignment="1">
      <alignment horizontal="left"/>
    </xf>
    <xf numFmtId="0" fontId="15" fillId="3" borderId="5" xfId="0" applyFont="1" applyFill="1" applyBorder="1"/>
    <xf numFmtId="0" fontId="26" fillId="3" borderId="6" xfId="0" applyFont="1" applyFill="1" applyBorder="1" applyAlignment="1">
      <alignment horizontal="right"/>
    </xf>
    <xf numFmtId="0" fontId="19" fillId="3" borderId="6" xfId="0" applyFont="1" applyFill="1" applyBorder="1"/>
    <xf numFmtId="0" fontId="0" fillId="3" borderId="6" xfId="0" applyFill="1" applyBorder="1"/>
    <xf numFmtId="0" fontId="15" fillId="3" borderId="6" xfId="0" applyFont="1" applyFill="1" applyBorder="1" applyAlignment="1">
      <alignment horizontal="right"/>
    </xf>
    <xf numFmtId="0" fontId="15" fillId="3" borderId="6" xfId="0" applyFont="1" applyFill="1" applyBorder="1"/>
    <xf numFmtId="0" fontId="15" fillId="3" borderId="7" xfId="0" applyFont="1" applyFill="1" applyBorder="1"/>
    <xf numFmtId="0" fontId="1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right"/>
    </xf>
    <xf numFmtId="0" fontId="0" fillId="3" borderId="8" xfId="0" applyFill="1" applyBorder="1"/>
    <xf numFmtId="0" fontId="32" fillId="3" borderId="0" xfId="0" quotePrefix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0" fontId="15" fillId="3" borderId="10" xfId="0" applyFont="1" applyFill="1" applyBorder="1"/>
    <xf numFmtId="0" fontId="26" fillId="3" borderId="4" xfId="0" quotePrefix="1" applyFont="1" applyFill="1" applyBorder="1" applyAlignment="1">
      <alignment horizontal="right"/>
    </xf>
    <xf numFmtId="0" fontId="0" fillId="3" borderId="4" xfId="0" applyFill="1" applyBorder="1"/>
    <xf numFmtId="0" fontId="0" fillId="3" borderId="11" xfId="0" applyFill="1" applyBorder="1"/>
    <xf numFmtId="0" fontId="6" fillId="0" borderId="4" xfId="0" applyFont="1" applyBorder="1"/>
    <xf numFmtId="0" fontId="19" fillId="0" borderId="4" xfId="0" applyFont="1" applyBorder="1"/>
    <xf numFmtId="0" fontId="8" fillId="0" borderId="0" xfId="0" quotePrefix="1" applyFont="1" applyAlignment="1">
      <alignment horizontal="left"/>
    </xf>
    <xf numFmtId="0" fontId="32" fillId="0" borderId="0" xfId="0" quotePrefix="1" applyFont="1" applyAlignment="1">
      <alignment horizontal="right"/>
    </xf>
    <xf numFmtId="0" fontId="19" fillId="0" borderId="0" xfId="0" applyFont="1"/>
    <xf numFmtId="10" fontId="19" fillId="0" borderId="0" xfId="1" applyNumberFormat="1" applyFont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20" fillId="4" borderId="23" xfId="0" quotePrefix="1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4" fillId="0" borderId="4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3" borderId="5" xfId="0" quotePrefix="1" applyFont="1" applyFill="1" applyBorder="1" applyAlignment="1">
      <alignment horizontal="right"/>
    </xf>
    <xf numFmtId="0" fontId="26" fillId="3" borderId="6" xfId="0" quotePrefix="1" applyFont="1" applyFill="1" applyBorder="1" applyAlignment="1">
      <alignment horizontal="right"/>
    </xf>
    <xf numFmtId="0" fontId="8" fillId="0" borderId="0" xfId="0" quotePrefix="1" applyFont="1" applyBorder="1" applyAlignment="1">
      <alignment horizontal="left"/>
    </xf>
    <xf numFmtId="0" fontId="19" fillId="0" borderId="0" xfId="0" applyFont="1" applyBorder="1"/>
    <xf numFmtId="164" fontId="14" fillId="0" borderId="0" xfId="0" quotePrefix="1" applyNumberFormat="1" applyFont="1" applyAlignment="1">
      <alignment horizontal="left"/>
    </xf>
    <xf numFmtId="0" fontId="31" fillId="0" borderId="0" xfId="0" quotePrefix="1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quotePrefix="1" applyFont="1" applyAlignment="1">
      <alignment horizontal="right"/>
    </xf>
    <xf numFmtId="165" fontId="19" fillId="0" borderId="0" xfId="0" applyNumberFormat="1" applyFont="1"/>
    <xf numFmtId="0" fontId="15" fillId="0" borderId="0" xfId="0" quotePrefix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5" xfId="0" applyFont="1" applyBorder="1"/>
    <xf numFmtId="0" fontId="0" fillId="0" borderId="7" xfId="0" applyBorder="1"/>
    <xf numFmtId="0" fontId="32" fillId="0" borderId="5" xfId="0" quotePrefix="1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5" fillId="0" borderId="21" xfId="0" applyFont="1" applyBorder="1" applyAlignment="1">
      <alignment horizontal="center"/>
    </xf>
    <xf numFmtId="0" fontId="15" fillId="0" borderId="21" xfId="0" quotePrefix="1" applyFont="1" applyBorder="1" applyAlignment="1">
      <alignment horizontal="center"/>
    </xf>
    <xf numFmtId="0" fontId="15" fillId="0" borderId="10" xfId="0" quotePrefix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5" xfId="0" applyFont="1" applyBorder="1"/>
    <xf numFmtId="0" fontId="19" fillId="0" borderId="6" xfId="0" applyFont="1" applyBorder="1"/>
    <xf numFmtId="0" fontId="19" fillId="0" borderId="9" xfId="0" applyFont="1" applyBorder="1"/>
    <xf numFmtId="0" fontId="19" fillId="0" borderId="6" xfId="0" quotePrefix="1" applyFont="1" applyBorder="1" applyAlignment="1">
      <alignment horizontal="left"/>
    </xf>
    <xf numFmtId="0" fontId="19" fillId="0" borderId="7" xfId="0" quotePrefix="1" applyFont="1" applyBorder="1" applyAlignment="1">
      <alignment horizontal="left"/>
    </xf>
    <xf numFmtId="0" fontId="19" fillId="0" borderId="8" xfId="0" applyFont="1" applyBorder="1"/>
    <xf numFmtId="0" fontId="19" fillId="0" borderId="0" xfId="0" quotePrefix="1" applyFont="1" applyBorder="1" applyAlignment="1">
      <alignment horizontal="left"/>
    </xf>
    <xf numFmtId="0" fontId="19" fillId="0" borderId="9" xfId="0" quotePrefix="1" applyFont="1" applyBorder="1" applyAlignment="1">
      <alignment horizontal="left"/>
    </xf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5" xfId="0" quotePrefix="1" applyFont="1" applyBorder="1" applyAlignment="1">
      <alignment horizontal="left"/>
    </xf>
    <xf numFmtId="0" fontId="19" fillId="0" borderId="26" xfId="0" quotePrefix="1" applyFont="1" applyBorder="1" applyAlignment="1">
      <alignment horizontal="left"/>
    </xf>
    <xf numFmtId="0" fontId="19" fillId="0" borderId="10" xfId="0" applyFont="1" applyBorder="1"/>
    <xf numFmtId="0" fontId="19" fillId="0" borderId="11" xfId="0" applyFont="1" applyBorder="1"/>
    <xf numFmtId="0" fontId="19" fillId="0" borderId="4" xfId="0" quotePrefix="1" applyFont="1" applyBorder="1" applyAlignment="1">
      <alignment horizontal="left"/>
    </xf>
    <xf numFmtId="0" fontId="19" fillId="0" borderId="11" xfId="0" quotePrefix="1" applyFont="1" applyBorder="1" applyAlignment="1">
      <alignment horizontal="left"/>
    </xf>
    <xf numFmtId="0" fontId="19" fillId="0" borderId="5" xfId="0" quotePrefix="1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9" fillId="0" borderId="27" xfId="0" applyFont="1" applyBorder="1"/>
    <xf numFmtId="0" fontId="35" fillId="4" borderId="28" xfId="0" applyFont="1" applyFill="1" applyBorder="1" applyProtection="1">
      <protection locked="0"/>
    </xf>
    <xf numFmtId="0" fontId="35" fillId="4" borderId="29" xfId="0" applyFont="1" applyFill="1" applyBorder="1" applyProtection="1">
      <protection locked="0"/>
    </xf>
    <xf numFmtId="0" fontId="2" fillId="0" borderId="20" xfId="0" applyFont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6" fillId="0" borderId="0" xfId="0" quotePrefix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 vs. Elapsed Time</a:t>
            </a:r>
          </a:p>
        </c:rich>
      </c:tx>
      <c:layout>
        <c:manualLayout>
          <c:xMode val="edge"/>
          <c:yMode val="edge"/>
          <c:x val="0.35960044395116536"/>
          <c:y val="1.9543973941368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2608213096558"/>
          <c:y val="0.13517915309446255"/>
          <c:w val="0.83462819089900109"/>
          <c:h val="0.771986970684039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Data'!$G$11:$G$60</c:f>
              <c:numCache>
                <c:formatCode>General</c:formatCode>
                <c:ptCount val="50"/>
                <c:pt idx="0">
                  <c:v>-1.974641120492393E-4</c:v>
                </c:pt>
                <c:pt idx="1">
                  <c:v>3.7471433548308397E-4</c:v>
                </c:pt>
                <c:pt idx="2">
                  <c:v>-9.3411699745971077E-5</c:v>
                </c:pt>
                <c:pt idx="3">
                  <c:v>-4.9978941187411863E-5</c:v>
                </c:pt>
                <c:pt idx="4">
                  <c:v>6.0844851844876757E-5</c:v>
                </c:pt>
                <c:pt idx="5">
                  <c:v>-4.592865274943847E-4</c:v>
                </c:pt>
                <c:pt idx="6">
                  <c:v>3.6458209316592161E-4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31008"/>
        <c:axId val="212131400"/>
      </c:scatterChart>
      <c:valAx>
        <c:axId val="21213100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31400"/>
        <c:crosses val="autoZero"/>
        <c:crossBetween val="midCat"/>
      </c:valAx>
      <c:valAx>
        <c:axId val="212131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Actual Weight - Estimated Weight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26221498371335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310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'Chart Data'!$G$6</c:f>
          <c:strCache>
            <c:ptCount val="1"/>
            <c:pt idx="0">
              <c:v>Case 2 Calibration Curve, with 99.999% Confidence Bands (t = 17.9) for Estimation (red) and Prediction (blue)</c:v>
            </c:pt>
          </c:strCache>
        </c:strRef>
      </c:tx>
      <c:layout>
        <c:manualLayout>
          <c:xMode val="edge"/>
          <c:yMode val="edge"/>
          <c:x val="0.12097669256381798"/>
          <c:y val="1.95439739413680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10586319218241043"/>
          <c:w val="0.86015538290788018"/>
          <c:h val="0.7638436482084690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Data'!$F$11:$F$60</c:f>
              <c:numCache>
                <c:formatCode>General</c:formatCode>
                <c:ptCount val="50"/>
                <c:pt idx="0">
                  <c:v>4.3544034641120488</c:v>
                </c:pt>
                <c:pt idx="1">
                  <c:v>4.3370752856645165</c:v>
                </c:pt>
                <c:pt idx="2">
                  <c:v>4.3168594116997463</c:v>
                </c:pt>
                <c:pt idx="3">
                  <c:v>4.2735439789411878</c:v>
                </c:pt>
                <c:pt idx="4">
                  <c:v>4.2244531551481552</c:v>
                </c:pt>
                <c:pt idx="5">
                  <c:v>4.2042392865274945</c:v>
                </c:pt>
                <c:pt idx="6">
                  <c:v>4.1840254179068337</c:v>
                </c:pt>
                <c:pt idx="7">
                  <c:v>4.1840254179068337</c:v>
                </c:pt>
                <c:pt idx="8">
                  <c:v>4.1840254179068337</c:v>
                </c:pt>
                <c:pt idx="9">
                  <c:v>4.1840254179068337</c:v>
                </c:pt>
                <c:pt idx="10">
                  <c:v>4.1840254179068337</c:v>
                </c:pt>
                <c:pt idx="11">
                  <c:v>4.1840254179068337</c:v>
                </c:pt>
                <c:pt idx="12">
                  <c:v>4.1840254179068337</c:v>
                </c:pt>
                <c:pt idx="13">
                  <c:v>4.1840254179068337</c:v>
                </c:pt>
                <c:pt idx="14">
                  <c:v>4.1840254179068337</c:v>
                </c:pt>
                <c:pt idx="15">
                  <c:v>4.1840254179068337</c:v>
                </c:pt>
                <c:pt idx="16">
                  <c:v>4.1840254179068337</c:v>
                </c:pt>
                <c:pt idx="17">
                  <c:v>4.1840254179068337</c:v>
                </c:pt>
                <c:pt idx="18">
                  <c:v>4.1840254179068337</c:v>
                </c:pt>
                <c:pt idx="19">
                  <c:v>4.1840254179068337</c:v>
                </c:pt>
                <c:pt idx="20">
                  <c:v>4.1840254179068337</c:v>
                </c:pt>
                <c:pt idx="21">
                  <c:v>4.1840254179068337</c:v>
                </c:pt>
                <c:pt idx="22">
                  <c:v>4.1840254179068337</c:v>
                </c:pt>
                <c:pt idx="23">
                  <c:v>4.1840254179068337</c:v>
                </c:pt>
                <c:pt idx="24">
                  <c:v>4.1840254179068337</c:v>
                </c:pt>
                <c:pt idx="25">
                  <c:v>4.1840254179068337</c:v>
                </c:pt>
                <c:pt idx="26">
                  <c:v>4.1840254179068337</c:v>
                </c:pt>
                <c:pt idx="27">
                  <c:v>4.1840254179068337</c:v>
                </c:pt>
                <c:pt idx="28">
                  <c:v>4.1840254179068337</c:v>
                </c:pt>
                <c:pt idx="29">
                  <c:v>4.1840254179068337</c:v>
                </c:pt>
                <c:pt idx="30">
                  <c:v>4.1840254179068337</c:v>
                </c:pt>
                <c:pt idx="31">
                  <c:v>4.1840254179068337</c:v>
                </c:pt>
                <c:pt idx="32">
                  <c:v>4.1840254179068337</c:v>
                </c:pt>
                <c:pt idx="33">
                  <c:v>4.1840254179068337</c:v>
                </c:pt>
                <c:pt idx="34">
                  <c:v>4.1840254179068337</c:v>
                </c:pt>
                <c:pt idx="35">
                  <c:v>4.1840254179068337</c:v>
                </c:pt>
                <c:pt idx="36">
                  <c:v>4.1840254179068337</c:v>
                </c:pt>
                <c:pt idx="37">
                  <c:v>4.1840254179068337</c:v>
                </c:pt>
                <c:pt idx="38">
                  <c:v>4.1840254179068337</c:v>
                </c:pt>
                <c:pt idx="39">
                  <c:v>4.1840254179068337</c:v>
                </c:pt>
                <c:pt idx="40">
                  <c:v>4.1840254179068337</c:v>
                </c:pt>
                <c:pt idx="41">
                  <c:v>4.1840254179068337</c:v>
                </c:pt>
                <c:pt idx="42">
                  <c:v>4.1840254179068337</c:v>
                </c:pt>
                <c:pt idx="43">
                  <c:v>4.1840254179068337</c:v>
                </c:pt>
                <c:pt idx="44">
                  <c:v>4.1840254179068337</c:v>
                </c:pt>
                <c:pt idx="45">
                  <c:v>4.1840254179068337</c:v>
                </c:pt>
                <c:pt idx="46">
                  <c:v>4.1840254179068337</c:v>
                </c:pt>
                <c:pt idx="47">
                  <c:v>4.1840254179068337</c:v>
                </c:pt>
                <c:pt idx="48">
                  <c:v>4.1840254179068337</c:v>
                </c:pt>
                <c:pt idx="49">
                  <c:v>4.1840254179068337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Data'!$H$11:$H$60</c:f>
              <c:numCache>
                <c:formatCode>General</c:formatCode>
                <c:ptCount val="50"/>
                <c:pt idx="0">
                  <c:v>4.3507048174229821</c:v>
                </c:pt>
                <c:pt idx="1">
                  <c:v>4.3338454479644426</c:v>
                </c:pt>
                <c:pt idx="2">
                  <c:v>4.314104442758885</c:v>
                </c:pt>
                <c:pt idx="3">
                  <c:v>4.2713223570910683</c:v>
                </c:pt>
                <c:pt idx="4">
                  <c:v>4.2216981502234088</c:v>
                </c:pt>
                <c:pt idx="5">
                  <c:v>4.2010094561811995</c:v>
                </c:pt>
                <c:pt idx="6">
                  <c:v>4.1802447226659245</c:v>
                </c:pt>
                <c:pt idx="7">
                  <c:v>4.1802447226659245</c:v>
                </c:pt>
                <c:pt idx="8">
                  <c:v>4.1802447226659245</c:v>
                </c:pt>
                <c:pt idx="9">
                  <c:v>4.1802447226659245</c:v>
                </c:pt>
                <c:pt idx="10">
                  <c:v>4.1802447226659245</c:v>
                </c:pt>
                <c:pt idx="11">
                  <c:v>4.1802447226659245</c:v>
                </c:pt>
                <c:pt idx="12">
                  <c:v>4.1802447226659245</c:v>
                </c:pt>
                <c:pt idx="13">
                  <c:v>4.1802447226659245</c:v>
                </c:pt>
                <c:pt idx="14">
                  <c:v>4.1802447226659245</c:v>
                </c:pt>
                <c:pt idx="15">
                  <c:v>4.1802447226659245</c:v>
                </c:pt>
                <c:pt idx="16">
                  <c:v>4.1802447226659245</c:v>
                </c:pt>
                <c:pt idx="17">
                  <c:v>4.1802447226659245</c:v>
                </c:pt>
                <c:pt idx="18">
                  <c:v>4.1802447226659245</c:v>
                </c:pt>
                <c:pt idx="19">
                  <c:v>4.1802447226659245</c:v>
                </c:pt>
                <c:pt idx="20">
                  <c:v>4.1802447226659245</c:v>
                </c:pt>
                <c:pt idx="21">
                  <c:v>4.1802447226659245</c:v>
                </c:pt>
                <c:pt idx="22">
                  <c:v>4.1802447226659245</c:v>
                </c:pt>
                <c:pt idx="23">
                  <c:v>4.1802447226659245</c:v>
                </c:pt>
                <c:pt idx="24">
                  <c:v>4.1802447226659245</c:v>
                </c:pt>
                <c:pt idx="25">
                  <c:v>4.1802447226659245</c:v>
                </c:pt>
                <c:pt idx="26">
                  <c:v>4.1802447226659245</c:v>
                </c:pt>
                <c:pt idx="27">
                  <c:v>4.1802447226659245</c:v>
                </c:pt>
                <c:pt idx="28">
                  <c:v>4.1802447226659245</c:v>
                </c:pt>
                <c:pt idx="29">
                  <c:v>4.1802447226659245</c:v>
                </c:pt>
                <c:pt idx="30">
                  <c:v>4.1802447226659245</c:v>
                </c:pt>
                <c:pt idx="31">
                  <c:v>4.1802447226659245</c:v>
                </c:pt>
                <c:pt idx="32">
                  <c:v>4.1802447226659245</c:v>
                </c:pt>
                <c:pt idx="33">
                  <c:v>4.1802447226659245</c:v>
                </c:pt>
                <c:pt idx="34">
                  <c:v>4.1802447226659245</c:v>
                </c:pt>
                <c:pt idx="35">
                  <c:v>4.1802447226659245</c:v>
                </c:pt>
                <c:pt idx="36">
                  <c:v>4.1802447226659245</c:v>
                </c:pt>
                <c:pt idx="37">
                  <c:v>4.1802447226659245</c:v>
                </c:pt>
                <c:pt idx="38">
                  <c:v>4.1802447226659245</c:v>
                </c:pt>
                <c:pt idx="39">
                  <c:v>4.1802447226659245</c:v>
                </c:pt>
                <c:pt idx="40">
                  <c:v>4.1802447226659245</c:v>
                </c:pt>
                <c:pt idx="41">
                  <c:v>4.1802447226659245</c:v>
                </c:pt>
                <c:pt idx="42">
                  <c:v>4.1802447226659245</c:v>
                </c:pt>
                <c:pt idx="43">
                  <c:v>4.1802447226659245</c:v>
                </c:pt>
                <c:pt idx="44">
                  <c:v>4.1802447226659245</c:v>
                </c:pt>
                <c:pt idx="45">
                  <c:v>4.1802447226659245</c:v>
                </c:pt>
                <c:pt idx="46">
                  <c:v>4.1802447226659245</c:v>
                </c:pt>
                <c:pt idx="47">
                  <c:v>4.1802447226659245</c:v>
                </c:pt>
                <c:pt idx="48">
                  <c:v>4.1802447226659245</c:v>
                </c:pt>
                <c:pt idx="49">
                  <c:v>4.1802447226659245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Data'!$I$11:$I$60</c:f>
              <c:numCache>
                <c:formatCode>General</c:formatCode>
                <c:ptCount val="50"/>
                <c:pt idx="0">
                  <c:v>4.3581021108011155</c:v>
                </c:pt>
                <c:pt idx="1">
                  <c:v>4.3403051233645904</c:v>
                </c:pt>
                <c:pt idx="2">
                  <c:v>4.3196143806406075</c:v>
                </c:pt>
                <c:pt idx="3">
                  <c:v>4.2757656007913072</c:v>
                </c:pt>
                <c:pt idx="4">
                  <c:v>4.2272081600729017</c:v>
                </c:pt>
                <c:pt idx="5">
                  <c:v>4.2074691168737894</c:v>
                </c:pt>
                <c:pt idx="6">
                  <c:v>4.1878061131477429</c:v>
                </c:pt>
                <c:pt idx="7">
                  <c:v>4.1878061131477429</c:v>
                </c:pt>
                <c:pt idx="8">
                  <c:v>4.1878061131477429</c:v>
                </c:pt>
                <c:pt idx="9">
                  <c:v>4.1878061131477429</c:v>
                </c:pt>
                <c:pt idx="10">
                  <c:v>4.1878061131477429</c:v>
                </c:pt>
                <c:pt idx="11">
                  <c:v>4.1878061131477429</c:v>
                </c:pt>
                <c:pt idx="12">
                  <c:v>4.1878061131477429</c:v>
                </c:pt>
                <c:pt idx="13">
                  <c:v>4.1878061131477429</c:v>
                </c:pt>
                <c:pt idx="14">
                  <c:v>4.1878061131477429</c:v>
                </c:pt>
                <c:pt idx="15">
                  <c:v>4.1878061131477429</c:v>
                </c:pt>
                <c:pt idx="16">
                  <c:v>4.1878061131477429</c:v>
                </c:pt>
                <c:pt idx="17">
                  <c:v>4.1878061131477429</c:v>
                </c:pt>
                <c:pt idx="18">
                  <c:v>4.1878061131477429</c:v>
                </c:pt>
                <c:pt idx="19">
                  <c:v>4.1878061131477429</c:v>
                </c:pt>
                <c:pt idx="20">
                  <c:v>4.1878061131477429</c:v>
                </c:pt>
                <c:pt idx="21">
                  <c:v>4.1878061131477429</c:v>
                </c:pt>
                <c:pt idx="22">
                  <c:v>4.1878061131477429</c:v>
                </c:pt>
                <c:pt idx="23">
                  <c:v>4.1878061131477429</c:v>
                </c:pt>
                <c:pt idx="24">
                  <c:v>4.1878061131477429</c:v>
                </c:pt>
                <c:pt idx="25">
                  <c:v>4.1878061131477429</c:v>
                </c:pt>
                <c:pt idx="26">
                  <c:v>4.1878061131477429</c:v>
                </c:pt>
                <c:pt idx="27">
                  <c:v>4.1878061131477429</c:v>
                </c:pt>
                <c:pt idx="28">
                  <c:v>4.1878061131477429</c:v>
                </c:pt>
                <c:pt idx="29">
                  <c:v>4.1878061131477429</c:v>
                </c:pt>
                <c:pt idx="30">
                  <c:v>4.1878061131477429</c:v>
                </c:pt>
                <c:pt idx="31">
                  <c:v>4.1878061131477429</c:v>
                </c:pt>
                <c:pt idx="32">
                  <c:v>4.1878061131477429</c:v>
                </c:pt>
                <c:pt idx="33">
                  <c:v>4.1878061131477429</c:v>
                </c:pt>
                <c:pt idx="34">
                  <c:v>4.1878061131477429</c:v>
                </c:pt>
                <c:pt idx="35">
                  <c:v>4.1878061131477429</c:v>
                </c:pt>
                <c:pt idx="36">
                  <c:v>4.1878061131477429</c:v>
                </c:pt>
                <c:pt idx="37">
                  <c:v>4.1878061131477429</c:v>
                </c:pt>
                <c:pt idx="38">
                  <c:v>4.1878061131477429</c:v>
                </c:pt>
                <c:pt idx="39">
                  <c:v>4.1878061131477429</c:v>
                </c:pt>
                <c:pt idx="40">
                  <c:v>4.1878061131477429</c:v>
                </c:pt>
                <c:pt idx="41">
                  <c:v>4.1878061131477429</c:v>
                </c:pt>
                <c:pt idx="42">
                  <c:v>4.1878061131477429</c:v>
                </c:pt>
                <c:pt idx="43">
                  <c:v>4.1878061131477429</c:v>
                </c:pt>
                <c:pt idx="44">
                  <c:v>4.1878061131477429</c:v>
                </c:pt>
                <c:pt idx="45">
                  <c:v>4.1878061131477429</c:v>
                </c:pt>
                <c:pt idx="46">
                  <c:v>4.1878061131477429</c:v>
                </c:pt>
                <c:pt idx="47">
                  <c:v>4.1878061131477429</c:v>
                </c:pt>
                <c:pt idx="48">
                  <c:v>4.1878061131477429</c:v>
                </c:pt>
                <c:pt idx="49">
                  <c:v>4.1878061131477429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Data'!$J$11:$J$60</c:f>
              <c:numCache>
                <c:formatCode>General</c:formatCode>
                <c:ptCount val="50"/>
                <c:pt idx="0">
                  <c:v>4.3474639834478941</c:v>
                </c:pt>
                <c:pt idx="1">
                  <c:v>4.3303739234055092</c:v>
                </c:pt>
                <c:pt idx="2">
                  <c:v>4.3103735610675828</c:v>
                </c:pt>
                <c:pt idx="3">
                  <c:v>4.2672660805505993</c:v>
                </c:pt>
                <c:pt idx="4">
                  <c:v>4.2179672892311784</c:v>
                </c:pt>
                <c:pt idx="5">
                  <c:v>4.1975379278127649</c:v>
                </c:pt>
                <c:pt idx="6">
                  <c:v>4.1770418614302045</c:v>
                </c:pt>
                <c:pt idx="7">
                  <c:v>4.1770418614302045</c:v>
                </c:pt>
                <c:pt idx="8">
                  <c:v>4.1770418614302045</c:v>
                </c:pt>
                <c:pt idx="9">
                  <c:v>4.1770418614302045</c:v>
                </c:pt>
                <c:pt idx="10">
                  <c:v>4.1770418614302045</c:v>
                </c:pt>
                <c:pt idx="11">
                  <c:v>4.1770418614302045</c:v>
                </c:pt>
                <c:pt idx="12">
                  <c:v>4.1770418614302045</c:v>
                </c:pt>
                <c:pt idx="13">
                  <c:v>4.1770418614302045</c:v>
                </c:pt>
                <c:pt idx="14">
                  <c:v>4.1770418614302045</c:v>
                </c:pt>
                <c:pt idx="15">
                  <c:v>4.1770418614302045</c:v>
                </c:pt>
                <c:pt idx="16">
                  <c:v>4.1770418614302045</c:v>
                </c:pt>
                <c:pt idx="17">
                  <c:v>4.1770418614302045</c:v>
                </c:pt>
                <c:pt idx="18">
                  <c:v>4.1770418614302045</c:v>
                </c:pt>
                <c:pt idx="19">
                  <c:v>4.1770418614302045</c:v>
                </c:pt>
                <c:pt idx="20">
                  <c:v>4.1770418614302045</c:v>
                </c:pt>
                <c:pt idx="21">
                  <c:v>4.1770418614302045</c:v>
                </c:pt>
                <c:pt idx="22">
                  <c:v>4.1770418614302045</c:v>
                </c:pt>
                <c:pt idx="23">
                  <c:v>4.1770418614302045</c:v>
                </c:pt>
                <c:pt idx="24">
                  <c:v>4.1770418614302045</c:v>
                </c:pt>
                <c:pt idx="25">
                  <c:v>4.1770418614302045</c:v>
                </c:pt>
                <c:pt idx="26">
                  <c:v>4.1770418614302045</c:v>
                </c:pt>
                <c:pt idx="27">
                  <c:v>4.1770418614302045</c:v>
                </c:pt>
                <c:pt idx="28">
                  <c:v>4.1770418614302045</c:v>
                </c:pt>
                <c:pt idx="29">
                  <c:v>4.1770418614302045</c:v>
                </c:pt>
                <c:pt idx="30">
                  <c:v>4.1770418614302045</c:v>
                </c:pt>
                <c:pt idx="31">
                  <c:v>4.1770418614302045</c:v>
                </c:pt>
                <c:pt idx="32">
                  <c:v>4.1770418614302045</c:v>
                </c:pt>
                <c:pt idx="33">
                  <c:v>4.1770418614302045</c:v>
                </c:pt>
                <c:pt idx="34">
                  <c:v>4.1770418614302045</c:v>
                </c:pt>
                <c:pt idx="35">
                  <c:v>4.1770418614302045</c:v>
                </c:pt>
                <c:pt idx="36">
                  <c:v>4.1770418614302045</c:v>
                </c:pt>
                <c:pt idx="37">
                  <c:v>4.1770418614302045</c:v>
                </c:pt>
                <c:pt idx="38">
                  <c:v>4.1770418614302045</c:v>
                </c:pt>
                <c:pt idx="39">
                  <c:v>4.1770418614302045</c:v>
                </c:pt>
                <c:pt idx="40">
                  <c:v>4.1770418614302045</c:v>
                </c:pt>
                <c:pt idx="41">
                  <c:v>4.1770418614302045</c:v>
                </c:pt>
                <c:pt idx="42">
                  <c:v>4.1770418614302045</c:v>
                </c:pt>
                <c:pt idx="43">
                  <c:v>4.1770418614302045</c:v>
                </c:pt>
                <c:pt idx="44">
                  <c:v>4.1770418614302045</c:v>
                </c:pt>
                <c:pt idx="45">
                  <c:v>4.1770418614302045</c:v>
                </c:pt>
                <c:pt idx="46">
                  <c:v>4.1770418614302045</c:v>
                </c:pt>
                <c:pt idx="47">
                  <c:v>4.1770418614302045</c:v>
                </c:pt>
                <c:pt idx="48">
                  <c:v>4.1770418614302045</c:v>
                </c:pt>
                <c:pt idx="49">
                  <c:v>4.1770418614302045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Data'!$K$11:$K$60</c:f>
              <c:numCache>
                <c:formatCode>General</c:formatCode>
                <c:ptCount val="50"/>
                <c:pt idx="0">
                  <c:v>4.3613429447762035</c:v>
                </c:pt>
                <c:pt idx="1">
                  <c:v>4.3437766479235238</c:v>
                </c:pt>
                <c:pt idx="2">
                  <c:v>4.3233452623319097</c:v>
                </c:pt>
                <c:pt idx="3">
                  <c:v>4.2798218773317762</c:v>
                </c:pt>
                <c:pt idx="4">
                  <c:v>4.2309390210651321</c:v>
                </c:pt>
                <c:pt idx="5">
                  <c:v>4.210940645242224</c:v>
                </c:pt>
                <c:pt idx="6">
                  <c:v>4.1910089743834629</c:v>
                </c:pt>
                <c:pt idx="7">
                  <c:v>4.1910089743834629</c:v>
                </c:pt>
                <c:pt idx="8">
                  <c:v>4.1910089743834629</c:v>
                </c:pt>
                <c:pt idx="9">
                  <c:v>4.1910089743834629</c:v>
                </c:pt>
                <c:pt idx="10">
                  <c:v>4.1910089743834629</c:v>
                </c:pt>
                <c:pt idx="11">
                  <c:v>4.1910089743834629</c:v>
                </c:pt>
                <c:pt idx="12">
                  <c:v>4.1910089743834629</c:v>
                </c:pt>
                <c:pt idx="13">
                  <c:v>4.1910089743834629</c:v>
                </c:pt>
                <c:pt idx="14">
                  <c:v>4.1910089743834629</c:v>
                </c:pt>
                <c:pt idx="15">
                  <c:v>4.1910089743834629</c:v>
                </c:pt>
                <c:pt idx="16">
                  <c:v>4.1910089743834629</c:v>
                </c:pt>
                <c:pt idx="17">
                  <c:v>4.1910089743834629</c:v>
                </c:pt>
                <c:pt idx="18">
                  <c:v>4.1910089743834629</c:v>
                </c:pt>
                <c:pt idx="19">
                  <c:v>4.1910089743834629</c:v>
                </c:pt>
                <c:pt idx="20">
                  <c:v>4.1910089743834629</c:v>
                </c:pt>
                <c:pt idx="21">
                  <c:v>4.1910089743834629</c:v>
                </c:pt>
                <c:pt idx="22">
                  <c:v>4.1910089743834629</c:v>
                </c:pt>
                <c:pt idx="23">
                  <c:v>4.1910089743834629</c:v>
                </c:pt>
                <c:pt idx="24">
                  <c:v>4.1910089743834629</c:v>
                </c:pt>
                <c:pt idx="25">
                  <c:v>4.1910089743834629</c:v>
                </c:pt>
                <c:pt idx="26">
                  <c:v>4.1910089743834629</c:v>
                </c:pt>
                <c:pt idx="27">
                  <c:v>4.1910089743834629</c:v>
                </c:pt>
                <c:pt idx="28">
                  <c:v>4.1910089743834629</c:v>
                </c:pt>
                <c:pt idx="29">
                  <c:v>4.1910089743834629</c:v>
                </c:pt>
                <c:pt idx="30">
                  <c:v>4.1910089743834629</c:v>
                </c:pt>
                <c:pt idx="31">
                  <c:v>4.1910089743834629</c:v>
                </c:pt>
                <c:pt idx="32">
                  <c:v>4.1910089743834629</c:v>
                </c:pt>
                <c:pt idx="33">
                  <c:v>4.1910089743834629</c:v>
                </c:pt>
                <c:pt idx="34">
                  <c:v>4.1910089743834629</c:v>
                </c:pt>
                <c:pt idx="35">
                  <c:v>4.1910089743834629</c:v>
                </c:pt>
                <c:pt idx="36">
                  <c:v>4.1910089743834629</c:v>
                </c:pt>
                <c:pt idx="37">
                  <c:v>4.1910089743834629</c:v>
                </c:pt>
                <c:pt idx="38">
                  <c:v>4.1910089743834629</c:v>
                </c:pt>
                <c:pt idx="39">
                  <c:v>4.1910089743834629</c:v>
                </c:pt>
                <c:pt idx="40">
                  <c:v>4.1910089743834629</c:v>
                </c:pt>
                <c:pt idx="41">
                  <c:v>4.1910089743834629</c:v>
                </c:pt>
                <c:pt idx="42">
                  <c:v>4.1910089743834629</c:v>
                </c:pt>
                <c:pt idx="43">
                  <c:v>4.1910089743834629</c:v>
                </c:pt>
                <c:pt idx="44">
                  <c:v>4.1910089743834629</c:v>
                </c:pt>
                <c:pt idx="45">
                  <c:v>4.1910089743834629</c:v>
                </c:pt>
                <c:pt idx="46">
                  <c:v>4.1910089743834629</c:v>
                </c:pt>
                <c:pt idx="47">
                  <c:v>4.1910089743834629</c:v>
                </c:pt>
                <c:pt idx="48">
                  <c:v>4.1910089743834629</c:v>
                </c:pt>
                <c:pt idx="49">
                  <c:v>4.1910089743834629</c:v>
                </c:pt>
              </c:numCache>
            </c:numRef>
          </c:yVal>
          <c:smooth val="1"/>
        </c:ser>
        <c:ser>
          <c:idx val="1"/>
          <c:order val="5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'Chart Data'!$C$11:$C$60</c:f>
              <c:numCache>
                <c:formatCode>General</c:formatCode>
                <c:ptCount val="50"/>
                <c:pt idx="0">
                  <c:v>0</c:v>
                </c:pt>
                <c:pt idx="1">
                  <c:v>8641</c:v>
                </c:pt>
                <c:pt idx="2">
                  <c:v>18722</c:v>
                </c:pt>
                <c:pt idx="3">
                  <c:v>40322</c:v>
                </c:pt>
                <c:pt idx="4">
                  <c:v>64802</c:v>
                </c:pt>
                <c:pt idx="5">
                  <c:v>74882</c:v>
                </c:pt>
                <c:pt idx="6">
                  <c:v>84962</c:v>
                </c:pt>
                <c:pt idx="7">
                  <c:v>84962</c:v>
                </c:pt>
                <c:pt idx="8">
                  <c:v>84962</c:v>
                </c:pt>
                <c:pt idx="9">
                  <c:v>84962</c:v>
                </c:pt>
                <c:pt idx="10">
                  <c:v>84962</c:v>
                </c:pt>
                <c:pt idx="11">
                  <c:v>84962</c:v>
                </c:pt>
                <c:pt idx="12">
                  <c:v>84962</c:v>
                </c:pt>
                <c:pt idx="13">
                  <c:v>84962</c:v>
                </c:pt>
                <c:pt idx="14">
                  <c:v>84962</c:v>
                </c:pt>
                <c:pt idx="15">
                  <c:v>84962</c:v>
                </c:pt>
                <c:pt idx="16">
                  <c:v>84962</c:v>
                </c:pt>
                <c:pt idx="17">
                  <c:v>84962</c:v>
                </c:pt>
                <c:pt idx="18">
                  <c:v>84962</c:v>
                </c:pt>
                <c:pt idx="19">
                  <c:v>84962</c:v>
                </c:pt>
                <c:pt idx="20">
                  <c:v>84962</c:v>
                </c:pt>
                <c:pt idx="21">
                  <c:v>84962</c:v>
                </c:pt>
                <c:pt idx="22">
                  <c:v>84962</c:v>
                </c:pt>
                <c:pt idx="23">
                  <c:v>84962</c:v>
                </c:pt>
                <c:pt idx="24">
                  <c:v>84962</c:v>
                </c:pt>
                <c:pt idx="25">
                  <c:v>84962</c:v>
                </c:pt>
                <c:pt idx="26">
                  <c:v>84962</c:v>
                </c:pt>
                <c:pt idx="27">
                  <c:v>84962</c:v>
                </c:pt>
                <c:pt idx="28">
                  <c:v>84962</c:v>
                </c:pt>
                <c:pt idx="29">
                  <c:v>84962</c:v>
                </c:pt>
                <c:pt idx="30">
                  <c:v>84962</c:v>
                </c:pt>
                <c:pt idx="31">
                  <c:v>84962</c:v>
                </c:pt>
                <c:pt idx="32">
                  <c:v>84962</c:v>
                </c:pt>
                <c:pt idx="33">
                  <c:v>84962</c:v>
                </c:pt>
                <c:pt idx="34">
                  <c:v>84962</c:v>
                </c:pt>
                <c:pt idx="35">
                  <c:v>84962</c:v>
                </c:pt>
                <c:pt idx="36">
                  <c:v>84962</c:v>
                </c:pt>
                <c:pt idx="37">
                  <c:v>84962</c:v>
                </c:pt>
                <c:pt idx="38">
                  <c:v>84962</c:v>
                </c:pt>
                <c:pt idx="39">
                  <c:v>84962</c:v>
                </c:pt>
                <c:pt idx="40">
                  <c:v>84962</c:v>
                </c:pt>
                <c:pt idx="41">
                  <c:v>84962</c:v>
                </c:pt>
                <c:pt idx="42">
                  <c:v>84962</c:v>
                </c:pt>
                <c:pt idx="43">
                  <c:v>84962</c:v>
                </c:pt>
                <c:pt idx="44">
                  <c:v>84962</c:v>
                </c:pt>
                <c:pt idx="45">
                  <c:v>84962</c:v>
                </c:pt>
                <c:pt idx="46">
                  <c:v>84962</c:v>
                </c:pt>
                <c:pt idx="47">
                  <c:v>84962</c:v>
                </c:pt>
                <c:pt idx="48">
                  <c:v>84962</c:v>
                </c:pt>
                <c:pt idx="49">
                  <c:v>84962</c:v>
                </c:pt>
              </c:numCache>
            </c:numRef>
          </c:xVal>
          <c:yVal>
            <c:numRef>
              <c:f>'Chart Data'!$E$11:$E$60</c:f>
              <c:numCache>
                <c:formatCode>General</c:formatCode>
                <c:ptCount val="50"/>
                <c:pt idx="0">
                  <c:v>4.3542059999999996</c:v>
                </c:pt>
                <c:pt idx="1">
                  <c:v>4.3374499999999996</c:v>
                </c:pt>
                <c:pt idx="2">
                  <c:v>4.3167660000000003</c:v>
                </c:pt>
                <c:pt idx="3">
                  <c:v>4.2734940000000003</c:v>
                </c:pt>
                <c:pt idx="4">
                  <c:v>4.2245140000000001</c:v>
                </c:pt>
                <c:pt idx="5">
                  <c:v>4.2037800000000001</c:v>
                </c:pt>
                <c:pt idx="6">
                  <c:v>4.1843899999999996</c:v>
                </c:pt>
                <c:pt idx="7">
                  <c:v>4.1843899999999996</c:v>
                </c:pt>
                <c:pt idx="8">
                  <c:v>4.1843899999999996</c:v>
                </c:pt>
                <c:pt idx="9">
                  <c:v>4.1843899999999996</c:v>
                </c:pt>
                <c:pt idx="10">
                  <c:v>4.1843899999999996</c:v>
                </c:pt>
                <c:pt idx="11">
                  <c:v>4.1843899999999996</c:v>
                </c:pt>
                <c:pt idx="12">
                  <c:v>4.1843899999999996</c:v>
                </c:pt>
                <c:pt idx="13">
                  <c:v>4.1843899999999996</c:v>
                </c:pt>
                <c:pt idx="14">
                  <c:v>4.1843899999999996</c:v>
                </c:pt>
                <c:pt idx="15">
                  <c:v>4.1843899999999996</c:v>
                </c:pt>
                <c:pt idx="16">
                  <c:v>4.1843899999999996</c:v>
                </c:pt>
                <c:pt idx="17">
                  <c:v>4.1843899999999996</c:v>
                </c:pt>
                <c:pt idx="18">
                  <c:v>4.1843899999999996</c:v>
                </c:pt>
                <c:pt idx="19">
                  <c:v>4.1843899999999996</c:v>
                </c:pt>
                <c:pt idx="20">
                  <c:v>4.1843899999999996</c:v>
                </c:pt>
                <c:pt idx="21">
                  <c:v>4.1843899999999996</c:v>
                </c:pt>
                <c:pt idx="22">
                  <c:v>4.1843899999999996</c:v>
                </c:pt>
                <c:pt idx="23">
                  <c:v>4.1843899999999996</c:v>
                </c:pt>
                <c:pt idx="24">
                  <c:v>4.1843899999999996</c:v>
                </c:pt>
                <c:pt idx="25">
                  <c:v>4.1843899999999996</c:v>
                </c:pt>
                <c:pt idx="26">
                  <c:v>4.1843899999999996</c:v>
                </c:pt>
                <c:pt idx="27">
                  <c:v>4.1843899999999996</c:v>
                </c:pt>
                <c:pt idx="28">
                  <c:v>4.1843899999999996</c:v>
                </c:pt>
                <c:pt idx="29">
                  <c:v>4.1843899999999996</c:v>
                </c:pt>
                <c:pt idx="30">
                  <c:v>4.1843899999999996</c:v>
                </c:pt>
                <c:pt idx="31">
                  <c:v>4.1843899999999996</c:v>
                </c:pt>
                <c:pt idx="32">
                  <c:v>4.1843899999999996</c:v>
                </c:pt>
                <c:pt idx="33">
                  <c:v>4.1843899999999996</c:v>
                </c:pt>
                <c:pt idx="34">
                  <c:v>4.1843899999999996</c:v>
                </c:pt>
                <c:pt idx="35">
                  <c:v>4.1843899999999996</c:v>
                </c:pt>
                <c:pt idx="36">
                  <c:v>4.1843899999999996</c:v>
                </c:pt>
                <c:pt idx="37">
                  <c:v>4.1843899999999996</c:v>
                </c:pt>
                <c:pt idx="38">
                  <c:v>4.1843899999999996</c:v>
                </c:pt>
                <c:pt idx="39">
                  <c:v>4.1843899999999996</c:v>
                </c:pt>
                <c:pt idx="40">
                  <c:v>4.1843899999999996</c:v>
                </c:pt>
                <c:pt idx="41">
                  <c:v>4.1843899999999996</c:v>
                </c:pt>
                <c:pt idx="42">
                  <c:v>4.1843899999999996</c:v>
                </c:pt>
                <c:pt idx="43">
                  <c:v>4.1843899999999996</c:v>
                </c:pt>
                <c:pt idx="44">
                  <c:v>4.1843899999999996</c:v>
                </c:pt>
                <c:pt idx="45">
                  <c:v>4.1843899999999996</c:v>
                </c:pt>
                <c:pt idx="46">
                  <c:v>4.1843899999999996</c:v>
                </c:pt>
                <c:pt idx="47">
                  <c:v>4.1843899999999996</c:v>
                </c:pt>
                <c:pt idx="48">
                  <c:v>4.1843899999999996</c:v>
                </c:pt>
                <c:pt idx="49">
                  <c:v>4.1843899999999996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32184"/>
        <c:axId val="220313800"/>
      </c:scatterChart>
      <c:valAx>
        <c:axId val="2121321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</a:t>
                </a:r>
              </a:p>
            </c:rich>
          </c:tx>
          <c:layout>
            <c:manualLayout>
              <c:xMode val="edge"/>
              <c:yMode val="edge"/>
              <c:x val="0.45726970033296338"/>
              <c:y val="0.92833876221498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13800"/>
        <c:crosses val="autoZero"/>
        <c:crossBetween val="midCat"/>
      </c:valAx>
      <c:valAx>
        <c:axId val="22031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2833876221498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321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 linear regression of the permeation tube weight loss with time." title="Residuals of Weight Loss Regression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linear regression curve of the permeation tube weight loss with time." title="Linear Regression of Weight Los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showRowColHeaders="0" tabSelected="1" workbookViewId="0"/>
  </sheetViews>
  <sheetFormatPr defaultColWidth="6.77734375" defaultRowHeight="15" x14ac:dyDescent="0.2"/>
  <cols>
    <col min="1" max="1" width="2.77734375" customWidth="1"/>
    <col min="2" max="2" width="8.77734375" customWidth="1"/>
    <col min="10" max="10" width="12.77734375" customWidth="1"/>
  </cols>
  <sheetData>
    <row r="1" spans="1:10" ht="15.75" thickBot="1" x14ac:dyDescent="0.25"/>
    <row r="2" spans="1:10" ht="16.5" thickBot="1" x14ac:dyDescent="0.3">
      <c r="C2" s="1"/>
      <c r="D2" s="2"/>
      <c r="E2" s="2"/>
      <c r="F2" s="3" t="s">
        <v>0</v>
      </c>
      <c r="G2" s="4"/>
      <c r="H2" s="4"/>
      <c r="I2" s="5"/>
      <c r="J2" s="6"/>
    </row>
    <row r="3" spans="1:10" ht="16.5" thickBot="1" x14ac:dyDescent="0.3">
      <c r="B3" s="7"/>
      <c r="C3" s="8"/>
      <c r="D3" s="8"/>
      <c r="E3" s="7"/>
      <c r="F3" s="8"/>
      <c r="G3" s="8"/>
      <c r="H3" s="8"/>
      <c r="I3" s="8"/>
      <c r="J3" s="8"/>
    </row>
    <row r="4" spans="1:10" ht="15.75" thickBot="1" x14ac:dyDescent="0.25">
      <c r="C4" s="6"/>
      <c r="D4" s="9"/>
      <c r="E4" s="10"/>
      <c r="F4" s="44" t="s">
        <v>1</v>
      </c>
      <c r="G4" s="11"/>
      <c r="H4" s="12"/>
      <c r="I4" s="8"/>
      <c r="J4" s="8"/>
    </row>
    <row r="5" spans="1:10" x14ac:dyDescent="0.2">
      <c r="C5" s="6"/>
      <c r="D5" s="13"/>
      <c r="E5" s="6"/>
      <c r="I5" s="8"/>
      <c r="J5" s="8"/>
    </row>
    <row r="6" spans="1:10" ht="15.75" x14ac:dyDescent="0.25">
      <c r="B6" s="14" t="s">
        <v>2</v>
      </c>
      <c r="C6" s="15"/>
      <c r="D6" s="15"/>
      <c r="E6" s="15"/>
      <c r="F6" s="15"/>
      <c r="G6" s="15"/>
      <c r="H6" s="15"/>
      <c r="I6" s="15"/>
      <c r="J6" s="15"/>
    </row>
    <row r="7" spans="1:10" ht="15.75" x14ac:dyDescent="0.25">
      <c r="B7" s="14" t="s">
        <v>3</v>
      </c>
      <c r="C7" s="15"/>
      <c r="D7" s="15"/>
      <c r="E7" s="15"/>
      <c r="F7" s="15"/>
      <c r="G7" s="15"/>
      <c r="H7" s="15"/>
      <c r="I7" s="15"/>
      <c r="J7" s="15"/>
    </row>
    <row r="8" spans="1:10" ht="15.75" x14ac:dyDescent="0.25">
      <c r="B8" s="16" t="s">
        <v>4</v>
      </c>
    </row>
    <row r="9" spans="1:10" ht="15.75" x14ac:dyDescent="0.25">
      <c r="B9" s="16" t="s">
        <v>5</v>
      </c>
    </row>
    <row r="10" spans="1:10" ht="15.75" x14ac:dyDescent="0.25">
      <c r="B10" s="16" t="s">
        <v>6</v>
      </c>
    </row>
    <row r="11" spans="1:10" ht="15.75" x14ac:dyDescent="0.25">
      <c r="B11" s="16" t="s">
        <v>7</v>
      </c>
    </row>
    <row r="12" spans="1:10" ht="15.75" x14ac:dyDescent="0.25">
      <c r="A12" s="17"/>
      <c r="B12" s="18"/>
      <c r="C12" s="17"/>
      <c r="D12" s="17"/>
      <c r="E12" s="17"/>
      <c r="F12" s="17"/>
      <c r="G12" s="17"/>
      <c r="H12" s="17"/>
      <c r="I12" s="17"/>
      <c r="J12" s="17"/>
    </row>
    <row r="13" spans="1:10" ht="15.75" thickBot="1" x14ac:dyDescent="0.25">
      <c r="B13" s="19"/>
    </row>
    <row r="14" spans="1:10" ht="15.75" thickBot="1" x14ac:dyDescent="0.25">
      <c r="B14" s="15"/>
      <c r="C14" s="15"/>
      <c r="D14" s="9"/>
      <c r="E14" s="11"/>
      <c r="F14" s="44" t="s">
        <v>8</v>
      </c>
      <c r="G14" s="11"/>
      <c r="H14" s="12"/>
      <c r="I14" s="15"/>
      <c r="J14" s="15"/>
    </row>
    <row r="15" spans="1:10" x14ac:dyDescent="0.2">
      <c r="B15" s="15"/>
      <c r="C15" s="15"/>
      <c r="D15" s="13"/>
      <c r="E15" s="15"/>
      <c r="F15" s="15"/>
      <c r="G15" s="15"/>
      <c r="H15" s="15"/>
      <c r="I15" s="15"/>
      <c r="J15" s="15"/>
    </row>
    <row r="16" spans="1:10" ht="15.75" x14ac:dyDescent="0.25">
      <c r="B16" s="14" t="s">
        <v>9</v>
      </c>
      <c r="C16" s="15"/>
      <c r="D16" s="15"/>
      <c r="E16" s="15"/>
      <c r="F16" s="15"/>
      <c r="G16" s="15"/>
      <c r="H16" s="15"/>
      <c r="I16" s="15"/>
      <c r="J16" s="15"/>
    </row>
    <row r="17" spans="1:10" ht="15.75" x14ac:dyDescent="0.25">
      <c r="B17" s="14" t="s">
        <v>10</v>
      </c>
      <c r="C17" s="15"/>
      <c r="D17" s="15"/>
      <c r="E17" s="15"/>
      <c r="F17" s="15"/>
      <c r="G17" s="15"/>
      <c r="H17" s="15"/>
      <c r="I17" s="15"/>
      <c r="J17" s="15"/>
    </row>
    <row r="18" spans="1:10" ht="15.75" x14ac:dyDescent="0.25">
      <c r="B18" s="20"/>
      <c r="C18" s="15"/>
      <c r="D18" s="15"/>
      <c r="E18" s="15"/>
      <c r="F18" s="15"/>
      <c r="G18" s="15"/>
      <c r="H18" s="15"/>
      <c r="I18" s="15"/>
      <c r="J18" s="15"/>
    </row>
    <row r="19" spans="1:10" ht="15.75" x14ac:dyDescent="0.25">
      <c r="B19" s="21" t="s">
        <v>11</v>
      </c>
    </row>
    <row r="20" spans="1:10" ht="15.75" x14ac:dyDescent="0.25">
      <c r="B20" s="21" t="s">
        <v>12</v>
      </c>
    </row>
    <row r="21" spans="1:10" ht="15.75" x14ac:dyDescent="0.25">
      <c r="B21" s="21" t="s">
        <v>13</v>
      </c>
    </row>
    <row r="22" spans="1:10" ht="15.75" x14ac:dyDescent="0.25">
      <c r="B22" s="21" t="s">
        <v>14</v>
      </c>
    </row>
    <row r="23" spans="1:10" ht="15.75" x14ac:dyDescent="0.25">
      <c r="B23" s="21" t="s">
        <v>15</v>
      </c>
    </row>
    <row r="24" spans="1:10" ht="15.75" x14ac:dyDescent="0.25">
      <c r="B24" s="22" t="s">
        <v>16</v>
      </c>
    </row>
    <row r="25" spans="1:10" ht="15.75" x14ac:dyDescent="0.25">
      <c r="A25" s="17"/>
      <c r="B25" s="23" t="s">
        <v>17</v>
      </c>
      <c r="C25" s="17"/>
      <c r="D25" s="17"/>
      <c r="E25" s="17"/>
      <c r="F25" s="17"/>
      <c r="G25" s="17"/>
      <c r="H25" s="17"/>
      <c r="I25" s="17"/>
      <c r="J25" s="17"/>
    </row>
    <row r="26" spans="1:10" ht="15.75" thickBot="1" x14ac:dyDescent="0.25"/>
    <row r="27" spans="1:10" ht="15.75" thickBot="1" x14ac:dyDescent="0.25">
      <c r="B27" s="15"/>
      <c r="C27" s="15"/>
      <c r="D27" s="9"/>
      <c r="E27" s="10"/>
      <c r="F27" s="44" t="s">
        <v>18</v>
      </c>
      <c r="G27" s="11"/>
      <c r="H27" s="12"/>
      <c r="I27" s="15"/>
      <c r="J27" s="15"/>
    </row>
    <row r="28" spans="1:10" ht="15.75" x14ac:dyDescent="0.25">
      <c r="B28" s="14"/>
      <c r="C28" s="15"/>
      <c r="D28" s="15"/>
      <c r="E28" s="15"/>
      <c r="F28" s="15"/>
      <c r="G28" s="15"/>
      <c r="H28" s="15"/>
      <c r="I28" s="15"/>
      <c r="J28" s="15"/>
    </row>
    <row r="29" spans="1:10" ht="15.75" x14ac:dyDescent="0.25">
      <c r="B29" s="14" t="s">
        <v>19</v>
      </c>
      <c r="C29" s="15"/>
      <c r="D29" s="15"/>
      <c r="E29" s="15"/>
      <c r="F29" s="15"/>
      <c r="G29" s="15"/>
      <c r="H29" s="15"/>
      <c r="I29" s="15"/>
      <c r="J29" s="15"/>
    </row>
    <row r="30" spans="1:10" ht="15.75" x14ac:dyDescent="0.25">
      <c r="B30" s="14" t="s">
        <v>20</v>
      </c>
      <c r="C30" s="15"/>
      <c r="D30" s="15"/>
      <c r="E30" s="15"/>
      <c r="F30" s="15"/>
      <c r="G30" s="15"/>
      <c r="H30" s="15"/>
      <c r="I30" s="15"/>
      <c r="J30" s="15"/>
    </row>
    <row r="31" spans="1:10" ht="15.75" x14ac:dyDescent="0.25">
      <c r="B31" s="24" t="s">
        <v>21</v>
      </c>
      <c r="C31" s="15"/>
      <c r="D31" s="15"/>
      <c r="E31" s="15"/>
      <c r="F31" s="15"/>
      <c r="G31" s="15"/>
      <c r="H31" s="15"/>
      <c r="I31" s="15"/>
      <c r="J31" s="15"/>
    </row>
    <row r="32" spans="1:10" ht="15.75" x14ac:dyDescent="0.25">
      <c r="B32" s="24" t="s">
        <v>22</v>
      </c>
      <c r="C32" s="15"/>
      <c r="D32" s="15"/>
      <c r="E32" s="15"/>
      <c r="F32" s="15"/>
      <c r="G32" s="15"/>
      <c r="H32" s="15"/>
      <c r="I32" s="15"/>
      <c r="J32" s="15"/>
    </row>
    <row r="33" spans="1:10" ht="15.75" x14ac:dyDescent="0.25">
      <c r="A33" s="25"/>
      <c r="B33" s="26"/>
      <c r="C33" s="26"/>
      <c r="D33" s="26"/>
      <c r="E33" s="26"/>
      <c r="F33" s="25"/>
      <c r="G33" s="25"/>
      <c r="H33" s="25"/>
      <c r="I33" s="25"/>
      <c r="J33" s="15"/>
    </row>
    <row r="34" spans="1:10" ht="15.75" x14ac:dyDescent="0.25">
      <c r="A34" s="25"/>
      <c r="B34" s="27" t="s">
        <v>23</v>
      </c>
      <c r="C34" s="28"/>
      <c r="D34" s="29" t="s">
        <v>24</v>
      </c>
      <c r="E34" s="28"/>
      <c r="F34" s="29" t="s">
        <v>25</v>
      </c>
      <c r="G34" s="28"/>
      <c r="H34" s="29" t="s">
        <v>26</v>
      </c>
      <c r="I34" s="30"/>
      <c r="J34" s="15"/>
    </row>
    <row r="35" spans="1:10" ht="15.75" x14ac:dyDescent="0.25">
      <c r="A35" s="25"/>
      <c r="B35" s="31" t="s">
        <v>27</v>
      </c>
      <c r="C35" s="32"/>
      <c r="D35" s="33" t="s">
        <v>28</v>
      </c>
      <c r="E35" s="32"/>
      <c r="F35" s="33" t="s">
        <v>29</v>
      </c>
      <c r="G35" s="32"/>
      <c r="H35" s="34" t="str">
        <f>Data!H22</f>
        <v>m</v>
      </c>
      <c r="I35" s="35"/>
      <c r="J35" s="15"/>
    </row>
    <row r="36" spans="1:10" ht="15.75" x14ac:dyDescent="0.25">
      <c r="A36" s="25"/>
      <c r="B36" s="31" t="s">
        <v>27</v>
      </c>
      <c r="C36" s="32"/>
      <c r="D36" s="33" t="s">
        <v>30</v>
      </c>
      <c r="E36" s="32"/>
      <c r="F36" s="33" t="s">
        <v>31</v>
      </c>
      <c r="G36" s="32"/>
      <c r="H36" s="34" t="str">
        <f>Data!H24</f>
        <v>g</v>
      </c>
      <c r="I36" s="35"/>
      <c r="J36" s="15"/>
    </row>
    <row r="37" spans="1:10" ht="15.75" x14ac:dyDescent="0.25">
      <c r="A37" s="25"/>
      <c r="B37" s="36" t="s">
        <v>32</v>
      </c>
      <c r="C37" s="32"/>
      <c r="D37" s="33" t="s">
        <v>33</v>
      </c>
      <c r="E37" s="32"/>
      <c r="F37" s="33" t="s">
        <v>34</v>
      </c>
      <c r="G37" s="32"/>
      <c r="H37" s="34" t="str">
        <f>Report!F5</f>
        <v>testdata</v>
      </c>
      <c r="I37" s="35"/>
      <c r="J37" s="15"/>
    </row>
    <row r="38" spans="1:10" ht="15.75" x14ac:dyDescent="0.25">
      <c r="A38" s="25"/>
      <c r="B38" s="37" t="s">
        <v>35</v>
      </c>
      <c r="C38" s="38"/>
      <c r="D38" s="39" t="s">
        <v>36</v>
      </c>
      <c r="E38" s="38"/>
      <c r="F38" s="39" t="s">
        <v>37</v>
      </c>
      <c r="G38" s="38"/>
      <c r="H38" s="40">
        <f>'Chart Data'!D2</f>
        <v>1.0000000000000001E-5</v>
      </c>
      <c r="I38" s="41"/>
      <c r="J38" s="15"/>
    </row>
    <row r="39" spans="1:10" ht="15.75" x14ac:dyDescent="0.25">
      <c r="A39" s="25"/>
      <c r="B39" s="26"/>
      <c r="C39" s="26"/>
      <c r="D39" s="26"/>
      <c r="E39" s="26"/>
      <c r="F39" s="25"/>
      <c r="G39" s="25"/>
      <c r="H39" s="25"/>
      <c r="I39" s="25"/>
      <c r="J39" s="15"/>
    </row>
    <row r="40" spans="1:10" ht="15.75" x14ac:dyDescent="0.25">
      <c r="B40" s="42" t="s">
        <v>38</v>
      </c>
    </row>
    <row r="41" spans="1:10" ht="15.75" x14ac:dyDescent="0.25">
      <c r="B41" s="24" t="s">
        <v>39</v>
      </c>
    </row>
    <row r="42" spans="1:10" ht="15.75" x14ac:dyDescent="0.25">
      <c r="A42" s="17"/>
      <c r="B42" s="18"/>
      <c r="C42" s="17"/>
      <c r="D42" s="17"/>
      <c r="E42" s="17"/>
      <c r="F42" s="17"/>
      <c r="G42" s="17"/>
      <c r="H42" s="17"/>
      <c r="I42" s="17"/>
      <c r="J42" s="17"/>
    </row>
    <row r="43" spans="1:10" ht="15.75" thickBot="1" x14ac:dyDescent="0.25">
      <c r="B43" s="43"/>
    </row>
    <row r="44" spans="1:10" ht="15.75" thickBot="1" x14ac:dyDescent="0.25">
      <c r="D44" s="9"/>
      <c r="E44" s="10"/>
      <c r="F44" s="44" t="s">
        <v>40</v>
      </c>
      <c r="G44" s="11"/>
      <c r="H44" s="12"/>
    </row>
    <row r="45" spans="1:10" ht="15.75" x14ac:dyDescent="0.25">
      <c r="B45" s="14"/>
      <c r="C45" s="15"/>
      <c r="D45" s="15"/>
      <c r="E45" s="15"/>
      <c r="F45" s="15"/>
      <c r="G45" s="15"/>
      <c r="H45" s="15"/>
      <c r="I45" s="15"/>
      <c r="J45" s="15"/>
    </row>
    <row r="46" spans="1:10" ht="15.75" x14ac:dyDescent="0.25">
      <c r="B46" s="45" t="s">
        <v>41</v>
      </c>
      <c r="C46" s="46" t="s">
        <v>42</v>
      </c>
      <c r="D46" s="15"/>
      <c r="E46" s="15"/>
      <c r="F46" s="15"/>
      <c r="G46" s="15"/>
      <c r="H46" s="15"/>
      <c r="I46" s="15"/>
      <c r="J46" s="15"/>
    </row>
    <row r="47" spans="1:10" ht="15.75" x14ac:dyDescent="0.25">
      <c r="C47" s="14" t="s">
        <v>43</v>
      </c>
      <c r="D47" s="15"/>
      <c r="E47" s="15"/>
      <c r="F47" s="15"/>
      <c r="G47" s="15"/>
      <c r="H47" s="15"/>
      <c r="I47" s="15"/>
      <c r="J47" s="15"/>
    </row>
    <row r="48" spans="1:10" ht="15.75" x14ac:dyDescent="0.25">
      <c r="B48" s="46"/>
      <c r="C48" s="16" t="s">
        <v>44</v>
      </c>
      <c r="D48" s="15"/>
      <c r="E48" s="15"/>
      <c r="F48" s="15"/>
      <c r="G48" s="15"/>
      <c r="H48" s="15"/>
      <c r="I48" s="15"/>
      <c r="J48" s="15"/>
    </row>
    <row r="49" spans="2:10" ht="15.75" x14ac:dyDescent="0.25">
      <c r="B49" s="46"/>
      <c r="C49" s="16"/>
      <c r="D49" s="15"/>
      <c r="E49" s="15"/>
      <c r="F49" s="15"/>
      <c r="G49" s="15"/>
      <c r="H49" s="15"/>
      <c r="I49" s="15"/>
      <c r="J49" s="15"/>
    </row>
    <row r="50" spans="2:10" ht="15.75" x14ac:dyDescent="0.25">
      <c r="B50" s="45" t="s">
        <v>45</v>
      </c>
      <c r="C50" s="16" t="s">
        <v>46</v>
      </c>
      <c r="D50" s="15"/>
      <c r="E50" s="15"/>
      <c r="F50" s="15"/>
      <c r="G50" s="15"/>
      <c r="H50" s="15"/>
      <c r="I50" s="15"/>
      <c r="J50" s="15"/>
    </row>
    <row r="51" spans="2:10" ht="15.75" x14ac:dyDescent="0.25">
      <c r="B51" s="46"/>
      <c r="C51" s="47" t="s">
        <v>47</v>
      </c>
      <c r="D51" s="15"/>
      <c r="E51" s="15"/>
      <c r="F51" s="15"/>
      <c r="G51" s="15"/>
      <c r="H51" s="15"/>
      <c r="I51" s="15"/>
      <c r="J51" s="15"/>
    </row>
    <row r="52" spans="2:10" ht="15.75" x14ac:dyDescent="0.25">
      <c r="B52" s="46"/>
      <c r="C52" s="47" t="s">
        <v>48</v>
      </c>
      <c r="D52" s="15"/>
      <c r="E52" s="15"/>
      <c r="F52" s="15"/>
      <c r="G52" s="15"/>
      <c r="H52" s="15"/>
      <c r="I52" s="15"/>
      <c r="J52" s="15"/>
    </row>
    <row r="53" spans="2:10" ht="15.75" x14ac:dyDescent="0.25">
      <c r="B53" s="46"/>
      <c r="C53" s="16"/>
      <c r="D53" s="15"/>
      <c r="E53" s="15"/>
      <c r="F53" s="15"/>
      <c r="G53" s="15"/>
      <c r="H53" s="15"/>
      <c r="I53" s="15"/>
      <c r="J53" s="15"/>
    </row>
    <row r="54" spans="2:10" ht="15.75" x14ac:dyDescent="0.25">
      <c r="B54" s="45" t="s">
        <v>45</v>
      </c>
      <c r="C54" s="16" t="s">
        <v>49</v>
      </c>
    </row>
    <row r="55" spans="2:10" ht="15.75" x14ac:dyDescent="0.25">
      <c r="B55" s="45"/>
      <c r="C55" s="16" t="s">
        <v>50</v>
      </c>
    </row>
    <row r="56" spans="2:10" ht="15.75" x14ac:dyDescent="0.25">
      <c r="C56" s="16" t="s">
        <v>51</v>
      </c>
    </row>
    <row r="57" spans="2:10" ht="15.75" x14ac:dyDescent="0.25">
      <c r="C57" s="16" t="s">
        <v>52</v>
      </c>
    </row>
    <row r="58" spans="2:10" ht="15.75" x14ac:dyDescent="0.25">
      <c r="C58" s="47" t="s">
        <v>53</v>
      </c>
    </row>
    <row r="59" spans="2:10" ht="15.75" x14ac:dyDescent="0.25">
      <c r="C59" s="47"/>
    </row>
    <row r="60" spans="2:10" ht="15.75" x14ac:dyDescent="0.25">
      <c r="B60" s="49" t="s">
        <v>54</v>
      </c>
      <c r="C60" s="16" t="s">
        <v>55</v>
      </c>
    </row>
    <row r="61" spans="2:10" ht="15.75" x14ac:dyDescent="0.25">
      <c r="B61" s="47"/>
      <c r="C61" s="48" t="s">
        <v>56</v>
      </c>
    </row>
    <row r="62" spans="2:10" ht="15.75" x14ac:dyDescent="0.25">
      <c r="B62" s="47"/>
      <c r="C62" s="48" t="s">
        <v>57</v>
      </c>
    </row>
    <row r="63" spans="2:10" ht="15.75" x14ac:dyDescent="0.25">
      <c r="C63" s="47" t="s">
        <v>58</v>
      </c>
    </row>
    <row r="64" spans="2:10" ht="15.75" x14ac:dyDescent="0.25">
      <c r="B64" s="48"/>
      <c r="C64" s="16" t="s">
        <v>59</v>
      </c>
    </row>
    <row r="65" spans="2:10" ht="15.75" x14ac:dyDescent="0.25">
      <c r="B65" s="45"/>
      <c r="C65" s="16" t="s">
        <v>60</v>
      </c>
      <c r="D65" s="15"/>
      <c r="E65" s="15"/>
      <c r="F65" s="15"/>
      <c r="G65" s="15"/>
      <c r="H65" s="15"/>
      <c r="I65" s="15"/>
      <c r="J65" s="15"/>
    </row>
    <row r="66" spans="2:10" x14ac:dyDescent="0.2">
      <c r="B66" s="43"/>
    </row>
    <row r="67" spans="2:10" ht="15.75" x14ac:dyDescent="0.25">
      <c r="B67" s="49" t="s">
        <v>61</v>
      </c>
      <c r="C67" s="16" t="s">
        <v>62</v>
      </c>
    </row>
    <row r="68" spans="2:10" ht="15.75" x14ac:dyDescent="0.25">
      <c r="B68" s="43"/>
      <c r="C68" s="47" t="s">
        <v>63</v>
      </c>
    </row>
    <row r="69" spans="2:10" ht="15.75" x14ac:dyDescent="0.25">
      <c r="C69" s="47"/>
    </row>
  </sheetData>
  <sheetProtection sheet="1" objects="1" scenarios="1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showRowColHeaders="0" workbookViewId="0"/>
  </sheetViews>
  <sheetFormatPr defaultColWidth="6.77734375" defaultRowHeight="15" x14ac:dyDescent="0.2"/>
  <cols>
    <col min="1" max="2" width="3.77734375" customWidth="1"/>
    <col min="5" max="5" width="3.77734375" customWidth="1"/>
  </cols>
  <sheetData>
    <row r="1" spans="2:11" ht="15.75" thickBot="1" x14ac:dyDescent="0.25"/>
    <row r="2" spans="2:11" ht="16.5" thickBot="1" x14ac:dyDescent="0.3">
      <c r="E2" s="51"/>
      <c r="F2" s="52"/>
      <c r="G2" s="3" t="s">
        <v>64</v>
      </c>
      <c r="H2" s="52"/>
      <c r="I2" s="53"/>
    </row>
    <row r="3" spans="2:11" ht="15.75" x14ac:dyDescent="0.25">
      <c r="C3" s="54" t="s">
        <v>65</v>
      </c>
      <c r="D3" s="55"/>
    </row>
    <row r="4" spans="2:11" ht="18.75" x14ac:dyDescent="0.3">
      <c r="C4" s="56" t="s">
        <v>66</v>
      </c>
      <c r="D4" s="57" t="s">
        <v>67</v>
      </c>
      <c r="E4" s="58"/>
    </row>
    <row r="5" spans="2:11" ht="18" thickBot="1" x14ac:dyDescent="0.35">
      <c r="B5" s="183" t="s">
        <v>68</v>
      </c>
      <c r="C5" s="59" t="s">
        <v>69</v>
      </c>
      <c r="D5" s="59" t="s">
        <v>70</v>
      </c>
      <c r="E5" s="43"/>
      <c r="F5" s="60" t="s">
        <v>71</v>
      </c>
      <c r="G5" s="43"/>
      <c r="H5" s="43"/>
      <c r="I5" s="43"/>
      <c r="J5" s="43"/>
      <c r="K5" s="43"/>
    </row>
    <row r="6" spans="2:11" ht="17.25" thickTop="1" thickBot="1" x14ac:dyDescent="0.3">
      <c r="B6" s="61">
        <v>0</v>
      </c>
      <c r="C6" s="62">
        <v>0</v>
      </c>
      <c r="D6" s="63">
        <v>4.3542059999999996</v>
      </c>
      <c r="E6" s="43"/>
      <c r="F6" s="16" t="s">
        <v>72</v>
      </c>
      <c r="G6" s="43"/>
      <c r="H6" s="43"/>
      <c r="I6" s="43"/>
      <c r="J6" s="43"/>
      <c r="K6" s="43"/>
    </row>
    <row r="7" spans="2:11" ht="16.5" thickTop="1" x14ac:dyDescent="0.25">
      <c r="B7" s="61">
        <v>1</v>
      </c>
      <c r="C7" s="63">
        <v>8641</v>
      </c>
      <c r="D7" s="64">
        <v>4.3374499999999996</v>
      </c>
      <c r="E7" s="43"/>
      <c r="F7" s="16" t="s">
        <v>73</v>
      </c>
      <c r="G7" s="43"/>
      <c r="H7" s="43"/>
      <c r="I7" s="43"/>
      <c r="J7" s="43"/>
      <c r="K7" s="43"/>
    </row>
    <row r="8" spans="2:11" ht="15.75" x14ac:dyDescent="0.25">
      <c r="B8" s="61">
        <f t="shared" ref="B8:B23" si="0">IF(x="","",+B7+1)</f>
        <v>2</v>
      </c>
      <c r="C8" s="64">
        <f>10081+C7</f>
        <v>18722</v>
      </c>
      <c r="D8" s="64">
        <v>4.3167660000000003</v>
      </c>
      <c r="E8" s="43"/>
      <c r="F8" s="47" t="s">
        <v>74</v>
      </c>
      <c r="G8" s="43"/>
      <c r="H8" s="43"/>
      <c r="I8" s="43"/>
      <c r="J8" s="43"/>
      <c r="K8" s="43"/>
    </row>
    <row r="9" spans="2:11" x14ac:dyDescent="0.2">
      <c r="B9" s="61">
        <f t="shared" si="0"/>
        <v>3</v>
      </c>
      <c r="C9" s="64">
        <f>21600+C8</f>
        <v>40322</v>
      </c>
      <c r="D9" s="64">
        <v>4.2734940000000003</v>
      </c>
      <c r="E9" s="43"/>
      <c r="F9" s="43"/>
      <c r="G9" s="43"/>
      <c r="H9" s="43"/>
      <c r="I9" s="43"/>
      <c r="J9" s="43"/>
      <c r="K9" s="43"/>
    </row>
    <row r="10" spans="2:11" ht="15.75" x14ac:dyDescent="0.25">
      <c r="B10" s="61">
        <f t="shared" si="0"/>
        <v>4</v>
      </c>
      <c r="C10" s="64">
        <f>24480+C9</f>
        <v>64802</v>
      </c>
      <c r="D10" s="64">
        <v>4.2245140000000001</v>
      </c>
      <c r="E10" s="43"/>
      <c r="F10" s="16" t="s">
        <v>75</v>
      </c>
      <c r="H10" s="65"/>
      <c r="I10" s="43"/>
      <c r="J10" s="43"/>
      <c r="K10" s="43"/>
    </row>
    <row r="11" spans="2:11" ht="15.75" x14ac:dyDescent="0.25">
      <c r="B11" s="61">
        <f t="shared" si="0"/>
        <v>5</v>
      </c>
      <c r="C11" s="64">
        <f t="shared" ref="C11:C12" si="1">10080+C10</f>
        <v>74882</v>
      </c>
      <c r="D11" s="64">
        <v>4.2037800000000001</v>
      </c>
      <c r="E11" s="43"/>
      <c r="F11" s="47" t="s">
        <v>76</v>
      </c>
      <c r="G11" s="50">
        <f>COUNT(x)</f>
        <v>7</v>
      </c>
      <c r="H11" s="43"/>
      <c r="I11" s="43"/>
      <c r="J11" s="43"/>
      <c r="K11" s="43"/>
    </row>
    <row r="12" spans="2:11" ht="15.75" x14ac:dyDescent="0.25">
      <c r="B12" s="61">
        <f t="shared" si="0"/>
        <v>6</v>
      </c>
      <c r="C12" s="64">
        <f t="shared" si="1"/>
        <v>84962</v>
      </c>
      <c r="D12" s="64">
        <v>4.1843899999999996</v>
      </c>
      <c r="E12" s="43"/>
      <c r="F12" s="16" t="s">
        <v>77</v>
      </c>
      <c r="G12" s="43"/>
      <c r="H12" s="43"/>
      <c r="I12" s="43"/>
      <c r="J12" s="43"/>
      <c r="K12" s="43"/>
    </row>
    <row r="13" spans="2:11" ht="15.75" x14ac:dyDescent="0.25">
      <c r="B13" s="61" t="str">
        <f t="shared" si="0"/>
        <v/>
      </c>
      <c r="C13" s="64"/>
      <c r="D13" s="64"/>
      <c r="E13" s="43"/>
      <c r="F13" s="42" t="s">
        <v>78</v>
      </c>
      <c r="G13" s="43"/>
      <c r="H13" s="43"/>
      <c r="I13" s="43"/>
      <c r="J13" s="43"/>
      <c r="K13" s="43"/>
    </row>
    <row r="14" spans="2:11" ht="15.75" x14ac:dyDescent="0.25">
      <c r="B14" s="61" t="str">
        <f t="shared" si="0"/>
        <v/>
      </c>
      <c r="C14" s="64"/>
      <c r="D14" s="64"/>
      <c r="E14" s="43"/>
      <c r="F14" s="16" t="s">
        <v>79</v>
      </c>
      <c r="G14" s="43"/>
      <c r="H14" s="43"/>
      <c r="I14" s="43"/>
      <c r="J14" s="43"/>
      <c r="K14" s="43"/>
    </row>
    <row r="15" spans="2:11" x14ac:dyDescent="0.2">
      <c r="B15" s="61" t="str">
        <f t="shared" si="0"/>
        <v/>
      </c>
      <c r="C15" s="64"/>
      <c r="D15" s="64"/>
      <c r="E15" s="43"/>
      <c r="I15" s="43"/>
      <c r="J15" s="43"/>
      <c r="K15" s="43"/>
    </row>
    <row r="16" spans="2:11" ht="15.75" x14ac:dyDescent="0.25">
      <c r="B16" s="61" t="str">
        <f t="shared" si="0"/>
        <v/>
      </c>
      <c r="C16" s="64"/>
      <c r="D16" s="64"/>
      <c r="E16" s="43"/>
      <c r="F16" s="16" t="s">
        <v>80</v>
      </c>
      <c r="I16" s="43"/>
      <c r="J16" s="43"/>
      <c r="K16" s="43"/>
    </row>
    <row r="17" spans="2:11" ht="15.75" x14ac:dyDescent="0.25">
      <c r="B17" s="61" t="str">
        <f t="shared" si="0"/>
        <v/>
      </c>
      <c r="C17" s="64"/>
      <c r="D17" s="64"/>
      <c r="E17" s="43"/>
      <c r="F17" s="16" t="s">
        <v>81</v>
      </c>
      <c r="I17" s="43"/>
      <c r="J17" s="43"/>
      <c r="K17" s="43"/>
    </row>
    <row r="18" spans="2:11" ht="15.75" x14ac:dyDescent="0.25">
      <c r="B18" s="61" t="str">
        <f t="shared" si="0"/>
        <v/>
      </c>
      <c r="C18" s="64"/>
      <c r="D18" s="64"/>
      <c r="E18" s="43"/>
      <c r="F18" s="47" t="s">
        <v>82</v>
      </c>
      <c r="J18" s="43"/>
      <c r="K18" s="43"/>
    </row>
    <row r="19" spans="2:11" ht="15.75" x14ac:dyDescent="0.25">
      <c r="B19" s="61" t="str">
        <f t="shared" si="0"/>
        <v/>
      </c>
      <c r="C19" s="64"/>
      <c r="D19" s="64"/>
      <c r="E19" s="43"/>
      <c r="F19" s="66"/>
      <c r="J19" s="43"/>
      <c r="K19" s="43"/>
    </row>
    <row r="20" spans="2:11" ht="15.75" x14ac:dyDescent="0.25">
      <c r="B20" s="61" t="str">
        <f t="shared" si="0"/>
        <v/>
      </c>
      <c r="C20" s="64"/>
      <c r="D20" s="64"/>
      <c r="E20" s="43"/>
      <c r="F20" s="47" t="s">
        <v>83</v>
      </c>
      <c r="I20" s="43"/>
      <c r="J20" s="43"/>
      <c r="K20" s="43"/>
    </row>
    <row r="21" spans="2:11" ht="15.75" thickBot="1" x14ac:dyDescent="0.25">
      <c r="B21" s="61" t="str">
        <f t="shared" si="0"/>
        <v/>
      </c>
      <c r="C21" s="64"/>
      <c r="D21" s="64"/>
      <c r="E21" s="43"/>
      <c r="I21" s="43"/>
      <c r="J21" s="43"/>
      <c r="K21" s="43"/>
    </row>
    <row r="22" spans="2:11" ht="17.25" thickTop="1" thickBot="1" x14ac:dyDescent="0.3">
      <c r="B22" s="61" t="str">
        <f t="shared" si="0"/>
        <v/>
      </c>
      <c r="C22" s="64"/>
      <c r="D22" s="64"/>
      <c r="E22" s="43"/>
      <c r="G22" s="185" t="s">
        <v>84</v>
      </c>
      <c r="H22" s="67" t="s">
        <v>85</v>
      </c>
      <c r="J22" s="43"/>
      <c r="K22" s="43"/>
    </row>
    <row r="23" spans="2:11" ht="16.5" thickTop="1" thickBot="1" x14ac:dyDescent="0.25">
      <c r="B23" s="61" t="str">
        <f t="shared" si="0"/>
        <v/>
      </c>
      <c r="C23" s="64"/>
      <c r="D23" s="64"/>
      <c r="E23" s="43"/>
      <c r="J23" s="43"/>
      <c r="K23" s="43"/>
    </row>
    <row r="24" spans="2:11" ht="17.25" thickTop="1" thickBot="1" x14ac:dyDescent="0.3">
      <c r="B24" s="61" t="str">
        <f t="shared" ref="B24:B39" si="2">IF(x="","",+B23+1)</f>
        <v/>
      </c>
      <c r="C24" s="64"/>
      <c r="D24" s="64"/>
      <c r="E24" s="43"/>
      <c r="G24" s="185" t="s">
        <v>86</v>
      </c>
      <c r="H24" s="69" t="s">
        <v>87</v>
      </c>
      <c r="J24" s="43"/>
      <c r="K24" s="43"/>
    </row>
    <row r="25" spans="2:11" ht="15.75" thickTop="1" x14ac:dyDescent="0.2">
      <c r="B25" s="61" t="str">
        <f t="shared" si="2"/>
        <v/>
      </c>
      <c r="C25" s="64"/>
      <c r="D25" s="64"/>
      <c r="E25" s="43"/>
      <c r="J25" s="43"/>
      <c r="K25" s="43"/>
    </row>
    <row r="26" spans="2:11" x14ac:dyDescent="0.2">
      <c r="B26" s="61" t="str">
        <f t="shared" si="2"/>
        <v/>
      </c>
      <c r="C26" s="64"/>
      <c r="D26" s="64"/>
      <c r="E26" s="43"/>
      <c r="J26" s="43"/>
      <c r="K26" s="43"/>
    </row>
    <row r="27" spans="2:11" x14ac:dyDescent="0.2">
      <c r="B27" s="61" t="str">
        <f t="shared" si="2"/>
        <v/>
      </c>
      <c r="C27" s="64"/>
      <c r="D27" s="64"/>
      <c r="E27" s="43"/>
      <c r="J27" s="43"/>
      <c r="K27" s="43"/>
    </row>
    <row r="28" spans="2:11" x14ac:dyDescent="0.2">
      <c r="B28" s="61" t="str">
        <f t="shared" si="2"/>
        <v/>
      </c>
      <c r="C28" s="64"/>
      <c r="D28" s="64"/>
      <c r="E28" s="43"/>
      <c r="J28" s="43"/>
      <c r="K28" s="43"/>
    </row>
    <row r="29" spans="2:11" x14ac:dyDescent="0.2">
      <c r="B29" s="61" t="str">
        <f t="shared" si="2"/>
        <v/>
      </c>
      <c r="C29" s="64"/>
      <c r="D29" s="64"/>
      <c r="J29" s="43"/>
      <c r="K29" s="43"/>
    </row>
    <row r="30" spans="2:11" x14ac:dyDescent="0.2">
      <c r="B30" s="61" t="str">
        <f t="shared" si="2"/>
        <v/>
      </c>
      <c r="C30" s="64"/>
      <c r="D30" s="64"/>
      <c r="J30" s="43"/>
      <c r="K30" s="43"/>
    </row>
    <row r="31" spans="2:11" x14ac:dyDescent="0.2">
      <c r="B31" s="61" t="str">
        <f t="shared" si="2"/>
        <v/>
      </c>
      <c r="C31" s="64"/>
      <c r="D31" s="64"/>
      <c r="J31" s="43"/>
      <c r="K31" s="43"/>
    </row>
    <row r="32" spans="2:11" x14ac:dyDescent="0.2">
      <c r="B32" s="61" t="str">
        <f t="shared" si="2"/>
        <v/>
      </c>
      <c r="C32" s="64"/>
      <c r="D32" s="64"/>
      <c r="E32" s="43"/>
      <c r="J32" s="43"/>
      <c r="K32" s="43"/>
    </row>
    <row r="33" spans="2:11" x14ac:dyDescent="0.2">
      <c r="B33" s="61" t="str">
        <f t="shared" si="2"/>
        <v/>
      </c>
      <c r="C33" s="64"/>
      <c r="D33" s="64"/>
      <c r="E33" s="43"/>
      <c r="J33" s="43"/>
      <c r="K33" s="43"/>
    </row>
    <row r="34" spans="2:11" x14ac:dyDescent="0.2">
      <c r="B34" s="61" t="str">
        <f t="shared" si="2"/>
        <v/>
      </c>
      <c r="C34" s="64"/>
      <c r="D34" s="64"/>
      <c r="E34" s="43"/>
      <c r="J34" s="43"/>
      <c r="K34" s="43"/>
    </row>
    <row r="35" spans="2:11" x14ac:dyDescent="0.2">
      <c r="B35" s="61" t="str">
        <f t="shared" si="2"/>
        <v/>
      </c>
      <c r="C35" s="64"/>
      <c r="D35" s="64"/>
      <c r="E35" s="43"/>
      <c r="J35" s="43"/>
      <c r="K35" s="43"/>
    </row>
    <row r="36" spans="2:11" x14ac:dyDescent="0.2">
      <c r="B36" s="61" t="str">
        <f t="shared" si="2"/>
        <v/>
      </c>
      <c r="C36" s="64"/>
      <c r="D36" s="64"/>
      <c r="E36" s="43"/>
      <c r="F36" s="43"/>
      <c r="G36" s="43"/>
      <c r="H36" s="43"/>
      <c r="I36" s="43"/>
      <c r="J36" s="43"/>
      <c r="K36" s="43"/>
    </row>
    <row r="37" spans="2:11" x14ac:dyDescent="0.2">
      <c r="B37" s="61" t="str">
        <f t="shared" si="2"/>
        <v/>
      </c>
      <c r="C37" s="64"/>
      <c r="D37" s="64"/>
      <c r="E37" s="43"/>
      <c r="F37" s="43"/>
      <c r="G37" s="43"/>
      <c r="H37" s="43"/>
      <c r="I37" s="43"/>
      <c r="J37" s="43"/>
      <c r="K37" s="43"/>
    </row>
    <row r="38" spans="2:11" x14ac:dyDescent="0.2">
      <c r="B38" s="61" t="str">
        <f t="shared" si="2"/>
        <v/>
      </c>
      <c r="C38" s="64"/>
      <c r="D38" s="64"/>
      <c r="E38" s="43"/>
      <c r="F38" s="43"/>
      <c r="G38" s="43"/>
      <c r="H38" s="43"/>
      <c r="I38" s="43"/>
      <c r="J38" s="43"/>
      <c r="K38" s="43"/>
    </row>
    <row r="39" spans="2:11" x14ac:dyDescent="0.2">
      <c r="B39" s="61" t="str">
        <f t="shared" si="2"/>
        <v/>
      </c>
      <c r="C39" s="64"/>
      <c r="D39" s="64"/>
      <c r="E39" s="43"/>
      <c r="F39" s="43"/>
      <c r="G39" s="43"/>
      <c r="H39" s="43"/>
      <c r="I39" s="43"/>
      <c r="J39" s="43"/>
      <c r="K39" s="43"/>
    </row>
    <row r="40" spans="2:11" x14ac:dyDescent="0.2">
      <c r="B40" s="61" t="str">
        <f t="shared" ref="B40:B55" si="3">IF(x="","",+B39+1)</f>
        <v/>
      </c>
      <c r="C40" s="64"/>
      <c r="D40" s="64"/>
      <c r="E40" s="43"/>
      <c r="F40" s="43"/>
      <c r="G40" s="43"/>
      <c r="H40" s="43"/>
      <c r="I40" s="43"/>
      <c r="J40" s="43"/>
      <c r="K40" s="43"/>
    </row>
    <row r="41" spans="2:11" x14ac:dyDescent="0.2">
      <c r="B41" s="61" t="str">
        <f t="shared" si="3"/>
        <v/>
      </c>
      <c r="C41" s="64"/>
      <c r="D41" s="64"/>
      <c r="E41" s="43"/>
      <c r="F41" s="43"/>
      <c r="G41" s="43"/>
      <c r="H41" s="43"/>
      <c r="I41" s="43"/>
      <c r="J41" s="43"/>
      <c r="K41" s="43"/>
    </row>
    <row r="42" spans="2:11" x14ac:dyDescent="0.2">
      <c r="B42" s="61" t="str">
        <f t="shared" si="3"/>
        <v/>
      </c>
      <c r="C42" s="64"/>
      <c r="D42" s="64"/>
      <c r="E42" s="43"/>
      <c r="F42" s="43"/>
      <c r="G42" s="43"/>
      <c r="H42" s="43"/>
      <c r="I42" s="43"/>
      <c r="J42" s="43"/>
      <c r="K42" s="43"/>
    </row>
    <row r="43" spans="2:11" x14ac:dyDescent="0.2">
      <c r="B43" s="61" t="str">
        <f t="shared" si="3"/>
        <v/>
      </c>
      <c r="C43" s="64"/>
      <c r="D43" s="64"/>
      <c r="E43" s="43"/>
      <c r="F43" s="43"/>
      <c r="G43" s="43"/>
      <c r="H43" s="43"/>
      <c r="I43" s="43"/>
      <c r="J43" s="43"/>
      <c r="K43" s="43"/>
    </row>
    <row r="44" spans="2:11" x14ac:dyDescent="0.2">
      <c r="B44" s="61" t="str">
        <f t="shared" si="3"/>
        <v/>
      </c>
      <c r="C44" s="64"/>
      <c r="D44" s="64"/>
      <c r="E44" s="43"/>
      <c r="F44" s="43"/>
      <c r="G44" s="43"/>
      <c r="H44" s="43"/>
      <c r="I44" s="43"/>
      <c r="J44" s="43"/>
      <c r="K44" s="43"/>
    </row>
    <row r="45" spans="2:11" x14ac:dyDescent="0.2">
      <c r="B45" s="61" t="str">
        <f t="shared" si="3"/>
        <v/>
      </c>
      <c r="C45" s="64"/>
      <c r="D45" s="64"/>
      <c r="E45" s="43"/>
      <c r="F45" s="43"/>
      <c r="G45" s="43"/>
      <c r="H45" s="43"/>
      <c r="I45" s="43"/>
      <c r="J45" s="43"/>
      <c r="K45" s="43"/>
    </row>
    <row r="46" spans="2:11" x14ac:dyDescent="0.2">
      <c r="B46" s="61" t="str">
        <f t="shared" si="3"/>
        <v/>
      </c>
      <c r="C46" s="64"/>
      <c r="D46" s="64"/>
      <c r="E46" s="43"/>
      <c r="F46" s="43"/>
      <c r="G46" s="43"/>
      <c r="H46" s="43"/>
      <c r="I46" s="43"/>
      <c r="J46" s="43"/>
      <c r="K46" s="43"/>
    </row>
    <row r="47" spans="2:11" x14ac:dyDescent="0.2">
      <c r="B47" s="61" t="str">
        <f t="shared" si="3"/>
        <v/>
      </c>
      <c r="C47" s="64"/>
      <c r="D47" s="64"/>
      <c r="E47" s="43"/>
      <c r="F47" s="43"/>
      <c r="G47" s="43"/>
      <c r="H47" s="43"/>
      <c r="I47" s="43"/>
      <c r="J47" s="43"/>
      <c r="K47" s="43"/>
    </row>
    <row r="48" spans="2:11" x14ac:dyDescent="0.2">
      <c r="B48" s="61" t="str">
        <f t="shared" si="3"/>
        <v/>
      </c>
      <c r="C48" s="64"/>
      <c r="D48" s="64"/>
      <c r="E48" s="43"/>
      <c r="F48" s="43"/>
      <c r="G48" s="43"/>
      <c r="H48" s="43"/>
      <c r="I48" s="43"/>
      <c r="J48" s="43"/>
      <c r="K48" s="43"/>
    </row>
    <row r="49" spans="2:11" x14ac:dyDescent="0.2">
      <c r="B49" s="61" t="str">
        <f t="shared" si="3"/>
        <v/>
      </c>
      <c r="C49" s="64"/>
      <c r="D49" s="64"/>
      <c r="E49" s="43"/>
      <c r="F49" s="43"/>
      <c r="G49" s="43"/>
      <c r="H49" s="43"/>
      <c r="I49" s="43"/>
      <c r="J49" s="43"/>
      <c r="K49" s="43"/>
    </row>
    <row r="50" spans="2:11" x14ac:dyDescent="0.2">
      <c r="B50" s="61" t="str">
        <f t="shared" si="3"/>
        <v/>
      </c>
      <c r="C50" s="64"/>
      <c r="D50" s="64"/>
      <c r="E50" s="43"/>
      <c r="F50" s="43"/>
      <c r="G50" s="43"/>
      <c r="H50" s="43"/>
      <c r="I50" s="43"/>
      <c r="J50" s="43"/>
      <c r="K50" s="43"/>
    </row>
    <row r="51" spans="2:11" x14ac:dyDescent="0.2">
      <c r="B51" s="61" t="str">
        <f t="shared" si="3"/>
        <v/>
      </c>
      <c r="C51" s="64"/>
      <c r="D51" s="64"/>
      <c r="E51" s="43"/>
      <c r="F51" s="43"/>
      <c r="G51" s="43"/>
      <c r="H51" s="43"/>
      <c r="I51" s="43"/>
      <c r="J51" s="43"/>
      <c r="K51" s="43"/>
    </row>
    <row r="52" spans="2:11" x14ac:dyDescent="0.2">
      <c r="B52" s="61" t="str">
        <f t="shared" si="3"/>
        <v/>
      </c>
      <c r="C52" s="64"/>
      <c r="D52" s="64"/>
      <c r="E52" s="43"/>
      <c r="F52" s="43"/>
      <c r="G52" s="43"/>
      <c r="H52" s="43"/>
      <c r="I52" s="43"/>
      <c r="J52" s="43"/>
      <c r="K52" s="43"/>
    </row>
    <row r="53" spans="2:11" x14ac:dyDescent="0.2">
      <c r="B53" s="61" t="str">
        <f t="shared" si="3"/>
        <v/>
      </c>
      <c r="C53" s="64"/>
      <c r="D53" s="64"/>
      <c r="E53" s="43"/>
      <c r="F53" s="43"/>
      <c r="G53" s="43"/>
      <c r="H53" s="43"/>
      <c r="I53" s="43"/>
      <c r="J53" s="43"/>
      <c r="K53" s="43"/>
    </row>
    <row r="54" spans="2:11" x14ac:dyDescent="0.2">
      <c r="B54" s="61" t="str">
        <f t="shared" si="3"/>
        <v/>
      </c>
      <c r="C54" s="64"/>
      <c r="D54" s="64"/>
      <c r="E54" s="43"/>
      <c r="F54" s="43"/>
      <c r="G54" s="43"/>
      <c r="H54" s="43"/>
      <c r="I54" s="43"/>
      <c r="J54" s="43"/>
      <c r="K54" s="43"/>
    </row>
    <row r="55" spans="2:11" ht="15.75" thickBot="1" x14ac:dyDescent="0.25">
      <c r="B55" s="70" t="str">
        <f t="shared" si="3"/>
        <v/>
      </c>
      <c r="C55" s="71"/>
      <c r="D55" s="71"/>
      <c r="E55" s="43"/>
      <c r="F55" s="43"/>
      <c r="G55" s="43"/>
      <c r="H55" s="43"/>
      <c r="I55" s="43"/>
      <c r="J55" s="43"/>
      <c r="K55" s="43"/>
    </row>
    <row r="56" spans="2:11" ht="15.75" thickTop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15.75" x14ac:dyDescent="0.25">
      <c r="B57" s="43"/>
      <c r="C57" s="43">
        <f>MAX(C7:C55)</f>
        <v>84962</v>
      </c>
      <c r="D57" s="179" t="s">
        <v>88</v>
      </c>
      <c r="E57" s="43"/>
      <c r="F57" s="43"/>
      <c r="G57" s="43"/>
      <c r="H57" s="43"/>
      <c r="I57" s="43"/>
      <c r="J57" s="43"/>
      <c r="K57" s="43"/>
    </row>
    <row r="58" spans="2:11" ht="15.75" x14ac:dyDescent="0.25">
      <c r="C58" s="43">
        <f>MIN(D6:D55)</f>
        <v>4.1843899999999996</v>
      </c>
      <c r="D58" s="179" t="s">
        <v>89</v>
      </c>
      <c r="E58" s="43"/>
      <c r="F58" s="43"/>
      <c r="G58" s="43"/>
      <c r="H58" s="43"/>
      <c r="I58" s="43"/>
      <c r="J58" s="43"/>
      <c r="K58" s="43"/>
    </row>
    <row r="59" spans="2:11" x14ac:dyDescent="0.2">
      <c r="E59" s="43"/>
      <c r="F59" s="43"/>
      <c r="G59" s="43"/>
      <c r="H59" s="43"/>
      <c r="I59" s="43"/>
      <c r="J59" s="43"/>
      <c r="K59" s="43"/>
    </row>
    <row r="60" spans="2:11" x14ac:dyDescent="0.2">
      <c r="E60" s="43"/>
      <c r="F60" s="43"/>
      <c r="G60" s="43"/>
      <c r="H60" s="43"/>
      <c r="I60" s="43"/>
      <c r="J60" s="43"/>
      <c r="K60" s="43"/>
    </row>
    <row r="61" spans="2:11" x14ac:dyDescent="0.2">
      <c r="E61" s="43"/>
      <c r="F61" s="43"/>
      <c r="G61" s="43"/>
      <c r="H61" s="43"/>
      <c r="I61" s="43"/>
      <c r="J61" s="43"/>
      <c r="K61" s="43"/>
    </row>
    <row r="62" spans="2:11" x14ac:dyDescent="0.2">
      <c r="E62" s="43"/>
      <c r="F62" s="43"/>
      <c r="G62" s="43"/>
      <c r="H62" s="43"/>
      <c r="I62" s="43"/>
      <c r="J62" s="43"/>
      <c r="K62" s="43"/>
    </row>
    <row r="63" spans="2:1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2:1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2:1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2:1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2:1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2:1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2:1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2:1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2:1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2:1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2:1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2:1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3"/>
    </row>
  </sheetData>
  <sheetProtection sheet="1" objects="1" scenarios="1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showGridLines="0" showRowColHeaders="0" workbookViewId="0"/>
  </sheetViews>
  <sheetFormatPr defaultColWidth="6.77734375" defaultRowHeight="15" x14ac:dyDescent="0.2"/>
  <cols>
    <col min="1" max="1" width="3.77734375" customWidth="1"/>
  </cols>
  <sheetData>
    <row r="1" spans="1:22" ht="15.75" thickBot="1" x14ac:dyDescent="0.25"/>
    <row r="2" spans="1:22" ht="16.5" thickBot="1" x14ac:dyDescent="0.3">
      <c r="B2" s="1" t="s">
        <v>90</v>
      </c>
      <c r="C2" s="52"/>
      <c r="D2" s="52"/>
      <c r="E2" s="52"/>
      <c r="F2" s="52"/>
      <c r="G2" s="52"/>
      <c r="H2" s="52"/>
      <c r="I2" s="52"/>
      <c r="J2" s="53"/>
    </row>
    <row r="4" spans="1:22" ht="17.25" x14ac:dyDescent="0.3">
      <c r="B4" s="16" t="s">
        <v>91</v>
      </c>
      <c r="C4" s="43"/>
      <c r="D4" s="43"/>
      <c r="E4" s="43"/>
      <c r="F4" s="43"/>
      <c r="G4" s="43"/>
      <c r="H4" s="43"/>
      <c r="I4" s="43"/>
      <c r="J4" s="43"/>
      <c r="K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5.75" x14ac:dyDescent="0.25">
      <c r="B5" s="16" t="s">
        <v>92</v>
      </c>
      <c r="C5" s="43"/>
      <c r="D5" s="43"/>
      <c r="E5" s="43"/>
      <c r="F5" s="43"/>
      <c r="G5" s="43"/>
      <c r="H5" s="43"/>
      <c r="I5" s="43"/>
      <c r="J5" s="43"/>
      <c r="K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5.75" x14ac:dyDescent="0.25">
      <c r="B6" s="16" t="s">
        <v>93</v>
      </c>
      <c r="C6" s="43"/>
      <c r="D6" s="43"/>
      <c r="E6" s="43"/>
      <c r="F6" s="43"/>
      <c r="G6" s="43"/>
      <c r="H6" s="43"/>
      <c r="I6" s="43"/>
      <c r="J6" s="43"/>
      <c r="K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5.75" x14ac:dyDescent="0.25">
      <c r="B7" s="47" t="s">
        <v>94</v>
      </c>
      <c r="C7" s="43"/>
      <c r="D7" s="43"/>
      <c r="E7" s="43"/>
      <c r="F7" s="43"/>
      <c r="G7" s="43"/>
      <c r="H7" s="43"/>
      <c r="I7" s="43"/>
      <c r="J7" s="43"/>
      <c r="K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15.75" x14ac:dyDescent="0.25">
      <c r="B8" s="47" t="s">
        <v>95</v>
      </c>
      <c r="C8" s="43"/>
      <c r="D8" s="43"/>
      <c r="E8" s="43"/>
      <c r="F8" s="43"/>
      <c r="G8" s="43"/>
      <c r="H8" s="43"/>
      <c r="I8" s="43"/>
      <c r="J8" s="43"/>
      <c r="K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5.75" x14ac:dyDescent="0.25">
      <c r="A9" s="17"/>
      <c r="B9" s="18" t="s">
        <v>96</v>
      </c>
      <c r="C9" s="72"/>
      <c r="D9" s="72"/>
      <c r="E9" s="72"/>
      <c r="F9" s="72"/>
      <c r="G9" s="72"/>
      <c r="H9" s="72"/>
      <c r="I9" s="72"/>
      <c r="J9" s="72"/>
      <c r="K9" s="72"/>
      <c r="N9" s="43"/>
      <c r="O9" s="43"/>
      <c r="P9" s="43"/>
      <c r="Q9" s="43"/>
      <c r="R9" s="43"/>
      <c r="S9" s="43"/>
      <c r="T9" s="43"/>
      <c r="U9" s="43"/>
      <c r="V9" s="43"/>
    </row>
    <row r="10" spans="1:22" ht="16.5" thickBot="1" x14ac:dyDescent="0.3">
      <c r="A10" s="73"/>
      <c r="B10" s="14"/>
      <c r="C10" s="74"/>
      <c r="D10" s="74"/>
      <c r="E10" s="74"/>
      <c r="F10" s="74"/>
      <c r="G10" s="74"/>
      <c r="H10" s="74"/>
      <c r="I10" s="74"/>
      <c r="J10" s="74"/>
      <c r="K10" s="74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5.75" thickBot="1" x14ac:dyDescent="0.25">
      <c r="B11" s="75" t="s">
        <v>97</v>
      </c>
      <c r="C11" s="43"/>
      <c r="D11" s="43"/>
      <c r="E11" s="43"/>
      <c r="F11" s="43"/>
      <c r="G11" s="43"/>
      <c r="H11" s="43"/>
      <c r="I11" s="43"/>
      <c r="J11" s="43"/>
      <c r="K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x14ac:dyDescent="0.2">
      <c r="C12" s="43"/>
      <c r="D12" s="43"/>
      <c r="E12" s="43"/>
      <c r="F12" s="43"/>
      <c r="G12" s="43"/>
      <c r="H12" s="43"/>
      <c r="I12" s="43"/>
      <c r="J12" s="43"/>
      <c r="K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7.25" x14ac:dyDescent="0.3">
      <c r="A13" s="48"/>
      <c r="B13" s="76" t="s">
        <v>98</v>
      </c>
      <c r="D13" s="43"/>
      <c r="E13" s="43"/>
      <c r="F13" s="43"/>
      <c r="G13" s="43"/>
      <c r="H13" s="43"/>
      <c r="I13" s="43"/>
      <c r="J13" s="43"/>
      <c r="K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x14ac:dyDescent="0.25">
      <c r="B14" s="16" t="s">
        <v>99</v>
      </c>
      <c r="D14" s="43"/>
      <c r="E14" s="43"/>
      <c r="F14" s="43"/>
      <c r="G14" s="43"/>
      <c r="H14" s="43"/>
      <c r="I14" s="43"/>
      <c r="J14" s="43"/>
      <c r="K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5.75" x14ac:dyDescent="0.25">
      <c r="B15" s="16" t="s">
        <v>100</v>
      </c>
      <c r="D15" s="43"/>
      <c r="E15" s="43"/>
      <c r="F15" s="43"/>
      <c r="G15" s="43"/>
      <c r="H15" s="43"/>
      <c r="I15" s="43"/>
      <c r="J15" s="43"/>
      <c r="K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5.75" x14ac:dyDescent="0.25">
      <c r="B16" s="16"/>
      <c r="D16" s="43"/>
      <c r="E16" s="43"/>
      <c r="F16" s="43"/>
      <c r="G16" s="43"/>
      <c r="H16" s="43"/>
      <c r="I16" s="43"/>
      <c r="J16" s="43"/>
      <c r="K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ht="17.25" x14ac:dyDescent="0.3">
      <c r="B17" s="77" t="s">
        <v>101</v>
      </c>
      <c r="C17" s="78"/>
      <c r="D17" s="79"/>
      <c r="E17" s="79"/>
      <c r="F17" s="79"/>
      <c r="G17" s="79"/>
      <c r="H17" s="79"/>
      <c r="I17" s="79"/>
      <c r="J17" s="80"/>
      <c r="K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x14ac:dyDescent="0.2">
      <c r="B18" s="81" t="s">
        <v>102</v>
      </c>
      <c r="C18" s="82">
        <f>n</f>
        <v>7</v>
      </c>
      <c r="D18" s="83">
        <f>C19</f>
        <v>292331</v>
      </c>
      <c r="E18" s="84"/>
      <c r="F18" s="85" t="s">
        <v>103</v>
      </c>
      <c r="G18" s="86">
        <f>SUMPRODUCT(y,y)</f>
        <v>127.69720655642401</v>
      </c>
      <c r="H18" s="87"/>
      <c r="I18" s="88" t="s">
        <v>104</v>
      </c>
      <c r="J18" s="89"/>
      <c r="K18" s="43"/>
    </row>
    <row r="19" spans="2:22" ht="15.75" x14ac:dyDescent="0.25">
      <c r="B19" s="90"/>
      <c r="C19" s="91">
        <f>SUM(x)</f>
        <v>292331</v>
      </c>
      <c r="D19" s="92">
        <f>SUMPRODUCT(x,x)</f>
        <v>19076198421</v>
      </c>
      <c r="E19" s="93"/>
      <c r="F19" s="94" t="s">
        <v>105</v>
      </c>
      <c r="G19" s="86">
        <f>n-2</f>
        <v>5</v>
      </c>
      <c r="H19" s="93"/>
      <c r="I19" s="94" t="s">
        <v>106</v>
      </c>
      <c r="J19" s="95">
        <f>G22-G20*SQRT(E31)</f>
        <v>4.3538722161315828</v>
      </c>
      <c r="K19" s="43"/>
    </row>
    <row r="20" spans="2:22" ht="16.5" x14ac:dyDescent="0.25">
      <c r="B20" s="96" t="s">
        <v>107</v>
      </c>
      <c r="C20" s="82">
        <f>D19/C22</f>
        <v>0.39679274872403519</v>
      </c>
      <c r="D20" s="83">
        <f>C21</f>
        <v>-6.0806046607039507E-6</v>
      </c>
      <c r="E20" s="93"/>
      <c r="F20" s="94" t="s">
        <v>108</v>
      </c>
      <c r="G20" s="86">
        <f>TINV(0.05,+G19)</f>
        <v>2.570581835636315</v>
      </c>
      <c r="H20" s="84"/>
      <c r="I20" s="94" t="s">
        <v>109</v>
      </c>
      <c r="J20" s="95">
        <f>G22+G20*SQRT(E31)</f>
        <v>4.3549347120925148</v>
      </c>
      <c r="K20" s="43"/>
    </row>
    <row r="21" spans="2:22" x14ac:dyDescent="0.2">
      <c r="B21" s="96"/>
      <c r="C21" s="91">
        <f>-C19/C22</f>
        <v>-6.0806046607039507E-6</v>
      </c>
      <c r="D21" s="92">
        <f>C18/C22</f>
        <v>1.4560287011958243E-10</v>
      </c>
      <c r="E21" s="84"/>
      <c r="F21" s="86"/>
      <c r="G21" s="86"/>
      <c r="H21" s="84"/>
      <c r="I21" s="84"/>
      <c r="J21" s="97"/>
      <c r="K21" s="43"/>
    </row>
    <row r="22" spans="2:22" ht="15.75" x14ac:dyDescent="0.25">
      <c r="B22" s="96" t="s">
        <v>110</v>
      </c>
      <c r="C22" s="86">
        <f>MDETERM(C18:D19)</f>
        <v>48075975386</v>
      </c>
      <c r="D22" s="84"/>
      <c r="E22" s="93"/>
      <c r="F22" s="85" t="s">
        <v>111</v>
      </c>
      <c r="G22" s="98">
        <f>SUMPRODUCT(C20:C21,$C$23:$C$24)</f>
        <v>4.3544034641120488</v>
      </c>
      <c r="H22" s="93"/>
      <c r="I22" s="94" t="s">
        <v>112</v>
      </c>
      <c r="J22" s="95">
        <f>G23-G20*SQRT(F32)</f>
        <v>-2.0155206551109042E-6</v>
      </c>
      <c r="K22" s="43"/>
    </row>
    <row r="23" spans="2:22" ht="15.75" x14ac:dyDescent="0.25">
      <c r="B23" s="81" t="s">
        <v>113</v>
      </c>
      <c r="C23" s="99">
        <f>SUM(y)</f>
        <v>29.894599999999997</v>
      </c>
      <c r="D23" s="84"/>
      <c r="E23" s="93"/>
      <c r="F23" s="85" t="s">
        <v>114</v>
      </c>
      <c r="G23" s="98">
        <f>SUMPRODUCT(D20:D21,$C$23:$C$24)</f>
        <v>-2.0053441091925212E-6</v>
      </c>
      <c r="H23" s="100"/>
      <c r="I23" s="94" t="s">
        <v>115</v>
      </c>
      <c r="J23" s="95">
        <f>G23+G20*SQRT(F32)</f>
        <v>-1.9951675632741381E-6</v>
      </c>
      <c r="K23" s="43"/>
    </row>
    <row r="24" spans="2:22" x14ac:dyDescent="0.2">
      <c r="B24" s="101"/>
      <c r="C24" s="102">
        <f>SUMPRODUCT(x,y)</f>
        <v>1234672.776938</v>
      </c>
      <c r="D24" s="103"/>
      <c r="E24" s="103"/>
      <c r="F24" s="104"/>
      <c r="G24" s="103"/>
      <c r="H24" s="103"/>
      <c r="I24" s="103"/>
      <c r="J24" s="105"/>
      <c r="K24" s="43"/>
    </row>
    <row r="25" spans="2:22" x14ac:dyDescent="0.2">
      <c r="B25" s="43"/>
      <c r="C25" s="43"/>
      <c r="D25" s="43"/>
      <c r="G25" s="43"/>
      <c r="H25" s="43"/>
      <c r="I25" s="43"/>
      <c r="J25" s="43"/>
      <c r="K25" s="43"/>
    </row>
    <row r="26" spans="2:22" ht="15.75" x14ac:dyDescent="0.25">
      <c r="B26" s="106" t="s">
        <v>116</v>
      </c>
      <c r="C26" s="78"/>
      <c r="D26" s="79"/>
      <c r="E26" s="79"/>
      <c r="F26" s="79"/>
      <c r="G26" s="79"/>
      <c r="H26" s="79"/>
      <c r="I26" s="80"/>
      <c r="J26" s="43"/>
      <c r="K26" s="43"/>
    </row>
    <row r="27" spans="2:22" x14ac:dyDescent="0.2">
      <c r="B27" s="107"/>
      <c r="C27" s="87"/>
      <c r="D27" s="108" t="s">
        <v>117</v>
      </c>
      <c r="E27" s="109">
        <f>SUMPRODUCT(G22:G23,C23:C24)</f>
        <v>127.69720601823107</v>
      </c>
      <c r="F27" s="110"/>
      <c r="G27" s="111" t="s">
        <v>118</v>
      </c>
      <c r="H27" s="112"/>
      <c r="I27" s="113"/>
      <c r="J27" s="43"/>
      <c r="K27" s="43"/>
    </row>
    <row r="28" spans="2:22" ht="15.75" x14ac:dyDescent="0.2">
      <c r="B28" s="90"/>
      <c r="C28" s="87"/>
      <c r="D28" s="85" t="s">
        <v>119</v>
      </c>
      <c r="E28" s="86">
        <f>E27-SUM(y)^2/n</f>
        <v>2.7618995373941857E-2</v>
      </c>
      <c r="F28" s="93"/>
      <c r="G28" s="114" t="s">
        <v>120</v>
      </c>
      <c r="H28" s="84"/>
      <c r="I28" s="97"/>
      <c r="J28" s="43"/>
      <c r="K28" s="43"/>
    </row>
    <row r="29" spans="2:22" x14ac:dyDescent="0.2">
      <c r="B29" s="90"/>
      <c r="C29" s="87"/>
      <c r="D29" s="115" t="s">
        <v>121</v>
      </c>
      <c r="E29" s="86">
        <f>G18-E27</f>
        <v>5.3819293555079639E-7</v>
      </c>
      <c r="F29" s="93"/>
      <c r="G29" s="114" t="s">
        <v>122</v>
      </c>
      <c r="H29" s="84"/>
      <c r="I29" s="97"/>
      <c r="J29" s="43"/>
      <c r="K29" s="43"/>
    </row>
    <row r="30" spans="2:22" x14ac:dyDescent="0.2">
      <c r="B30" s="116"/>
      <c r="C30" s="84"/>
      <c r="D30" s="117" t="s">
        <v>123</v>
      </c>
      <c r="E30" s="86">
        <f>(G18-E27)/G19</f>
        <v>1.0763858711015928E-7</v>
      </c>
      <c r="F30" s="93"/>
      <c r="G30" s="118" t="s">
        <v>124</v>
      </c>
      <c r="H30" s="84"/>
      <c r="I30" s="97"/>
      <c r="J30" s="43"/>
      <c r="K30" s="43"/>
    </row>
    <row r="31" spans="2:22" ht="15.75" x14ac:dyDescent="0.2">
      <c r="B31" s="90"/>
      <c r="C31" s="84"/>
      <c r="D31" s="117" t="s">
        <v>125</v>
      </c>
      <c r="E31" s="82">
        <f t="shared" ref="E31:F32" si="0">$E$30*C20</f>
        <v>4.2710210848211604E-8</v>
      </c>
      <c r="F31" s="83">
        <f t="shared" si="0"/>
        <v>-6.5450769445362272E-13</v>
      </c>
      <c r="G31" s="93"/>
      <c r="H31" s="93"/>
      <c r="I31" s="89"/>
      <c r="K31" s="43"/>
    </row>
    <row r="32" spans="2:22" x14ac:dyDescent="0.2">
      <c r="B32" s="119"/>
      <c r="C32" s="103"/>
      <c r="D32" s="120"/>
      <c r="E32" s="91">
        <f t="shared" si="0"/>
        <v>-6.5450769445362272E-13</v>
      </c>
      <c r="F32" s="92">
        <f t="shared" si="0"/>
        <v>1.5672487218855883E-17</v>
      </c>
      <c r="G32" s="121"/>
      <c r="H32" s="121"/>
      <c r="I32" s="122"/>
      <c r="K32" s="43"/>
    </row>
    <row r="33" spans="1:11" ht="15.75" x14ac:dyDescent="0.25">
      <c r="A33" s="17"/>
      <c r="B33" s="123"/>
      <c r="C33" s="17"/>
      <c r="D33" s="17"/>
      <c r="E33" s="72"/>
      <c r="F33" s="124"/>
      <c r="G33" s="72"/>
      <c r="H33" s="72"/>
      <c r="I33" s="72"/>
      <c r="J33" s="72"/>
      <c r="K33" s="72"/>
    </row>
    <row r="34" spans="1:11" ht="15.75" thickBot="1" x14ac:dyDescent="0.25">
      <c r="B34" s="43"/>
      <c r="C34" s="43"/>
      <c r="D34" s="43"/>
      <c r="K34" s="43"/>
    </row>
    <row r="35" spans="1:11" ht="15.75" thickBot="1" x14ac:dyDescent="0.25">
      <c r="B35" s="75" t="s">
        <v>126</v>
      </c>
      <c r="D35" s="43"/>
      <c r="E35" s="43"/>
      <c r="F35" s="43"/>
      <c r="G35" s="43"/>
      <c r="H35" s="43"/>
      <c r="I35" s="43"/>
      <c r="J35" s="43"/>
      <c r="K35" s="43"/>
    </row>
    <row r="36" spans="1:11" ht="15.75" x14ac:dyDescent="0.25">
      <c r="C36" s="125"/>
      <c r="D36" s="43"/>
      <c r="E36" s="43"/>
      <c r="F36" s="43"/>
      <c r="G36" s="43"/>
      <c r="H36" s="43"/>
      <c r="I36" s="43"/>
      <c r="J36" s="43"/>
      <c r="K36" s="43"/>
    </row>
    <row r="37" spans="1:11" ht="17.25" x14ac:dyDescent="0.3">
      <c r="B37" s="125" t="s">
        <v>127</v>
      </c>
      <c r="C37" s="125"/>
      <c r="D37" s="43"/>
      <c r="E37" s="43"/>
      <c r="F37" s="43"/>
      <c r="G37" s="43"/>
      <c r="H37" s="43"/>
      <c r="I37" s="43"/>
      <c r="J37" s="43"/>
      <c r="K37" s="43"/>
    </row>
    <row r="38" spans="1:11" ht="15.75" x14ac:dyDescent="0.25">
      <c r="B38" s="16"/>
      <c r="D38" s="43"/>
      <c r="E38" s="43"/>
      <c r="F38" s="43"/>
      <c r="G38" s="43"/>
      <c r="H38" s="43"/>
      <c r="I38" s="43"/>
      <c r="J38" s="43"/>
      <c r="K38" s="43"/>
    </row>
    <row r="39" spans="1:11" ht="15.75" x14ac:dyDescent="0.25">
      <c r="B39" s="16"/>
      <c r="C39" s="126" t="s">
        <v>128</v>
      </c>
      <c r="D39" s="127">
        <f>J19</f>
        <v>4.3538722161315828</v>
      </c>
      <c r="E39" s="127" t="str">
        <f>IF(D39&gt;$D$41,"Conclusion:  yo is significantly less than the computed intercept","")</f>
        <v/>
      </c>
      <c r="F39" s="43"/>
      <c r="G39" s="43"/>
      <c r="H39" s="43"/>
      <c r="I39" s="43"/>
      <c r="J39" s="43"/>
      <c r="K39" s="43"/>
    </row>
    <row r="40" spans="1:11" ht="15.75" x14ac:dyDescent="0.25">
      <c r="B40" s="16"/>
      <c r="C40" s="126" t="s">
        <v>129</v>
      </c>
      <c r="D40" s="127">
        <f>J20</f>
        <v>4.3549347120925148</v>
      </c>
      <c r="E40" s="127" t="str">
        <f>IF(D40&lt;$D$41,"Conclusion: yo is significantly greater than the computed intercept","")</f>
        <v/>
      </c>
      <c r="F40" s="43"/>
      <c r="G40" s="43"/>
      <c r="H40" s="43"/>
      <c r="I40" s="43"/>
      <c r="J40" s="43"/>
      <c r="K40" s="43"/>
    </row>
    <row r="41" spans="1:11" ht="15.75" x14ac:dyDescent="0.25">
      <c r="B41" s="16"/>
      <c r="C41" s="126" t="s">
        <v>130</v>
      </c>
      <c r="D41" s="127">
        <f>Data!D6</f>
        <v>4.3542059999999996</v>
      </c>
      <c r="E41" s="127" t="str">
        <f>IF(E39="",IF(E40="","Initial weight is within the confidence limits for the intercept","Initial weight is NOT consistant with the estimated intercept."),"")</f>
        <v>Initial weight is within the confidence limits for the intercept</v>
      </c>
      <c r="F41" s="43"/>
      <c r="G41" s="43"/>
      <c r="H41" s="43"/>
      <c r="I41" s="43"/>
      <c r="J41" s="43"/>
      <c r="K41" s="43"/>
    </row>
    <row r="42" spans="1:1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7.25" x14ac:dyDescent="0.3">
      <c r="B43" s="16" t="s">
        <v>131</v>
      </c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5.75" x14ac:dyDescent="0.25">
      <c r="B44" s="48" t="s">
        <v>132</v>
      </c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7.25" x14ac:dyDescent="0.3">
      <c r="B45" s="16" t="s">
        <v>133</v>
      </c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5.75" x14ac:dyDescent="0.25">
      <c r="B46" s="16" t="s">
        <v>134</v>
      </c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2">
      <c r="A47" s="17"/>
      <c r="B47" s="17"/>
      <c r="C47" s="17"/>
      <c r="D47" s="17"/>
      <c r="E47" s="17"/>
      <c r="F47" s="17"/>
      <c r="G47" s="17"/>
      <c r="H47" s="72"/>
      <c r="I47" s="72"/>
      <c r="J47" s="72"/>
      <c r="K47" s="72"/>
    </row>
    <row r="48" spans="1:11" ht="15.75" thickBot="1" x14ac:dyDescent="0.25">
      <c r="A48" s="15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5.75" thickBot="1" x14ac:dyDescent="0.25">
      <c r="A49" s="15"/>
      <c r="B49" s="75" t="s">
        <v>135</v>
      </c>
      <c r="C49" s="74"/>
      <c r="D49" s="74"/>
      <c r="E49" s="74"/>
      <c r="F49" s="74"/>
      <c r="G49" s="74"/>
      <c r="H49" s="74"/>
      <c r="I49" s="74"/>
      <c r="J49" s="74"/>
      <c r="K49" s="74"/>
    </row>
    <row r="50" spans="1:11" x14ac:dyDescent="0.2">
      <c r="A50" s="15"/>
    </row>
    <row r="51" spans="1:11" ht="17.25" x14ac:dyDescent="0.3">
      <c r="B51" s="14" t="s">
        <v>136</v>
      </c>
      <c r="C51" s="74"/>
      <c r="D51" s="74"/>
      <c r="E51" s="74"/>
      <c r="F51" s="74"/>
      <c r="G51" s="74"/>
      <c r="H51" s="74"/>
      <c r="I51" s="74"/>
      <c r="J51" s="74"/>
    </row>
    <row r="52" spans="1:11" ht="15.75" x14ac:dyDescent="0.25">
      <c r="B52" s="47" t="s">
        <v>137</v>
      </c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5.75" x14ac:dyDescent="0.25">
      <c r="B53" s="16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5.75" x14ac:dyDescent="0.25">
      <c r="B54" s="16"/>
      <c r="D54" s="126" t="s">
        <v>138</v>
      </c>
      <c r="E54" s="128">
        <f>(J23-G23)/ABS(G23)</f>
        <v>5.0747130488646023E-3</v>
      </c>
      <c r="F54" s="127" t="str">
        <f>IF(E54&lt;0.01,"Conclusion:  Uncertainty is acceptable.","Conclusion:  Uncertainty is unacceptable.")</f>
        <v>Conclusion:  Uncertainty is acceptable.</v>
      </c>
      <c r="G54" s="43"/>
      <c r="I54" s="43"/>
      <c r="J54" s="43"/>
      <c r="K54" s="43"/>
    </row>
    <row r="55" spans="1:11" ht="15.75" x14ac:dyDescent="0.25">
      <c r="B55" s="16"/>
      <c r="C55" s="16"/>
      <c r="D55" s="126" t="s">
        <v>139</v>
      </c>
      <c r="E55" s="128">
        <f>(J22-G23)/ABS(G23)</f>
        <v>-5.0747130488646023E-3</v>
      </c>
      <c r="F55" s="16"/>
      <c r="G55" s="16"/>
      <c r="I55" s="16"/>
      <c r="J55" s="43"/>
      <c r="K55" s="43"/>
    </row>
    <row r="56" spans="1:11" ht="15.75" x14ac:dyDescent="0.25">
      <c r="B56" s="16"/>
      <c r="C56" s="16"/>
      <c r="D56" s="16"/>
      <c r="E56" s="16"/>
      <c r="F56" s="16"/>
      <c r="G56" s="16"/>
      <c r="H56" s="16"/>
      <c r="I56" s="16"/>
      <c r="J56" s="43"/>
      <c r="K56" s="43"/>
    </row>
    <row r="57" spans="1:11" ht="15.75" x14ac:dyDescent="0.25">
      <c r="B57" s="16" t="s">
        <v>140</v>
      </c>
      <c r="C57" s="16"/>
      <c r="D57" s="16"/>
      <c r="E57" s="16"/>
      <c r="F57" s="16"/>
      <c r="G57" s="16"/>
      <c r="H57" s="16"/>
      <c r="I57" s="16"/>
      <c r="J57" s="43"/>
      <c r="K57" s="43"/>
    </row>
    <row r="58" spans="1:11" ht="15.75" x14ac:dyDescent="0.25">
      <c r="B58" s="184" t="s">
        <v>141</v>
      </c>
      <c r="C58" s="16"/>
      <c r="D58" s="16"/>
      <c r="E58" s="16"/>
      <c r="F58" s="16"/>
      <c r="G58" s="16"/>
      <c r="H58" s="16"/>
      <c r="I58" s="16"/>
      <c r="J58" s="43"/>
      <c r="K58" s="43"/>
    </row>
    <row r="59" spans="1:11" ht="15.75" x14ac:dyDescent="0.25">
      <c r="B59" s="47" t="s">
        <v>142</v>
      </c>
      <c r="C59" s="16"/>
      <c r="D59" s="16"/>
      <c r="E59" s="16"/>
      <c r="F59" s="16"/>
      <c r="G59" s="16"/>
      <c r="H59" s="16"/>
      <c r="I59" s="16"/>
      <c r="J59" s="43"/>
      <c r="K59" s="43"/>
    </row>
    <row r="60" spans="1:11" ht="15.75" x14ac:dyDescent="0.25">
      <c r="B60" s="16" t="s">
        <v>143</v>
      </c>
      <c r="C60" s="16"/>
      <c r="D60" s="16"/>
      <c r="E60" s="16"/>
      <c r="F60" s="16"/>
      <c r="G60" s="16"/>
      <c r="H60" s="16"/>
      <c r="I60" s="16"/>
      <c r="J60" s="43"/>
      <c r="K60" s="43"/>
    </row>
    <row r="61" spans="1:11" ht="15.75" x14ac:dyDescent="0.25">
      <c r="B61" s="16" t="s">
        <v>144</v>
      </c>
      <c r="C61" s="16"/>
      <c r="D61" s="16"/>
      <c r="E61" s="16"/>
      <c r="F61" s="16"/>
      <c r="G61" s="16"/>
      <c r="H61" s="16"/>
      <c r="I61" s="16"/>
      <c r="J61" s="43"/>
      <c r="K61" s="43"/>
    </row>
    <row r="62" spans="1:11" ht="15.75" x14ac:dyDescent="0.25">
      <c r="B62" s="47" t="s">
        <v>145</v>
      </c>
      <c r="C62" s="16"/>
      <c r="D62" s="16"/>
      <c r="E62" s="16"/>
      <c r="F62" s="16"/>
      <c r="G62" s="16"/>
      <c r="H62" s="16"/>
      <c r="I62" s="16"/>
      <c r="J62" s="43"/>
      <c r="K62" s="43"/>
    </row>
    <row r="63" spans="1:11" ht="15.75" x14ac:dyDescent="0.25">
      <c r="B63" s="47" t="s">
        <v>146</v>
      </c>
      <c r="C63" s="16"/>
      <c r="D63" s="16"/>
      <c r="E63" s="16"/>
      <c r="F63" s="16"/>
      <c r="G63" s="16"/>
      <c r="H63" s="16"/>
      <c r="I63" s="16"/>
      <c r="J63" s="43"/>
      <c r="K63" s="43"/>
    </row>
    <row r="64" spans="1:11" ht="15.75" x14ac:dyDescent="0.25">
      <c r="B64" s="47" t="s">
        <v>147</v>
      </c>
      <c r="C64" s="16"/>
      <c r="D64" s="16"/>
      <c r="E64" s="16"/>
      <c r="F64" s="16"/>
      <c r="G64" s="16"/>
      <c r="H64" s="16"/>
      <c r="I64" s="16"/>
      <c r="J64" s="43"/>
      <c r="K64" s="43"/>
    </row>
    <row r="65" spans="2:11" ht="15.75" x14ac:dyDescent="0.25">
      <c r="B65" s="47"/>
      <c r="C65" s="16"/>
      <c r="D65" s="16"/>
      <c r="E65" s="16"/>
      <c r="F65" s="16"/>
      <c r="G65" s="16"/>
      <c r="H65" s="16"/>
      <c r="I65" s="16"/>
      <c r="J65" s="43"/>
      <c r="K65" s="43"/>
    </row>
    <row r="66" spans="2:11" ht="15.75" x14ac:dyDescent="0.25">
      <c r="B66" s="16" t="s">
        <v>148</v>
      </c>
      <c r="C66" s="16"/>
      <c r="D66" s="16"/>
      <c r="E66" s="16"/>
      <c r="F66" s="16"/>
      <c r="G66" s="16"/>
      <c r="H66" s="16"/>
      <c r="I66" s="16"/>
      <c r="J66" s="43"/>
      <c r="K66" s="43"/>
    </row>
    <row r="67" spans="2:11" ht="15.75" x14ac:dyDescent="0.25">
      <c r="B67" s="47" t="s">
        <v>149</v>
      </c>
      <c r="C67" s="16"/>
      <c r="D67" s="16"/>
      <c r="E67" s="16"/>
      <c r="F67" s="16"/>
      <c r="G67" s="16"/>
      <c r="H67" s="16"/>
      <c r="I67" s="16"/>
      <c r="J67" s="43"/>
      <c r="K67" s="43"/>
    </row>
    <row r="68" spans="2:11" ht="15.75" x14ac:dyDescent="0.25">
      <c r="B68" s="16"/>
      <c r="C68" s="16"/>
      <c r="D68" s="16"/>
      <c r="E68" s="16"/>
      <c r="F68" s="16"/>
      <c r="G68" s="16"/>
      <c r="H68" s="16"/>
      <c r="I68" s="16"/>
      <c r="J68" s="43"/>
      <c r="K68" s="43"/>
    </row>
    <row r="69" spans="2:11" ht="15.75" x14ac:dyDescent="0.25">
      <c r="B69" s="16"/>
      <c r="C69" s="16"/>
      <c r="D69" s="16"/>
      <c r="E69" s="16"/>
      <c r="F69" s="16"/>
      <c r="G69" s="16"/>
      <c r="H69" s="16"/>
      <c r="I69" s="16"/>
      <c r="J69" s="43"/>
      <c r="K69" s="43"/>
    </row>
    <row r="70" spans="2:11" ht="15.75" x14ac:dyDescent="0.25">
      <c r="B70" s="16"/>
      <c r="C70" s="16"/>
      <c r="D70" s="16"/>
      <c r="E70" s="16"/>
      <c r="F70" s="16"/>
      <c r="G70" s="16"/>
      <c r="H70" s="16"/>
      <c r="I70" s="16"/>
      <c r="J70" s="43"/>
      <c r="K70" s="43"/>
    </row>
    <row r="71" spans="2:11" ht="15.75" x14ac:dyDescent="0.25">
      <c r="B71" s="16"/>
      <c r="C71" s="16"/>
      <c r="D71" s="16"/>
      <c r="E71" s="16"/>
      <c r="F71" s="16"/>
      <c r="G71" s="16"/>
      <c r="H71" s="16"/>
      <c r="I71" s="16"/>
      <c r="J71" s="43"/>
      <c r="K71" s="43"/>
    </row>
    <row r="72" spans="2:11" ht="15.75" x14ac:dyDescent="0.25">
      <c r="B72" s="16"/>
      <c r="C72" s="16"/>
      <c r="D72" s="16"/>
      <c r="E72" s="16"/>
      <c r="F72" s="16"/>
      <c r="G72" s="16"/>
      <c r="H72" s="16"/>
      <c r="I72" s="16"/>
      <c r="J72" s="43"/>
      <c r="K72" s="43"/>
    </row>
    <row r="73" spans="2:11" ht="15.75" x14ac:dyDescent="0.25">
      <c r="B73" s="16"/>
      <c r="C73" s="16"/>
      <c r="D73" s="16"/>
      <c r="E73" s="16"/>
      <c r="F73" s="16"/>
      <c r="G73" s="16"/>
      <c r="H73" s="16"/>
      <c r="I73" s="16"/>
      <c r="J73" s="43"/>
      <c r="K73" s="43"/>
    </row>
    <row r="74" spans="2:11" ht="15.75" x14ac:dyDescent="0.25">
      <c r="B74" s="16"/>
      <c r="C74" s="16"/>
      <c r="D74" s="16"/>
      <c r="E74" s="16"/>
      <c r="F74" s="16"/>
      <c r="G74" s="16"/>
      <c r="H74" s="16"/>
      <c r="I74" s="16"/>
      <c r="J74" s="43"/>
      <c r="K74" s="43"/>
    </row>
    <row r="75" spans="2:11" ht="15.75" x14ac:dyDescent="0.25">
      <c r="B75" s="16"/>
      <c r="C75" s="16"/>
      <c r="D75" s="16"/>
      <c r="E75" s="16"/>
      <c r="F75" s="16"/>
      <c r="G75" s="16"/>
      <c r="H75" s="16"/>
      <c r="I75" s="16"/>
      <c r="J75" s="43"/>
      <c r="K75" s="43"/>
    </row>
    <row r="76" spans="2:11" ht="15.75" x14ac:dyDescent="0.25">
      <c r="B76" s="16"/>
      <c r="C76" s="16"/>
      <c r="D76" s="16"/>
      <c r="E76" s="16"/>
      <c r="F76" s="16"/>
      <c r="G76" s="16"/>
      <c r="H76" s="16"/>
      <c r="I76" s="16"/>
      <c r="J76" s="43"/>
      <c r="K76" s="43"/>
    </row>
    <row r="77" spans="2:11" ht="15.75" x14ac:dyDescent="0.25">
      <c r="B77" s="16"/>
      <c r="C77" s="16"/>
      <c r="D77" s="16"/>
      <c r="E77" s="16"/>
      <c r="F77" s="16"/>
      <c r="G77" s="16"/>
      <c r="H77" s="16"/>
      <c r="I77" s="16"/>
      <c r="J77" s="43"/>
      <c r="K77" s="43"/>
    </row>
    <row r="78" spans="2:11" ht="15.75" x14ac:dyDescent="0.25">
      <c r="B78" s="16"/>
      <c r="C78" s="16"/>
      <c r="D78" s="16"/>
      <c r="E78" s="16"/>
      <c r="F78" s="16"/>
      <c r="G78" s="16"/>
      <c r="H78" s="16"/>
      <c r="I78" s="16"/>
      <c r="J78" s="43"/>
      <c r="K78" s="43"/>
    </row>
    <row r="79" spans="2:1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2:1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2:1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2:1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2:1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2:1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2:1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2:1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2:1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2:1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2:1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2:1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2:1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2:1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2:1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2:1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2:1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2:1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2:1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2:1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2:1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2:1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2:1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2:1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2:1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2:1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2:1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2:1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2:1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2:1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2:1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2:1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2:1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2:1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2:1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2:1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2:1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2:1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2:1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2:1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</sheetData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showGridLines="0" showRowColHeaders="0" workbookViewId="0"/>
  </sheetViews>
  <sheetFormatPr defaultColWidth="6.77734375" defaultRowHeight="15" x14ac:dyDescent="0.2"/>
  <cols>
    <col min="1" max="1" width="3.77734375" customWidth="1"/>
    <col min="6" max="6" width="8.77734375" customWidth="1"/>
  </cols>
  <sheetData>
    <row r="1" spans="1:22" ht="15.75" thickBot="1" x14ac:dyDescent="0.25"/>
    <row r="2" spans="1:22" ht="16.5" thickBot="1" x14ac:dyDescent="0.3">
      <c r="B2" s="1"/>
      <c r="C2" s="52"/>
      <c r="D2" s="52"/>
      <c r="E2" s="52"/>
      <c r="F2" s="129" t="s">
        <v>150</v>
      </c>
      <c r="G2" s="52"/>
      <c r="H2" s="52"/>
      <c r="I2" s="52"/>
      <c r="J2" s="53"/>
    </row>
    <row r="4" spans="1:22" ht="16.5" thickBot="1" x14ac:dyDescent="0.3">
      <c r="B4" s="16" t="s">
        <v>151</v>
      </c>
      <c r="C4" s="43"/>
      <c r="D4" s="43"/>
      <c r="E4" s="43"/>
      <c r="F4" s="43"/>
      <c r="G4" s="43"/>
      <c r="H4" s="43"/>
      <c r="I4" s="43"/>
      <c r="J4" s="43"/>
      <c r="K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7.25" thickTop="1" thickBot="1" x14ac:dyDescent="0.3">
      <c r="B5" s="16" t="s">
        <v>152</v>
      </c>
      <c r="C5" s="43"/>
      <c r="D5" s="43"/>
      <c r="E5" s="43"/>
      <c r="F5" s="130" t="s">
        <v>153</v>
      </c>
      <c r="G5" s="181"/>
      <c r="H5" s="181"/>
      <c r="I5" s="181"/>
      <c r="J5" s="182"/>
      <c r="K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6.5" thickTop="1" x14ac:dyDescent="0.25">
      <c r="B6" s="47"/>
      <c r="C6" s="43"/>
      <c r="D6" s="43"/>
      <c r="E6" s="43"/>
      <c r="F6" s="43"/>
      <c r="G6" s="43"/>
      <c r="H6" s="43"/>
      <c r="I6" s="43"/>
      <c r="J6" s="43"/>
      <c r="K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5.75" x14ac:dyDescent="0.25">
      <c r="B7" s="131" t="s">
        <v>154</v>
      </c>
      <c r="C7" s="43"/>
      <c r="D7" s="43"/>
      <c r="E7" s="43"/>
      <c r="F7" s="43"/>
      <c r="G7" s="43"/>
      <c r="H7" s="43"/>
      <c r="I7" s="43"/>
      <c r="J7" s="43"/>
      <c r="K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15.75" x14ac:dyDescent="0.25">
      <c r="A8" s="17"/>
      <c r="B8" s="132" t="s">
        <v>155</v>
      </c>
      <c r="C8" s="72"/>
      <c r="D8" s="72"/>
      <c r="E8" s="72"/>
      <c r="F8" s="72"/>
      <c r="G8" s="72"/>
      <c r="H8" s="72"/>
      <c r="I8" s="72"/>
      <c r="J8" s="72"/>
      <c r="K8" s="72"/>
      <c r="N8" s="43"/>
      <c r="O8" s="43"/>
      <c r="P8" s="43"/>
      <c r="Q8" s="43"/>
      <c r="R8" s="43"/>
      <c r="S8" s="43"/>
      <c r="T8" s="43"/>
      <c r="U8" s="43"/>
      <c r="V8" s="43"/>
    </row>
    <row r="9" spans="1:22" ht="15.75" x14ac:dyDescent="0.25">
      <c r="A9" s="73"/>
      <c r="B9" s="14"/>
      <c r="C9" s="74"/>
      <c r="D9" s="74"/>
      <c r="E9" s="74"/>
      <c r="F9" s="74"/>
      <c r="G9" s="74"/>
      <c r="H9" s="74"/>
      <c r="I9" s="74"/>
      <c r="J9" s="74"/>
      <c r="K9" s="74"/>
      <c r="N9" s="43"/>
      <c r="O9" s="43"/>
      <c r="P9" s="43"/>
      <c r="Q9" s="43"/>
      <c r="R9" s="43"/>
      <c r="S9" s="43"/>
      <c r="T9" s="43"/>
      <c r="U9" s="43"/>
      <c r="V9" s="43"/>
    </row>
    <row r="10" spans="1:22" x14ac:dyDescent="0.2">
      <c r="A10" s="73"/>
      <c r="B10" s="133" t="s">
        <v>156</v>
      </c>
      <c r="C10" s="74"/>
      <c r="D10" s="74"/>
      <c r="E10" s="74"/>
      <c r="F10" s="74"/>
      <c r="G10" s="74"/>
      <c r="H10" s="74"/>
      <c r="I10" s="74"/>
      <c r="J10" s="74"/>
      <c r="K10" s="74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5.75" x14ac:dyDescent="0.25">
      <c r="B11" s="16"/>
      <c r="D11" s="43"/>
      <c r="E11" s="43"/>
      <c r="F11" s="43"/>
      <c r="G11" s="43"/>
      <c r="H11" s="43"/>
      <c r="I11" s="43"/>
      <c r="J11" s="43"/>
      <c r="K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7.25" x14ac:dyDescent="0.3">
      <c r="B12" s="106" t="s">
        <v>157</v>
      </c>
      <c r="C12" s="78"/>
      <c r="D12" s="79"/>
      <c r="E12" s="79"/>
      <c r="F12" s="79"/>
      <c r="G12" s="79"/>
      <c r="H12" s="79"/>
      <c r="I12" s="79"/>
      <c r="J12" s="80"/>
      <c r="K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x14ac:dyDescent="0.2">
      <c r="B13" s="134" t="s">
        <v>102</v>
      </c>
      <c r="C13" s="82">
        <f>n</f>
        <v>7</v>
      </c>
      <c r="D13" s="83">
        <f>C14</f>
        <v>292331</v>
      </c>
      <c r="E13" s="112"/>
      <c r="F13" s="135" t="s">
        <v>103</v>
      </c>
      <c r="G13" s="109">
        <f>SUMPRODUCT(y,y)</f>
        <v>127.69720655642401</v>
      </c>
      <c r="H13" s="87"/>
      <c r="I13" s="88" t="s">
        <v>104</v>
      </c>
      <c r="J13" s="89"/>
      <c r="K13" s="43"/>
    </row>
    <row r="14" spans="1:22" ht="15.75" x14ac:dyDescent="0.25">
      <c r="B14" s="90"/>
      <c r="C14" s="91">
        <f>SUM(x)</f>
        <v>292331</v>
      </c>
      <c r="D14" s="92">
        <f>SUMPRODUCT(x,x)</f>
        <v>19076198421</v>
      </c>
      <c r="E14" s="93"/>
      <c r="F14" s="94" t="s">
        <v>105</v>
      </c>
      <c r="G14" s="86">
        <f>n-2</f>
        <v>5</v>
      </c>
      <c r="H14" s="93"/>
      <c r="I14" s="94" t="s">
        <v>106</v>
      </c>
      <c r="J14" s="95">
        <f>G17-G15*SQRT(E27)</f>
        <v>4.3538722161315828</v>
      </c>
      <c r="K14" s="43"/>
    </row>
    <row r="15" spans="1:22" ht="16.5" x14ac:dyDescent="0.25">
      <c r="B15" s="96" t="s">
        <v>107</v>
      </c>
      <c r="C15" s="82">
        <f>D14/C17</f>
        <v>0.39679274872403519</v>
      </c>
      <c r="D15" s="83">
        <f>C16</f>
        <v>-6.0806046607039507E-6</v>
      </c>
      <c r="E15" s="93"/>
      <c r="F15" s="94" t="s">
        <v>108</v>
      </c>
      <c r="G15" s="86">
        <f>TINV(0.05,+G14)</f>
        <v>2.570581835636315</v>
      </c>
      <c r="H15" s="84"/>
      <c r="I15" s="94" t="s">
        <v>109</v>
      </c>
      <c r="J15" s="95">
        <f>G17+G15*SQRT(E27)</f>
        <v>4.3549347120925148</v>
      </c>
      <c r="K15" s="43"/>
    </row>
    <row r="16" spans="1:22" x14ac:dyDescent="0.2">
      <c r="B16" s="96"/>
      <c r="C16" s="91">
        <f>-C14/C17</f>
        <v>-6.0806046607039507E-6</v>
      </c>
      <c r="D16" s="92">
        <f>C13/C17</f>
        <v>1.4560287011958243E-10</v>
      </c>
      <c r="E16" s="84"/>
      <c r="F16" s="86"/>
      <c r="G16" s="86"/>
      <c r="H16" s="84"/>
      <c r="I16" s="84"/>
      <c r="J16" s="97"/>
      <c r="K16" s="43"/>
    </row>
    <row r="17" spans="1:11" ht="15.75" x14ac:dyDescent="0.25">
      <c r="B17" s="96" t="s">
        <v>110</v>
      </c>
      <c r="C17" s="86">
        <f>MDETERM(C13:D14)</f>
        <v>48075975386</v>
      </c>
      <c r="D17" s="84"/>
      <c r="E17" s="93"/>
      <c r="F17" s="85" t="s">
        <v>111</v>
      </c>
      <c r="G17" s="98">
        <f>SUMPRODUCT(C15:C16,$C$18:$C$19)</f>
        <v>4.3544034641120488</v>
      </c>
      <c r="H17" s="93"/>
      <c r="I17" s="94" t="s">
        <v>112</v>
      </c>
      <c r="J17" s="95">
        <f>G18-G15*SQRT(F28)</f>
        <v>-2.0155206551109042E-6</v>
      </c>
      <c r="K17" s="43"/>
    </row>
    <row r="18" spans="1:11" ht="15.75" x14ac:dyDescent="0.25">
      <c r="B18" s="81" t="s">
        <v>113</v>
      </c>
      <c r="C18" s="99">
        <f>SUM(y)</f>
        <v>29.894599999999997</v>
      </c>
      <c r="D18" s="84"/>
      <c r="E18" s="93"/>
      <c r="F18" s="85" t="s">
        <v>114</v>
      </c>
      <c r="G18" s="98">
        <f>SUMPRODUCT(D15:D16,$C$18:$C$19)</f>
        <v>-2.0053441091925212E-6</v>
      </c>
      <c r="H18" s="100"/>
      <c r="I18" s="94" t="s">
        <v>115</v>
      </c>
      <c r="J18" s="95">
        <f>G18+G15*SQRT(F28)</f>
        <v>-1.9951675632741381E-6</v>
      </c>
      <c r="K18" s="43"/>
    </row>
    <row r="19" spans="1:11" x14ac:dyDescent="0.2">
      <c r="B19" s="101"/>
      <c r="C19" s="102">
        <f>SUMPRODUCT(x,y)</f>
        <v>1234672.776938</v>
      </c>
      <c r="D19" s="103"/>
      <c r="E19" s="103"/>
      <c r="F19" s="104"/>
      <c r="G19" s="103"/>
      <c r="H19" s="103"/>
      <c r="I19" s="103"/>
      <c r="J19" s="105"/>
      <c r="K19" s="43"/>
    </row>
    <row r="20" spans="1:11" x14ac:dyDescent="0.2">
      <c r="B20" s="43"/>
      <c r="C20" s="43"/>
      <c r="D20" s="43"/>
      <c r="G20" s="43"/>
      <c r="H20" s="43"/>
      <c r="I20" s="43"/>
      <c r="J20" s="43"/>
      <c r="K20" s="43"/>
    </row>
    <row r="21" spans="1:11" ht="15.75" x14ac:dyDescent="0.25">
      <c r="B21" s="106" t="s">
        <v>158</v>
      </c>
      <c r="C21" s="78"/>
      <c r="D21" s="79"/>
      <c r="E21" s="79"/>
      <c r="F21" s="79"/>
      <c r="G21" s="79"/>
      <c r="H21" s="79"/>
      <c r="I21" s="80"/>
      <c r="J21" s="43"/>
      <c r="K21" s="43"/>
    </row>
    <row r="22" spans="1:11" x14ac:dyDescent="0.2">
      <c r="B22" s="107"/>
      <c r="C22" s="87"/>
      <c r="D22" s="108" t="s">
        <v>117</v>
      </c>
      <c r="E22" s="109">
        <f>SUMPRODUCT(G17:G18,C18:C19)</f>
        <v>127.69720601823107</v>
      </c>
      <c r="F22" s="110"/>
      <c r="G22" s="111" t="s">
        <v>118</v>
      </c>
      <c r="H22" s="112"/>
      <c r="I22" s="113"/>
      <c r="J22" s="43"/>
      <c r="K22" s="43"/>
    </row>
    <row r="23" spans="1:11" ht="15.75" x14ac:dyDescent="0.2">
      <c r="B23" s="90"/>
      <c r="C23" s="87"/>
      <c r="D23" s="85" t="s">
        <v>119</v>
      </c>
      <c r="E23" s="86">
        <f>E22-SUM(y)^2/n</f>
        <v>2.7618995373941857E-2</v>
      </c>
      <c r="F23" s="93"/>
      <c r="G23" s="114" t="s">
        <v>120</v>
      </c>
      <c r="H23" s="84"/>
      <c r="I23" s="97"/>
      <c r="J23" s="43"/>
      <c r="K23" s="43"/>
    </row>
    <row r="24" spans="1:11" x14ac:dyDescent="0.2">
      <c r="B24" s="90"/>
      <c r="C24" s="87"/>
      <c r="D24" s="115" t="s">
        <v>121</v>
      </c>
      <c r="E24" s="86">
        <f>G13-E22</f>
        <v>5.3819293555079639E-7</v>
      </c>
      <c r="F24" s="93"/>
      <c r="G24" s="114" t="s">
        <v>122</v>
      </c>
      <c r="H24" s="84"/>
      <c r="I24" s="97"/>
      <c r="J24" s="43"/>
      <c r="K24" s="43"/>
    </row>
    <row r="25" spans="1:11" x14ac:dyDescent="0.2">
      <c r="B25" s="116"/>
      <c r="C25" s="84"/>
      <c r="D25" s="117" t="s">
        <v>123</v>
      </c>
      <c r="E25" s="86">
        <f>(G13-E22)/G14</f>
        <v>1.0763858711015928E-7</v>
      </c>
      <c r="F25" s="93"/>
      <c r="G25" s="118" t="s">
        <v>124</v>
      </c>
      <c r="H25" s="84"/>
      <c r="I25" s="97"/>
      <c r="J25" s="43"/>
      <c r="K25" s="43"/>
    </row>
    <row r="26" spans="1:11" x14ac:dyDescent="0.2">
      <c r="B26" s="116"/>
      <c r="C26" s="84"/>
      <c r="D26" s="94"/>
      <c r="E26" s="86"/>
      <c r="F26" s="93"/>
      <c r="G26" s="118"/>
      <c r="H26" s="84"/>
      <c r="I26" s="97"/>
      <c r="J26" s="43"/>
      <c r="K26" s="43"/>
    </row>
    <row r="27" spans="1:11" ht="15.75" x14ac:dyDescent="0.2">
      <c r="B27" s="90"/>
      <c r="C27" s="84"/>
      <c r="D27" s="117" t="s">
        <v>125</v>
      </c>
      <c r="E27" s="82">
        <f t="shared" ref="E27:F28" si="0">$E$25*C15</f>
        <v>4.2710210848211604E-8</v>
      </c>
      <c r="F27" s="83">
        <f t="shared" si="0"/>
        <v>-6.5450769445362272E-13</v>
      </c>
      <c r="G27" s="93"/>
      <c r="H27" s="93"/>
      <c r="I27" s="89"/>
      <c r="K27" s="43"/>
    </row>
    <row r="28" spans="1:11" x14ac:dyDescent="0.2">
      <c r="B28" s="90"/>
      <c r="C28" s="84"/>
      <c r="D28" s="117"/>
      <c r="E28" s="91">
        <f t="shared" si="0"/>
        <v>-6.5450769445362272E-13</v>
      </c>
      <c r="F28" s="92">
        <f t="shared" si="0"/>
        <v>1.5672487218855883E-17</v>
      </c>
      <c r="G28" s="93"/>
      <c r="H28" s="93"/>
      <c r="I28" s="89"/>
      <c r="K28" s="43"/>
    </row>
    <row r="29" spans="1:11" x14ac:dyDescent="0.2">
      <c r="B29" s="119"/>
      <c r="C29" s="103"/>
      <c r="D29" s="120"/>
      <c r="E29" s="120"/>
      <c r="F29" s="120"/>
      <c r="G29" s="121"/>
      <c r="H29" s="121"/>
      <c r="I29" s="122"/>
      <c r="K29" s="43"/>
    </row>
    <row r="30" spans="1:11" x14ac:dyDescent="0.2">
      <c r="A30" s="15"/>
      <c r="B30" s="74"/>
      <c r="C30" s="74"/>
      <c r="D30" s="74"/>
      <c r="E30" s="15"/>
      <c r="F30" s="15"/>
      <c r="G30" s="15"/>
      <c r="H30" s="15"/>
      <c r="I30" s="15"/>
      <c r="J30" s="15"/>
      <c r="K30" s="74"/>
    </row>
    <row r="31" spans="1:11" ht="17.25" x14ac:dyDescent="0.3">
      <c r="A31" s="15"/>
      <c r="B31" s="136" t="s">
        <v>159</v>
      </c>
      <c r="C31" s="136"/>
      <c r="D31" s="74"/>
      <c r="E31" s="74"/>
      <c r="F31" s="74"/>
      <c r="G31" s="74"/>
      <c r="H31" s="74"/>
      <c r="I31" s="74"/>
      <c r="J31" s="74"/>
      <c r="K31" s="74"/>
    </row>
    <row r="32" spans="1:11" ht="15.75" x14ac:dyDescent="0.25">
      <c r="A32" s="15"/>
      <c r="B32" s="14"/>
      <c r="E32" s="126" t="s">
        <v>128</v>
      </c>
      <c r="F32" s="137">
        <f>J14</f>
        <v>4.3538722161315828</v>
      </c>
      <c r="G32" s="74"/>
      <c r="H32" s="74"/>
      <c r="I32" s="74"/>
      <c r="J32" s="74"/>
      <c r="K32" s="74"/>
    </row>
    <row r="33" spans="1:11" ht="15.75" x14ac:dyDescent="0.25">
      <c r="A33" s="15"/>
      <c r="B33" s="14"/>
      <c r="E33" s="126" t="s">
        <v>129</v>
      </c>
      <c r="F33" s="137">
        <f>J15</f>
        <v>4.3549347120925148</v>
      </c>
      <c r="G33" s="74"/>
      <c r="H33" s="74"/>
      <c r="I33" s="74"/>
      <c r="J33" s="74"/>
      <c r="K33" s="74"/>
    </row>
    <row r="34" spans="1:11" ht="15.75" x14ac:dyDescent="0.25">
      <c r="A34" s="15"/>
      <c r="B34" s="14"/>
      <c r="E34" s="126" t="s">
        <v>130</v>
      </c>
      <c r="F34" s="137">
        <f>Data!D6</f>
        <v>4.3542059999999996</v>
      </c>
      <c r="G34" s="74"/>
      <c r="H34" s="74"/>
      <c r="I34" s="74"/>
      <c r="J34" s="74"/>
      <c r="K34" s="74"/>
    </row>
    <row r="35" spans="1:11" x14ac:dyDescent="0.2">
      <c r="A35" s="15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7.25" x14ac:dyDescent="0.3">
      <c r="A36" s="15"/>
      <c r="B36" s="14" t="s">
        <v>160</v>
      </c>
      <c r="C36" s="74"/>
      <c r="D36" s="74"/>
      <c r="E36" s="74"/>
      <c r="F36" s="74"/>
      <c r="G36" s="74"/>
      <c r="H36" s="74"/>
      <c r="I36" s="74"/>
      <c r="J36" s="74"/>
      <c r="K36" s="15"/>
    </row>
    <row r="37" spans="1:11" ht="15.75" x14ac:dyDescent="0.25">
      <c r="B37" s="16"/>
      <c r="E37" s="126" t="s">
        <v>138</v>
      </c>
      <c r="F37" s="128">
        <f>Regression!E54</f>
        <v>5.0747130488646023E-3</v>
      </c>
      <c r="G37" s="127"/>
      <c r="H37" s="43"/>
      <c r="I37" s="43"/>
      <c r="J37" s="43"/>
      <c r="K37" s="43"/>
    </row>
    <row r="38" spans="1:11" ht="15.75" x14ac:dyDescent="0.25">
      <c r="B38" s="16"/>
      <c r="E38" s="126" t="s">
        <v>139</v>
      </c>
      <c r="F38" s="128">
        <f>Regression!E55</f>
        <v>-5.0747130488646023E-3</v>
      </c>
      <c r="G38" s="16"/>
      <c r="H38" s="16"/>
      <c r="I38" s="16"/>
      <c r="J38" s="43"/>
      <c r="K38" s="43"/>
    </row>
    <row r="39" spans="1:11" ht="15.75" x14ac:dyDescent="0.25">
      <c r="B39" s="16"/>
      <c r="C39" s="16"/>
      <c r="D39" s="16"/>
      <c r="E39" s="16"/>
      <c r="F39" s="16"/>
      <c r="G39" s="16"/>
      <c r="H39" s="16"/>
      <c r="I39" s="16"/>
      <c r="J39" s="43"/>
      <c r="K39" s="43"/>
    </row>
    <row r="40" spans="1:11" ht="17.25" x14ac:dyDescent="0.3">
      <c r="B40" s="16" t="s">
        <v>161</v>
      </c>
      <c r="C40" s="16"/>
      <c r="D40" s="16"/>
      <c r="E40" s="16"/>
      <c r="F40" s="138">
        <f>-G18</f>
        <v>2.0053441091925212E-6</v>
      </c>
      <c r="G40" s="42" t="str">
        <f>CONCATENATE(Data!H24,"/",Data!H22)</f>
        <v>g/m</v>
      </c>
      <c r="H40" s="16"/>
      <c r="I40" s="16"/>
      <c r="J40" s="43"/>
      <c r="K40" s="43"/>
    </row>
    <row r="41" spans="1:11" ht="15.75" x14ac:dyDescent="0.25">
      <c r="B41" s="47"/>
      <c r="C41" s="16"/>
      <c r="D41" s="16"/>
      <c r="E41" s="16"/>
      <c r="F41" s="16"/>
      <c r="H41" s="16"/>
      <c r="I41" s="16"/>
      <c r="J41" s="43"/>
      <c r="K41" s="43"/>
    </row>
    <row r="42" spans="1:11" ht="15.75" x14ac:dyDescent="0.25">
      <c r="B42" s="47"/>
      <c r="C42" s="16"/>
      <c r="D42" s="16"/>
      <c r="E42" s="16"/>
      <c r="F42" s="16"/>
      <c r="G42" s="16"/>
      <c r="H42" s="16"/>
      <c r="I42" s="16"/>
      <c r="J42" s="43"/>
      <c r="K42" s="43"/>
    </row>
    <row r="43" spans="1:11" ht="15.75" x14ac:dyDescent="0.25">
      <c r="B43" s="47"/>
      <c r="C43" s="16"/>
      <c r="D43" s="16"/>
      <c r="E43" s="16"/>
      <c r="F43" s="16"/>
      <c r="G43" s="16"/>
      <c r="H43" s="16"/>
      <c r="I43" s="16"/>
      <c r="J43" s="43"/>
      <c r="K43" s="43"/>
    </row>
    <row r="44" spans="1:11" ht="15.75" x14ac:dyDescent="0.25">
      <c r="B44" s="47"/>
      <c r="C44" s="16"/>
      <c r="D44" s="16"/>
      <c r="E44" s="16"/>
      <c r="F44" s="16"/>
      <c r="G44" s="16"/>
      <c r="H44" s="16"/>
      <c r="I44" s="16"/>
      <c r="J44" s="43"/>
      <c r="K44" s="43"/>
    </row>
    <row r="45" spans="1:11" ht="15.75" x14ac:dyDescent="0.25">
      <c r="B45" s="47"/>
      <c r="C45" s="16"/>
      <c r="D45" s="16"/>
      <c r="E45" s="16"/>
      <c r="F45" s="16"/>
      <c r="G45" s="16"/>
      <c r="H45" s="16"/>
      <c r="I45" s="16"/>
      <c r="J45" s="43"/>
      <c r="K45" s="43"/>
    </row>
    <row r="46" spans="1:11" ht="15.75" x14ac:dyDescent="0.25">
      <c r="B46" s="47"/>
      <c r="C46" s="16"/>
      <c r="D46" s="16"/>
      <c r="E46" s="16"/>
      <c r="F46" s="16"/>
      <c r="G46" s="16"/>
      <c r="H46" s="16"/>
      <c r="I46" s="16"/>
      <c r="J46" s="43"/>
      <c r="K46" s="43"/>
    </row>
    <row r="47" spans="1:11" ht="15.75" x14ac:dyDescent="0.25">
      <c r="B47" s="47"/>
      <c r="C47" s="16"/>
      <c r="D47" s="16"/>
      <c r="E47" s="16"/>
      <c r="F47" s="16"/>
      <c r="G47" s="16"/>
      <c r="H47" s="16"/>
      <c r="I47" s="16"/>
      <c r="J47" s="43"/>
      <c r="K47" s="43"/>
    </row>
    <row r="48" spans="1:11" ht="15.75" x14ac:dyDescent="0.25">
      <c r="B48" s="47"/>
      <c r="C48" s="16"/>
      <c r="D48" s="16"/>
      <c r="E48" s="16"/>
      <c r="F48" s="16"/>
      <c r="G48" s="16"/>
      <c r="H48" s="16"/>
      <c r="I48" s="16"/>
      <c r="J48" s="43"/>
      <c r="K48" s="43"/>
    </row>
    <row r="49" spans="2:11" ht="15.75" x14ac:dyDescent="0.25">
      <c r="B49" s="16"/>
      <c r="C49" s="16"/>
      <c r="D49" s="16"/>
      <c r="E49" s="16"/>
      <c r="F49" s="16"/>
      <c r="G49" s="16"/>
      <c r="H49" s="16"/>
      <c r="I49" s="16"/>
      <c r="J49" s="43"/>
      <c r="K49" s="43"/>
    </row>
    <row r="50" spans="2:11" ht="15.75" x14ac:dyDescent="0.25">
      <c r="B50" s="47"/>
      <c r="C50" s="16"/>
      <c r="D50" s="16"/>
      <c r="E50" s="16"/>
      <c r="F50" s="16"/>
      <c r="G50" s="16"/>
      <c r="H50" s="16"/>
      <c r="I50" s="16"/>
      <c r="J50" s="43"/>
      <c r="K50" s="43"/>
    </row>
    <row r="51" spans="2:11" ht="15.75" x14ac:dyDescent="0.25">
      <c r="B51" s="47"/>
      <c r="C51" s="16"/>
      <c r="D51" s="16"/>
      <c r="E51" s="16"/>
      <c r="F51" s="16"/>
      <c r="G51" s="16"/>
      <c r="H51" s="16"/>
      <c r="I51" s="16"/>
      <c r="J51" s="43"/>
      <c r="K51" s="43"/>
    </row>
    <row r="52" spans="2:11" ht="15.75" x14ac:dyDescent="0.25">
      <c r="B52" s="16"/>
      <c r="C52" s="16"/>
      <c r="D52" s="16"/>
      <c r="E52" s="16"/>
      <c r="F52" s="16"/>
      <c r="G52" s="16"/>
      <c r="H52" s="16"/>
      <c r="I52" s="16"/>
      <c r="J52" s="43"/>
      <c r="K52" s="43"/>
    </row>
    <row r="53" spans="2:11" ht="15.75" x14ac:dyDescent="0.25">
      <c r="B53" s="16"/>
      <c r="C53" s="16"/>
      <c r="D53" s="16"/>
      <c r="E53" s="16"/>
      <c r="F53" s="16"/>
      <c r="G53" s="16"/>
      <c r="H53" s="16"/>
      <c r="I53" s="16"/>
      <c r="J53" s="43"/>
      <c r="K53" s="43"/>
    </row>
    <row r="54" spans="2:11" ht="15.75" x14ac:dyDescent="0.25">
      <c r="B54" s="16"/>
      <c r="C54" s="16"/>
      <c r="D54" s="16"/>
      <c r="E54" s="16"/>
      <c r="F54" s="16"/>
      <c r="G54" s="16"/>
      <c r="H54" s="16"/>
      <c r="I54" s="16"/>
      <c r="J54" s="43"/>
      <c r="K54" s="43"/>
    </row>
    <row r="55" spans="2:11" ht="15.75" x14ac:dyDescent="0.25">
      <c r="B55" s="16"/>
      <c r="C55" s="16"/>
      <c r="D55" s="16"/>
      <c r="E55" s="16"/>
      <c r="F55" s="16"/>
      <c r="G55" s="16"/>
      <c r="H55" s="16"/>
      <c r="I55" s="16"/>
      <c r="J55" s="43"/>
      <c r="K55" s="43"/>
    </row>
    <row r="56" spans="2:11" ht="15.75" x14ac:dyDescent="0.25">
      <c r="B56" s="16"/>
      <c r="C56" s="16"/>
      <c r="D56" s="16"/>
      <c r="E56" s="16"/>
      <c r="F56" s="16"/>
      <c r="G56" s="16"/>
      <c r="H56" s="16"/>
      <c r="I56" s="16"/>
      <c r="J56" s="43"/>
      <c r="K56" s="43"/>
    </row>
    <row r="57" spans="2:11" ht="15.75" x14ac:dyDescent="0.25">
      <c r="B57" s="16"/>
      <c r="C57" s="16"/>
      <c r="D57" s="16"/>
      <c r="E57" s="16"/>
      <c r="F57" s="16"/>
      <c r="G57" s="16"/>
      <c r="H57" s="16"/>
      <c r="I57" s="16"/>
      <c r="J57" s="43"/>
      <c r="K57" s="43"/>
    </row>
    <row r="58" spans="2:11" ht="15.75" x14ac:dyDescent="0.25">
      <c r="B58" s="16"/>
      <c r="C58" s="16"/>
      <c r="D58" s="16"/>
      <c r="E58" s="16"/>
      <c r="F58" s="16"/>
      <c r="G58" s="16"/>
      <c r="H58" s="16"/>
      <c r="I58" s="16"/>
      <c r="J58" s="43"/>
      <c r="K58" s="43"/>
    </row>
    <row r="59" spans="2:11" ht="15.75" x14ac:dyDescent="0.25">
      <c r="B59" s="16"/>
      <c r="C59" s="16"/>
      <c r="D59" s="16"/>
      <c r="E59" s="16"/>
      <c r="F59" s="16"/>
      <c r="G59" s="16"/>
      <c r="H59" s="16"/>
      <c r="I59" s="16"/>
      <c r="J59" s="43"/>
      <c r="K59" s="43"/>
    </row>
    <row r="60" spans="2:11" ht="15.75" x14ac:dyDescent="0.25">
      <c r="B60" s="16"/>
      <c r="C60" s="16"/>
      <c r="D60" s="16"/>
      <c r="E60" s="16"/>
      <c r="F60" s="16"/>
      <c r="G60" s="16"/>
      <c r="H60" s="16"/>
      <c r="I60" s="16"/>
      <c r="J60" s="43"/>
      <c r="K60" s="43"/>
    </row>
    <row r="61" spans="2:11" ht="15.75" x14ac:dyDescent="0.25">
      <c r="B61" s="16"/>
      <c r="C61" s="16"/>
      <c r="D61" s="16"/>
      <c r="E61" s="16"/>
      <c r="F61" s="16"/>
      <c r="G61" s="16"/>
      <c r="H61" s="16"/>
      <c r="I61" s="16"/>
      <c r="J61" s="43"/>
      <c r="K61" s="43"/>
    </row>
    <row r="62" spans="2:11" ht="15.75" x14ac:dyDescent="0.25">
      <c r="B62" s="16"/>
      <c r="C62" s="16"/>
      <c r="D62" s="16"/>
      <c r="E62" s="16"/>
      <c r="F62" s="16"/>
      <c r="G62" s="16"/>
      <c r="H62" s="16"/>
      <c r="I62" s="16"/>
      <c r="J62" s="43"/>
      <c r="K62" s="43"/>
    </row>
    <row r="63" spans="2:1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2:1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2:1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2:1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2:1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2:1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2:1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2:1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2:1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2:1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2:1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2:1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2:1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2:1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2:1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2:1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2:1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2:1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2:1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2:1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2:1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2:1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2:1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2:1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2:1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2:1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2:1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2:1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2:1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2:1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2:1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2:1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2:1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2:1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2:1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2:1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2:1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2:1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2:1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</sheetData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showRowColHeaders="0" zoomScale="80" workbookViewId="0"/>
  </sheetViews>
  <sheetFormatPr defaultColWidth="6.77734375" defaultRowHeight="15" x14ac:dyDescent="0.2"/>
  <cols>
    <col min="1" max="1" width="3.77734375" customWidth="1"/>
  </cols>
  <sheetData>
    <row r="1" spans="1:13" ht="15.75" thickBot="1" x14ac:dyDescent="0.25"/>
    <row r="2" spans="1:13" ht="16.5" thickTop="1" thickBot="1" x14ac:dyDescent="0.25">
      <c r="C2" s="68" t="s">
        <v>162</v>
      </c>
      <c r="D2" s="67">
        <f>10^-5</f>
        <v>1.0000000000000001E-5</v>
      </c>
      <c r="E2" s="139" t="s">
        <v>163</v>
      </c>
    </row>
    <row r="3" spans="1:13" ht="15.75" thickTop="1" x14ac:dyDescent="0.2">
      <c r="C3" s="68" t="s">
        <v>164</v>
      </c>
      <c r="D3" s="127">
        <f>ROUND(1-D2,G5)*100</f>
        <v>99.999000000000009</v>
      </c>
      <c r="F3" s="68" t="s">
        <v>165</v>
      </c>
      <c r="G3" s="140">
        <f>TINV(D2,n-2)</f>
        <v>17.896866143409877</v>
      </c>
    </row>
    <row r="4" spans="1:13" x14ac:dyDescent="0.2">
      <c r="F4" s="68" t="s">
        <v>166</v>
      </c>
      <c r="G4" s="141">
        <f>TDIST(G3,n-2,2)</f>
        <v>1.0000000000000008E-5</v>
      </c>
    </row>
    <row r="5" spans="1:13" x14ac:dyDescent="0.2">
      <c r="B5" s="19"/>
      <c r="G5" s="140">
        <f>-ROUND(LOG(G4),0)</f>
        <v>5</v>
      </c>
    </row>
    <row r="6" spans="1:13" x14ac:dyDescent="0.2">
      <c r="F6" s="68" t="s">
        <v>167</v>
      </c>
      <c r="G6" s="142" t="str">
        <f>CONCATENATE("Case 2 Calibration Curve, with ",D3,"% Confidence Bands (t = ",ROUND(G3,1),") for Estimation (red) and Prediction (blue)")</f>
        <v>Case 2 Calibration Curve, with 99.999% Confidence Bands (t = 17.9) for Estimation (red) and Prediction (blue)</v>
      </c>
    </row>
    <row r="7" spans="1:13" x14ac:dyDescent="0.2">
      <c r="F7" s="143"/>
    </row>
    <row r="8" spans="1:13" x14ac:dyDescent="0.2">
      <c r="F8" s="144" t="s">
        <v>168</v>
      </c>
      <c r="L8" s="145" t="s">
        <v>169</v>
      </c>
      <c r="M8" s="146"/>
    </row>
    <row r="9" spans="1:13" x14ac:dyDescent="0.2">
      <c r="A9" s="147" t="s">
        <v>170</v>
      </c>
      <c r="B9" s="148"/>
      <c r="E9" s="72"/>
      <c r="F9" s="55"/>
      <c r="G9" s="149"/>
      <c r="H9" s="149" t="s">
        <v>171</v>
      </c>
      <c r="I9" s="149" t="s">
        <v>171</v>
      </c>
      <c r="J9" s="149" t="s">
        <v>172</v>
      </c>
      <c r="K9" s="150" t="s">
        <v>172</v>
      </c>
      <c r="L9" s="151"/>
      <c r="M9" s="152" t="s">
        <v>173</v>
      </c>
    </row>
    <row r="10" spans="1:13" ht="15.75" x14ac:dyDescent="0.2">
      <c r="A10" s="153"/>
      <c r="B10" s="72"/>
      <c r="C10" s="154" t="s">
        <v>174</v>
      </c>
      <c r="D10" s="155" t="s">
        <v>175</v>
      </c>
      <c r="E10" s="154" t="s">
        <v>176</v>
      </c>
      <c r="F10" s="156" t="s">
        <v>177</v>
      </c>
      <c r="G10" s="157" t="s">
        <v>178</v>
      </c>
      <c r="H10" s="157" t="s">
        <v>179</v>
      </c>
      <c r="I10" s="157" t="s">
        <v>180</v>
      </c>
      <c r="J10" s="157" t="s">
        <v>179</v>
      </c>
      <c r="K10" s="158" t="s">
        <v>180</v>
      </c>
      <c r="L10" s="159" t="s">
        <v>181</v>
      </c>
      <c r="M10" s="160" t="s">
        <v>182</v>
      </c>
    </row>
    <row r="11" spans="1:13" x14ac:dyDescent="0.2">
      <c r="A11" s="161">
        <f>Data!B6</f>
        <v>0</v>
      </c>
      <c r="B11" s="162">
        <v>1</v>
      </c>
      <c r="C11" s="162">
        <f>Data!C6</f>
        <v>0</v>
      </c>
      <c r="D11" s="162">
        <f>C11^2</f>
        <v>0</v>
      </c>
      <c r="E11" s="163">
        <f>Data!D6</f>
        <v>4.3542059999999996</v>
      </c>
      <c r="F11" s="178">
        <f>Regression!$G$22+Regression!$G$23*C11</f>
        <v>4.3544034641120488</v>
      </c>
      <c r="G11" s="162">
        <f>-F11+E11</f>
        <v>-1.974641120492393E-4</v>
      </c>
      <c r="H11" s="162">
        <f t="shared" ref="H11:H26" si="0">F11-$G$3*SQRT(M11)</f>
        <v>4.3507048174229821</v>
      </c>
      <c r="I11" s="162">
        <f t="shared" ref="I11:I26" si="1">F11+$G$3*SQRT(M11)</f>
        <v>4.3581021108011155</v>
      </c>
      <c r="J11" s="164">
        <f t="shared" ref="J11:J26" si="2">F11-$G$3*SQRT(M11+L11)</f>
        <v>4.3474639834478941</v>
      </c>
      <c r="K11" s="165">
        <f t="shared" ref="K11:K26" si="3">F11+$G$3*SQRT(M11+L11)</f>
        <v>4.3613429447762035</v>
      </c>
      <c r="L11" s="137">
        <f>Regression!$E$30</f>
        <v>1.0763858711015928E-7</v>
      </c>
      <c r="M11" s="163">
        <f>SUMPRODUCT(B11:C11,Regression!$E$31:$F$31)*B11+SUMPRODUCT(B11:C11,Regression!$E$32:$F$32)*C11</f>
        <v>4.2710210848211604E-8</v>
      </c>
    </row>
    <row r="12" spans="1:13" x14ac:dyDescent="0.2">
      <c r="A12" s="166">
        <f>Data!B7</f>
        <v>1</v>
      </c>
      <c r="B12" s="137">
        <v>1</v>
      </c>
      <c r="C12" s="137">
        <f>Data!C7</f>
        <v>8641</v>
      </c>
      <c r="D12" s="137">
        <f t="shared" ref="D12:D13" si="4">C12^2</f>
        <v>74666881</v>
      </c>
      <c r="E12" s="163">
        <f>Data!D7</f>
        <v>4.3374499999999996</v>
      </c>
      <c r="F12" s="166">
        <f>Regression!$G$22+Regression!$G$23*C12</f>
        <v>4.3370752856645165</v>
      </c>
      <c r="G12" s="137">
        <f t="shared" ref="G12:G13" si="5">-F12+E12</f>
        <v>3.7471433548308397E-4</v>
      </c>
      <c r="H12" s="137">
        <f t="shared" si="0"/>
        <v>4.3338454479644426</v>
      </c>
      <c r="I12" s="137">
        <f t="shared" si="1"/>
        <v>4.3403051233645904</v>
      </c>
      <c r="J12" s="167">
        <f t="shared" si="2"/>
        <v>4.3303739234055092</v>
      </c>
      <c r="K12" s="168">
        <f t="shared" si="3"/>
        <v>4.3437766479235238</v>
      </c>
      <c r="L12" s="137">
        <f>Regression!$E$30</f>
        <v>1.0763858711015928E-7</v>
      </c>
      <c r="M12" s="163">
        <f>SUMPRODUCT(B12:C12,Regression!$E$31:$F$31)*B12+SUMPRODUCT(B12:C12,Regression!$E$32:$F$32)*C12</f>
        <v>3.2569224610808426E-8</v>
      </c>
    </row>
    <row r="13" spans="1:13" x14ac:dyDescent="0.2">
      <c r="A13" s="169">
        <f>Data!B8</f>
        <v>2</v>
      </c>
      <c r="B13" s="170">
        <v>1</v>
      </c>
      <c r="C13" s="170">
        <f>IF(A13&gt;n,-9999,Data!C8)</f>
        <v>18722</v>
      </c>
      <c r="D13" s="170">
        <f t="shared" si="4"/>
        <v>350513284</v>
      </c>
      <c r="E13" s="171">
        <f>Data!D8</f>
        <v>4.3167660000000003</v>
      </c>
      <c r="F13" s="169">
        <f>Regression!$G$22+Regression!$G$23*C13</f>
        <v>4.3168594116997463</v>
      </c>
      <c r="G13" s="170">
        <f t="shared" si="5"/>
        <v>-9.3411699745971077E-5</v>
      </c>
      <c r="H13" s="170">
        <f t="shared" si="0"/>
        <v>4.314104442758885</v>
      </c>
      <c r="I13" s="170">
        <f t="shared" si="1"/>
        <v>4.3196143806406075</v>
      </c>
      <c r="J13" s="172">
        <f t="shared" si="2"/>
        <v>4.3103735610675828</v>
      </c>
      <c r="K13" s="173">
        <f t="shared" si="3"/>
        <v>4.3233452623319097</v>
      </c>
      <c r="L13" s="170">
        <f>Regression!$E$30</f>
        <v>1.0763858711015928E-7</v>
      </c>
      <c r="M13" s="171">
        <f>SUMPRODUCT(B13:C13,Regression!$E$31:$F$31)*B13+SUMPRODUCT(B13:C13,Regression!$E$32:$F$32)*C13</f>
        <v>2.3696239700619358E-8</v>
      </c>
    </row>
    <row r="14" spans="1:13" x14ac:dyDescent="0.2">
      <c r="A14" s="166">
        <f>Data!B9</f>
        <v>3</v>
      </c>
      <c r="B14" s="137">
        <v>1</v>
      </c>
      <c r="C14" s="137">
        <f>IF(A14&gt;n,max,Data!C9)</f>
        <v>40322</v>
      </c>
      <c r="D14" s="137">
        <f>IF(A14&gt;n,0,C14^2)</f>
        <v>1625863684</v>
      </c>
      <c r="E14" s="163">
        <f>IF(A14&gt;n,min,Data!D9)</f>
        <v>4.2734940000000003</v>
      </c>
      <c r="F14" s="166">
        <f>Regression!$G$22+Regression!$G$23*C14</f>
        <v>4.2735439789411878</v>
      </c>
      <c r="G14" s="137">
        <f>IF(A14&gt;n,0,-F14+E14)</f>
        <v>-4.9978941187411863E-5</v>
      </c>
      <c r="H14" s="137">
        <f t="shared" si="0"/>
        <v>4.2713223570910683</v>
      </c>
      <c r="I14" s="137">
        <f t="shared" si="1"/>
        <v>4.2757656007913072</v>
      </c>
      <c r="J14" s="167">
        <f t="shared" si="2"/>
        <v>4.2672660805505993</v>
      </c>
      <c r="K14" s="168">
        <f t="shared" si="3"/>
        <v>4.2798218773317762</v>
      </c>
      <c r="L14" s="137">
        <f>Regression!$E$30</f>
        <v>1.0763858711015928E-7</v>
      </c>
      <c r="M14" s="163">
        <f>SUMPRODUCT(B14:C14,Regression!$E$31:$F$31)*B14+SUMPRODUCT(B14:C14,Regression!$E$32:$F$32)*C14</f>
        <v>1.5409420143785594E-8</v>
      </c>
    </row>
    <row r="15" spans="1:13" x14ac:dyDescent="0.2">
      <c r="A15" s="166">
        <f>Data!B10</f>
        <v>4</v>
      </c>
      <c r="B15" s="137">
        <v>1</v>
      </c>
      <c r="C15" s="137">
        <f>IF(A15&gt;n,max,Data!C10)</f>
        <v>64802</v>
      </c>
      <c r="D15" s="137">
        <f t="shared" ref="D15:D30" si="6">IF(A15&gt;n,0,C15^2)</f>
        <v>4199299204</v>
      </c>
      <c r="E15" s="163">
        <f>IF(A15&gt;n,min,Data!D10)</f>
        <v>4.2245140000000001</v>
      </c>
      <c r="F15" s="166">
        <f>Regression!$G$22+Regression!$G$23*C15</f>
        <v>4.2244531551481552</v>
      </c>
      <c r="G15" s="137">
        <f t="shared" ref="G15:G30" si="7">IF(A15&gt;n,0,-F15+E15)</f>
        <v>6.0844851844876757E-5</v>
      </c>
      <c r="H15" s="137">
        <f t="shared" si="0"/>
        <v>4.2216981502234088</v>
      </c>
      <c r="I15" s="137">
        <f t="shared" si="1"/>
        <v>4.2272081600729017</v>
      </c>
      <c r="J15" s="167">
        <f t="shared" si="2"/>
        <v>4.2179672892311784</v>
      </c>
      <c r="K15" s="168">
        <f t="shared" si="3"/>
        <v>4.2309390210651321</v>
      </c>
      <c r="L15" s="137">
        <f>Regression!$E$30</f>
        <v>1.0763858711015928E-7</v>
      </c>
      <c r="M15" s="163">
        <f>SUMPRODUCT(B15:C15,Regression!$E$31:$F$31)*B15+SUMPRODUCT(B15:C15,Regression!$E$32:$F$32)*C15</f>
        <v>2.3696858719085968E-8</v>
      </c>
    </row>
    <row r="16" spans="1:13" x14ac:dyDescent="0.2">
      <c r="A16" s="166">
        <f>Data!B11</f>
        <v>5</v>
      </c>
      <c r="B16" s="137">
        <v>1</v>
      </c>
      <c r="C16" s="137">
        <f>IF(A16&gt;n,max,Data!C11)</f>
        <v>74882</v>
      </c>
      <c r="D16" s="137">
        <f t="shared" si="6"/>
        <v>5607313924</v>
      </c>
      <c r="E16" s="163">
        <f>IF(A16&gt;n,min,Data!D11)</f>
        <v>4.2037800000000001</v>
      </c>
      <c r="F16" s="166">
        <f>Regression!$G$22+Regression!$G$23*C16</f>
        <v>4.2042392865274945</v>
      </c>
      <c r="G16" s="137">
        <f t="shared" si="7"/>
        <v>-4.592865274943847E-4</v>
      </c>
      <c r="H16" s="137">
        <f t="shared" si="0"/>
        <v>4.2010094561811995</v>
      </c>
      <c r="I16" s="137">
        <f t="shared" si="1"/>
        <v>4.2074691168737894</v>
      </c>
      <c r="J16" s="167">
        <f t="shared" si="2"/>
        <v>4.1975379278127649</v>
      </c>
      <c r="K16" s="168">
        <f t="shared" si="3"/>
        <v>4.210940645242224</v>
      </c>
      <c r="L16" s="137">
        <f>Regression!$E$30</f>
        <v>1.0763858711015928E-7</v>
      </c>
      <c r="M16" s="163">
        <f>SUMPRODUCT(B16:C16,Regression!$E$31:$F$31)*B16+SUMPRODUCT(B16:C16,Regression!$E$32:$F$32)*C16</f>
        <v>3.2569076302061878E-8</v>
      </c>
    </row>
    <row r="17" spans="1:13" x14ac:dyDescent="0.2">
      <c r="A17" s="166">
        <f>Data!B12</f>
        <v>6</v>
      </c>
      <c r="B17" s="137">
        <v>1</v>
      </c>
      <c r="C17" s="137">
        <f>IF(A17&gt;n,max,Data!C12)</f>
        <v>84962</v>
      </c>
      <c r="D17" s="137">
        <f t="shared" si="6"/>
        <v>7218541444</v>
      </c>
      <c r="E17" s="163">
        <f>IF(A17&gt;n,min,Data!D12)</f>
        <v>4.1843899999999996</v>
      </c>
      <c r="F17" s="166">
        <f>Regression!$G$22+Regression!$G$23*C17</f>
        <v>4.1840254179068337</v>
      </c>
      <c r="G17" s="137">
        <f t="shared" si="7"/>
        <v>3.6458209316592161E-4</v>
      </c>
      <c r="H17" s="137">
        <f t="shared" si="0"/>
        <v>4.1802447226659245</v>
      </c>
      <c r="I17" s="137">
        <f t="shared" si="1"/>
        <v>4.1878061131477429</v>
      </c>
      <c r="J17" s="167">
        <f t="shared" si="2"/>
        <v>4.1770418614302045</v>
      </c>
      <c r="K17" s="168">
        <f t="shared" si="3"/>
        <v>4.1910089743834629</v>
      </c>
      <c r="L17" s="137">
        <f>Regression!$E$30</f>
        <v>1.0763858711015928E-7</v>
      </c>
      <c r="M17" s="163">
        <f>SUMPRODUCT(B17:C17,Regression!$E$31:$F$31)*B17+SUMPRODUCT(B17:C17,Regression!$E$32:$F$32)*C17</f>
        <v>4.4626143895745707E-8</v>
      </c>
    </row>
    <row r="18" spans="1:13" x14ac:dyDescent="0.2">
      <c r="A18" s="166" t="str">
        <f>Data!B13</f>
        <v/>
      </c>
      <c r="B18" s="137">
        <v>1</v>
      </c>
      <c r="C18" s="137">
        <f>IF(A18&gt;n,max,Data!C13)</f>
        <v>84962</v>
      </c>
      <c r="D18" s="137">
        <f t="shared" si="6"/>
        <v>0</v>
      </c>
      <c r="E18" s="163">
        <f>IF(A18&gt;n,min,Data!D13)</f>
        <v>4.1843899999999996</v>
      </c>
      <c r="F18" s="166">
        <f>Regression!$G$22+Regression!$G$23*C18</f>
        <v>4.1840254179068337</v>
      </c>
      <c r="G18" s="137">
        <f t="shared" si="7"/>
        <v>0</v>
      </c>
      <c r="H18" s="137">
        <f t="shared" si="0"/>
        <v>4.1802447226659245</v>
      </c>
      <c r="I18" s="137">
        <f t="shared" si="1"/>
        <v>4.1878061131477429</v>
      </c>
      <c r="J18" s="167">
        <f t="shared" si="2"/>
        <v>4.1770418614302045</v>
      </c>
      <c r="K18" s="168">
        <f t="shared" si="3"/>
        <v>4.1910089743834629</v>
      </c>
      <c r="L18" s="137">
        <f>Regression!$E$30</f>
        <v>1.0763858711015928E-7</v>
      </c>
      <c r="M18" s="163">
        <f>SUMPRODUCT(B18:C18,Regression!$E$31:$F$31)*B18+SUMPRODUCT(B18:C18,Regression!$E$32:$F$32)*C18</f>
        <v>4.4626143895745707E-8</v>
      </c>
    </row>
    <row r="19" spans="1:13" x14ac:dyDescent="0.2">
      <c r="A19" s="166" t="str">
        <f>Data!B14</f>
        <v/>
      </c>
      <c r="B19" s="137">
        <v>1</v>
      </c>
      <c r="C19" s="137">
        <f>IF(A19&gt;n,max,Data!C14)</f>
        <v>84962</v>
      </c>
      <c r="D19" s="137">
        <f t="shared" si="6"/>
        <v>0</v>
      </c>
      <c r="E19" s="163">
        <f>IF(A19&gt;n,min,Data!D14)</f>
        <v>4.1843899999999996</v>
      </c>
      <c r="F19" s="166">
        <f>Regression!$G$22+Regression!$G$23*C19</f>
        <v>4.1840254179068337</v>
      </c>
      <c r="G19" s="137">
        <f t="shared" si="7"/>
        <v>0</v>
      </c>
      <c r="H19" s="137">
        <f t="shared" si="0"/>
        <v>4.1802447226659245</v>
      </c>
      <c r="I19" s="137">
        <f t="shared" si="1"/>
        <v>4.1878061131477429</v>
      </c>
      <c r="J19" s="167">
        <f t="shared" si="2"/>
        <v>4.1770418614302045</v>
      </c>
      <c r="K19" s="168">
        <f t="shared" si="3"/>
        <v>4.1910089743834629</v>
      </c>
      <c r="L19" s="137">
        <f>Regression!$E$30</f>
        <v>1.0763858711015928E-7</v>
      </c>
      <c r="M19" s="163">
        <f>SUMPRODUCT(B19:C19,Regression!$E$31:$F$31)*B19+SUMPRODUCT(B19:C19,Regression!$E$32:$F$32)*C19</f>
        <v>4.4626143895745707E-8</v>
      </c>
    </row>
    <row r="20" spans="1:13" x14ac:dyDescent="0.2">
      <c r="A20" s="166" t="str">
        <f>Data!B15</f>
        <v/>
      </c>
      <c r="B20" s="137">
        <v>1</v>
      </c>
      <c r="C20" s="137">
        <f>IF(A20&gt;n,max,Data!C15)</f>
        <v>84962</v>
      </c>
      <c r="D20" s="137">
        <f t="shared" si="6"/>
        <v>0</v>
      </c>
      <c r="E20" s="163">
        <f>IF(A20&gt;n,min,Data!D15)</f>
        <v>4.1843899999999996</v>
      </c>
      <c r="F20" s="166">
        <f>Regression!$G$22+Regression!$G$23*C20</f>
        <v>4.1840254179068337</v>
      </c>
      <c r="G20" s="137">
        <f t="shared" si="7"/>
        <v>0</v>
      </c>
      <c r="H20" s="137">
        <f t="shared" si="0"/>
        <v>4.1802447226659245</v>
      </c>
      <c r="I20" s="137">
        <f t="shared" si="1"/>
        <v>4.1878061131477429</v>
      </c>
      <c r="J20" s="167">
        <f t="shared" si="2"/>
        <v>4.1770418614302045</v>
      </c>
      <c r="K20" s="168">
        <f t="shared" si="3"/>
        <v>4.1910089743834629</v>
      </c>
      <c r="L20" s="137">
        <f>Regression!$E$30</f>
        <v>1.0763858711015928E-7</v>
      </c>
      <c r="M20" s="163">
        <f>SUMPRODUCT(B20:C20,Regression!$E$31:$F$31)*B20+SUMPRODUCT(B20:C20,Regression!$E$32:$F$32)*C20</f>
        <v>4.4626143895745707E-8</v>
      </c>
    </row>
    <row r="21" spans="1:13" x14ac:dyDescent="0.2">
      <c r="A21" s="166" t="str">
        <f>Data!B16</f>
        <v/>
      </c>
      <c r="B21" s="137">
        <v>1</v>
      </c>
      <c r="C21" s="137">
        <f>IF(A21&gt;n,max,Data!C16)</f>
        <v>84962</v>
      </c>
      <c r="D21" s="137">
        <f t="shared" si="6"/>
        <v>0</v>
      </c>
      <c r="E21" s="163">
        <f>IF(A21&gt;n,min,Data!D16)</f>
        <v>4.1843899999999996</v>
      </c>
      <c r="F21" s="166">
        <f>Regression!$G$22+Regression!$G$23*C21</f>
        <v>4.1840254179068337</v>
      </c>
      <c r="G21" s="137">
        <f t="shared" si="7"/>
        <v>0</v>
      </c>
      <c r="H21" s="137">
        <f t="shared" si="0"/>
        <v>4.1802447226659245</v>
      </c>
      <c r="I21" s="137">
        <f t="shared" si="1"/>
        <v>4.1878061131477429</v>
      </c>
      <c r="J21" s="167">
        <f t="shared" si="2"/>
        <v>4.1770418614302045</v>
      </c>
      <c r="K21" s="168">
        <f t="shared" si="3"/>
        <v>4.1910089743834629</v>
      </c>
      <c r="L21" s="137">
        <f>Regression!$E$30</f>
        <v>1.0763858711015928E-7</v>
      </c>
      <c r="M21" s="163">
        <f>SUMPRODUCT(B21:C21,Regression!$E$31:$F$31)*B21+SUMPRODUCT(B21:C21,Regression!$E$32:$F$32)*C21</f>
        <v>4.4626143895745707E-8</v>
      </c>
    </row>
    <row r="22" spans="1:13" x14ac:dyDescent="0.2">
      <c r="A22" s="166" t="str">
        <f>Data!B17</f>
        <v/>
      </c>
      <c r="B22" s="137">
        <v>1</v>
      </c>
      <c r="C22" s="137">
        <f>IF(A22&gt;n,max,Data!C17)</f>
        <v>84962</v>
      </c>
      <c r="D22" s="137">
        <f t="shared" si="6"/>
        <v>0</v>
      </c>
      <c r="E22" s="163">
        <f>IF(A22&gt;n,min,Data!D17)</f>
        <v>4.1843899999999996</v>
      </c>
      <c r="F22" s="166">
        <f>Regression!$G$22+Regression!$G$23*C22</f>
        <v>4.1840254179068337</v>
      </c>
      <c r="G22" s="137">
        <f t="shared" si="7"/>
        <v>0</v>
      </c>
      <c r="H22" s="137">
        <f t="shared" si="0"/>
        <v>4.1802447226659245</v>
      </c>
      <c r="I22" s="137">
        <f t="shared" si="1"/>
        <v>4.1878061131477429</v>
      </c>
      <c r="J22" s="167">
        <f t="shared" si="2"/>
        <v>4.1770418614302045</v>
      </c>
      <c r="K22" s="168">
        <f t="shared" si="3"/>
        <v>4.1910089743834629</v>
      </c>
      <c r="L22" s="137">
        <f>Regression!$E$30</f>
        <v>1.0763858711015928E-7</v>
      </c>
      <c r="M22" s="163">
        <f>SUMPRODUCT(B22:C22,Regression!$E$31:$F$31)*B22+SUMPRODUCT(B22:C22,Regression!$E$32:$F$32)*C22</f>
        <v>4.4626143895745707E-8</v>
      </c>
    </row>
    <row r="23" spans="1:13" x14ac:dyDescent="0.2">
      <c r="A23" s="166" t="str">
        <f>Data!B18</f>
        <v/>
      </c>
      <c r="B23" s="137">
        <v>1</v>
      </c>
      <c r="C23" s="137">
        <f>IF(A23&gt;n,max,Data!C18)</f>
        <v>84962</v>
      </c>
      <c r="D23" s="137">
        <f t="shared" si="6"/>
        <v>0</v>
      </c>
      <c r="E23" s="163">
        <f>IF(A23&gt;n,min,Data!D18)</f>
        <v>4.1843899999999996</v>
      </c>
      <c r="F23" s="166">
        <f>Regression!$G$22+Regression!$G$23*C23</f>
        <v>4.1840254179068337</v>
      </c>
      <c r="G23" s="137">
        <f t="shared" si="7"/>
        <v>0</v>
      </c>
      <c r="H23" s="137">
        <f t="shared" si="0"/>
        <v>4.1802447226659245</v>
      </c>
      <c r="I23" s="137">
        <f t="shared" si="1"/>
        <v>4.1878061131477429</v>
      </c>
      <c r="J23" s="167">
        <f t="shared" si="2"/>
        <v>4.1770418614302045</v>
      </c>
      <c r="K23" s="168">
        <f t="shared" si="3"/>
        <v>4.1910089743834629</v>
      </c>
      <c r="L23" s="137">
        <f>Regression!$E$30</f>
        <v>1.0763858711015928E-7</v>
      </c>
      <c r="M23" s="163">
        <f>SUMPRODUCT(B23:C23,Regression!$E$31:$F$31)*B23+SUMPRODUCT(B23:C23,Regression!$E$32:$F$32)*C23</f>
        <v>4.4626143895745707E-8</v>
      </c>
    </row>
    <row r="24" spans="1:13" x14ac:dyDescent="0.2">
      <c r="A24" s="166" t="str">
        <f>Data!B19</f>
        <v/>
      </c>
      <c r="B24" s="137">
        <v>1</v>
      </c>
      <c r="C24" s="137">
        <f>IF(A24&gt;n,max,Data!C19)</f>
        <v>84962</v>
      </c>
      <c r="D24" s="137">
        <f t="shared" si="6"/>
        <v>0</v>
      </c>
      <c r="E24" s="163">
        <f>IF(A24&gt;n,min,Data!D19)</f>
        <v>4.1843899999999996</v>
      </c>
      <c r="F24" s="166">
        <f>Regression!$G$22+Regression!$G$23*C24</f>
        <v>4.1840254179068337</v>
      </c>
      <c r="G24" s="137">
        <f t="shared" si="7"/>
        <v>0</v>
      </c>
      <c r="H24" s="137">
        <f t="shared" si="0"/>
        <v>4.1802447226659245</v>
      </c>
      <c r="I24" s="137">
        <f t="shared" si="1"/>
        <v>4.1878061131477429</v>
      </c>
      <c r="J24" s="167">
        <f t="shared" si="2"/>
        <v>4.1770418614302045</v>
      </c>
      <c r="K24" s="168">
        <f t="shared" si="3"/>
        <v>4.1910089743834629</v>
      </c>
      <c r="L24" s="137">
        <f>Regression!$E$30</f>
        <v>1.0763858711015928E-7</v>
      </c>
      <c r="M24" s="163">
        <f>SUMPRODUCT(B24:C24,Regression!$E$31:$F$31)*B24+SUMPRODUCT(B24:C24,Regression!$E$32:$F$32)*C24</f>
        <v>4.4626143895745707E-8</v>
      </c>
    </row>
    <row r="25" spans="1:13" x14ac:dyDescent="0.2">
      <c r="A25" s="166" t="str">
        <f>Data!B20</f>
        <v/>
      </c>
      <c r="B25" s="137">
        <v>1</v>
      </c>
      <c r="C25" s="137">
        <f>IF(A25&gt;n,max,Data!C20)</f>
        <v>84962</v>
      </c>
      <c r="D25" s="137">
        <f t="shared" si="6"/>
        <v>0</v>
      </c>
      <c r="E25" s="163">
        <f>IF(A25&gt;n,min,Data!D20)</f>
        <v>4.1843899999999996</v>
      </c>
      <c r="F25" s="166">
        <f>Regression!$G$22+Regression!$G$23*C25</f>
        <v>4.1840254179068337</v>
      </c>
      <c r="G25" s="137">
        <f t="shared" si="7"/>
        <v>0</v>
      </c>
      <c r="H25" s="137">
        <f t="shared" si="0"/>
        <v>4.1802447226659245</v>
      </c>
      <c r="I25" s="137">
        <f t="shared" si="1"/>
        <v>4.1878061131477429</v>
      </c>
      <c r="J25" s="167">
        <f t="shared" si="2"/>
        <v>4.1770418614302045</v>
      </c>
      <c r="K25" s="168">
        <f t="shared" si="3"/>
        <v>4.1910089743834629</v>
      </c>
      <c r="L25" s="137">
        <f>Regression!$E$30</f>
        <v>1.0763858711015928E-7</v>
      </c>
      <c r="M25" s="163">
        <f>SUMPRODUCT(B25:C25,Regression!$E$31:$F$31)*B25+SUMPRODUCT(B25:C25,Regression!$E$32:$F$32)*C25</f>
        <v>4.4626143895745707E-8</v>
      </c>
    </row>
    <row r="26" spans="1:13" x14ac:dyDescent="0.2">
      <c r="A26" s="166" t="str">
        <f>Data!B21</f>
        <v/>
      </c>
      <c r="B26" s="137">
        <v>1</v>
      </c>
      <c r="C26" s="137">
        <f>IF(A26&gt;n,max,Data!C21)</f>
        <v>84962</v>
      </c>
      <c r="D26" s="137">
        <f t="shared" si="6"/>
        <v>0</v>
      </c>
      <c r="E26" s="163">
        <f>IF(A26&gt;n,min,Data!D21)</f>
        <v>4.1843899999999996</v>
      </c>
      <c r="F26" s="166">
        <f>Regression!$G$22+Regression!$G$23*C26</f>
        <v>4.1840254179068337</v>
      </c>
      <c r="G26" s="137">
        <f t="shared" si="7"/>
        <v>0</v>
      </c>
      <c r="H26" s="137">
        <f t="shared" si="0"/>
        <v>4.1802447226659245</v>
      </c>
      <c r="I26" s="137">
        <f t="shared" si="1"/>
        <v>4.1878061131477429</v>
      </c>
      <c r="J26" s="167">
        <f t="shared" si="2"/>
        <v>4.1770418614302045</v>
      </c>
      <c r="K26" s="168">
        <f t="shared" si="3"/>
        <v>4.1910089743834629</v>
      </c>
      <c r="L26" s="137">
        <f>Regression!$E$30</f>
        <v>1.0763858711015928E-7</v>
      </c>
      <c r="M26" s="163">
        <f>SUMPRODUCT(B26:C26,Regression!$E$31:$F$31)*B26+SUMPRODUCT(B26:C26,Regression!$E$32:$F$32)*C26</f>
        <v>4.4626143895745707E-8</v>
      </c>
    </row>
    <row r="27" spans="1:13" x14ac:dyDescent="0.2">
      <c r="A27" s="166" t="str">
        <f>Data!B22</f>
        <v/>
      </c>
      <c r="B27" s="137">
        <v>1</v>
      </c>
      <c r="C27" s="137">
        <f>IF(A27&gt;n,max,Data!C22)</f>
        <v>84962</v>
      </c>
      <c r="D27" s="137">
        <f t="shared" si="6"/>
        <v>0</v>
      </c>
      <c r="E27" s="163">
        <f>IF(A27&gt;n,min,Data!D22)</f>
        <v>4.1843899999999996</v>
      </c>
      <c r="F27" s="166">
        <f>Regression!$G$22+Regression!$G$23*C27</f>
        <v>4.1840254179068337</v>
      </c>
      <c r="G27" s="137">
        <f t="shared" si="7"/>
        <v>0</v>
      </c>
      <c r="H27" s="137">
        <f t="shared" ref="H27:H42" si="8">F27-$G$3*SQRT(M27)</f>
        <v>4.1802447226659245</v>
      </c>
      <c r="I27" s="137">
        <f t="shared" ref="I27:I42" si="9">F27+$G$3*SQRT(M27)</f>
        <v>4.1878061131477429</v>
      </c>
      <c r="J27" s="167">
        <f t="shared" ref="J27:J42" si="10">F27-$G$3*SQRT(M27+L27)</f>
        <v>4.1770418614302045</v>
      </c>
      <c r="K27" s="168">
        <f t="shared" ref="K27:K42" si="11">F27+$G$3*SQRT(M27+L27)</f>
        <v>4.1910089743834629</v>
      </c>
      <c r="L27" s="137">
        <f>Regression!$E$30</f>
        <v>1.0763858711015928E-7</v>
      </c>
      <c r="M27" s="163">
        <f>SUMPRODUCT(B27:C27,Regression!$E$31:$F$31)*B27+SUMPRODUCT(B27:C27,Regression!$E$32:$F$32)*C27</f>
        <v>4.4626143895745707E-8</v>
      </c>
    </row>
    <row r="28" spans="1:13" x14ac:dyDescent="0.2">
      <c r="A28" s="166" t="str">
        <f>Data!B23</f>
        <v/>
      </c>
      <c r="B28" s="137">
        <v>1</v>
      </c>
      <c r="C28" s="137">
        <f>IF(A28&gt;n,max,Data!C23)</f>
        <v>84962</v>
      </c>
      <c r="D28" s="137">
        <f t="shared" si="6"/>
        <v>0</v>
      </c>
      <c r="E28" s="163">
        <f>IF(A28&gt;n,min,Data!D23)</f>
        <v>4.1843899999999996</v>
      </c>
      <c r="F28" s="166">
        <f>Regression!$G$22+Regression!$G$23*C28</f>
        <v>4.1840254179068337</v>
      </c>
      <c r="G28" s="137">
        <f t="shared" si="7"/>
        <v>0</v>
      </c>
      <c r="H28" s="137">
        <f t="shared" si="8"/>
        <v>4.1802447226659245</v>
      </c>
      <c r="I28" s="137">
        <f t="shared" si="9"/>
        <v>4.1878061131477429</v>
      </c>
      <c r="J28" s="167">
        <f t="shared" si="10"/>
        <v>4.1770418614302045</v>
      </c>
      <c r="K28" s="168">
        <f t="shared" si="11"/>
        <v>4.1910089743834629</v>
      </c>
      <c r="L28" s="137">
        <f>Regression!$E$30</f>
        <v>1.0763858711015928E-7</v>
      </c>
      <c r="M28" s="163">
        <f>SUMPRODUCT(B28:C28,Regression!$E$31:$F$31)*B28+SUMPRODUCT(B28:C28,Regression!$E$32:$F$32)*C28</f>
        <v>4.4626143895745707E-8</v>
      </c>
    </row>
    <row r="29" spans="1:13" x14ac:dyDescent="0.2">
      <c r="A29" s="166" t="str">
        <f>Data!B24</f>
        <v/>
      </c>
      <c r="B29" s="137">
        <v>1</v>
      </c>
      <c r="C29" s="137">
        <f>IF(A29&gt;n,max,Data!C24)</f>
        <v>84962</v>
      </c>
      <c r="D29" s="137">
        <f t="shared" si="6"/>
        <v>0</v>
      </c>
      <c r="E29" s="163">
        <f>IF(A29&gt;n,min,Data!D24)</f>
        <v>4.1843899999999996</v>
      </c>
      <c r="F29" s="166">
        <f>Regression!$G$22+Regression!$G$23*C29</f>
        <v>4.1840254179068337</v>
      </c>
      <c r="G29" s="137">
        <f t="shared" si="7"/>
        <v>0</v>
      </c>
      <c r="H29" s="137">
        <f t="shared" si="8"/>
        <v>4.1802447226659245</v>
      </c>
      <c r="I29" s="137">
        <f t="shared" si="9"/>
        <v>4.1878061131477429</v>
      </c>
      <c r="J29" s="167">
        <f t="shared" si="10"/>
        <v>4.1770418614302045</v>
      </c>
      <c r="K29" s="168">
        <f t="shared" si="11"/>
        <v>4.1910089743834629</v>
      </c>
      <c r="L29" s="137">
        <f>Regression!$E$30</f>
        <v>1.0763858711015928E-7</v>
      </c>
      <c r="M29" s="163">
        <f>SUMPRODUCT(B29:C29,Regression!$E$31:$F$31)*B29+SUMPRODUCT(B29:C29,Regression!$E$32:$F$32)*C29</f>
        <v>4.4626143895745707E-8</v>
      </c>
    </row>
    <row r="30" spans="1:13" x14ac:dyDescent="0.2">
      <c r="A30" s="166" t="str">
        <f>Data!B25</f>
        <v/>
      </c>
      <c r="B30" s="137">
        <v>1</v>
      </c>
      <c r="C30" s="137">
        <f>IF(A30&gt;n,max,Data!C25)</f>
        <v>84962</v>
      </c>
      <c r="D30" s="137">
        <f t="shared" si="6"/>
        <v>0</v>
      </c>
      <c r="E30" s="163">
        <f>IF(A30&gt;n,min,Data!D25)</f>
        <v>4.1843899999999996</v>
      </c>
      <c r="F30" s="166">
        <f>Regression!$G$22+Regression!$G$23*C30</f>
        <v>4.1840254179068337</v>
      </c>
      <c r="G30" s="137">
        <f t="shared" si="7"/>
        <v>0</v>
      </c>
      <c r="H30" s="137">
        <f t="shared" si="8"/>
        <v>4.1802447226659245</v>
      </c>
      <c r="I30" s="137">
        <f t="shared" si="9"/>
        <v>4.1878061131477429</v>
      </c>
      <c r="J30" s="167">
        <f t="shared" si="10"/>
        <v>4.1770418614302045</v>
      </c>
      <c r="K30" s="168">
        <f t="shared" si="11"/>
        <v>4.1910089743834629</v>
      </c>
      <c r="L30" s="137">
        <f>Regression!$E$30</f>
        <v>1.0763858711015928E-7</v>
      </c>
      <c r="M30" s="163">
        <f>SUMPRODUCT(B30:C30,Regression!$E$31:$F$31)*B30+SUMPRODUCT(B30:C30,Regression!$E$32:$F$32)*C30</f>
        <v>4.4626143895745707E-8</v>
      </c>
    </row>
    <row r="31" spans="1:13" x14ac:dyDescent="0.2">
      <c r="A31" s="166" t="str">
        <f>Data!B26</f>
        <v/>
      </c>
      <c r="B31" s="137">
        <v>1</v>
      </c>
      <c r="C31" s="137">
        <f>IF(A31&gt;n,max,Data!C26)</f>
        <v>84962</v>
      </c>
      <c r="D31" s="137">
        <f t="shared" ref="D31:D46" si="12">IF(A31&gt;n,0,C31^2)</f>
        <v>0</v>
      </c>
      <c r="E31" s="163">
        <f>IF(A31&gt;n,min,Data!D26)</f>
        <v>4.1843899999999996</v>
      </c>
      <c r="F31" s="166">
        <f>Regression!$G$22+Regression!$G$23*C31</f>
        <v>4.1840254179068337</v>
      </c>
      <c r="G31" s="137">
        <f t="shared" ref="G31:G46" si="13">IF(A31&gt;n,0,-F31+E31)</f>
        <v>0</v>
      </c>
      <c r="H31" s="137">
        <f t="shared" si="8"/>
        <v>4.1802447226659245</v>
      </c>
      <c r="I31" s="137">
        <f t="shared" si="9"/>
        <v>4.1878061131477429</v>
      </c>
      <c r="J31" s="167">
        <f t="shared" si="10"/>
        <v>4.1770418614302045</v>
      </c>
      <c r="K31" s="168">
        <f t="shared" si="11"/>
        <v>4.1910089743834629</v>
      </c>
      <c r="L31" s="137">
        <f>Regression!$E$30</f>
        <v>1.0763858711015928E-7</v>
      </c>
      <c r="M31" s="163">
        <f>SUMPRODUCT(B31:C31,Regression!$E$31:$F$31)*B31+SUMPRODUCT(B31:C31,Regression!$E$32:$F$32)*C31</f>
        <v>4.4626143895745707E-8</v>
      </c>
    </row>
    <row r="32" spans="1:13" x14ac:dyDescent="0.2">
      <c r="A32" s="166" t="str">
        <f>Data!B27</f>
        <v/>
      </c>
      <c r="B32" s="137">
        <v>1</v>
      </c>
      <c r="C32" s="137">
        <f>IF(A32&gt;n,max,Data!C27)</f>
        <v>84962</v>
      </c>
      <c r="D32" s="137">
        <f t="shared" si="12"/>
        <v>0</v>
      </c>
      <c r="E32" s="163">
        <f>IF(A32&gt;n,min,Data!D27)</f>
        <v>4.1843899999999996</v>
      </c>
      <c r="F32" s="166">
        <f>Regression!$G$22+Regression!$G$23*C32</f>
        <v>4.1840254179068337</v>
      </c>
      <c r="G32" s="137">
        <f t="shared" si="13"/>
        <v>0</v>
      </c>
      <c r="H32" s="137">
        <f t="shared" si="8"/>
        <v>4.1802447226659245</v>
      </c>
      <c r="I32" s="137">
        <f t="shared" si="9"/>
        <v>4.1878061131477429</v>
      </c>
      <c r="J32" s="167">
        <f t="shared" si="10"/>
        <v>4.1770418614302045</v>
      </c>
      <c r="K32" s="168">
        <f t="shared" si="11"/>
        <v>4.1910089743834629</v>
      </c>
      <c r="L32" s="137">
        <f>Regression!$E$30</f>
        <v>1.0763858711015928E-7</v>
      </c>
      <c r="M32" s="163">
        <f>SUMPRODUCT(B32:C32,Regression!$E$31:$F$31)*B32+SUMPRODUCT(B32:C32,Regression!$E$32:$F$32)*C32</f>
        <v>4.4626143895745707E-8</v>
      </c>
    </row>
    <row r="33" spans="1:13" x14ac:dyDescent="0.2">
      <c r="A33" s="166" t="str">
        <f>Data!B28</f>
        <v/>
      </c>
      <c r="B33" s="137">
        <v>1</v>
      </c>
      <c r="C33" s="137">
        <f>IF(A33&gt;n,max,Data!C28)</f>
        <v>84962</v>
      </c>
      <c r="D33" s="137">
        <f t="shared" si="12"/>
        <v>0</v>
      </c>
      <c r="E33" s="163">
        <f>IF(A33&gt;n,min,Data!D28)</f>
        <v>4.1843899999999996</v>
      </c>
      <c r="F33" s="166">
        <f>Regression!$G$22+Regression!$G$23*C33</f>
        <v>4.1840254179068337</v>
      </c>
      <c r="G33" s="137">
        <f t="shared" si="13"/>
        <v>0</v>
      </c>
      <c r="H33" s="137">
        <f t="shared" si="8"/>
        <v>4.1802447226659245</v>
      </c>
      <c r="I33" s="137">
        <f t="shared" si="9"/>
        <v>4.1878061131477429</v>
      </c>
      <c r="J33" s="167">
        <f t="shared" si="10"/>
        <v>4.1770418614302045</v>
      </c>
      <c r="K33" s="168">
        <f t="shared" si="11"/>
        <v>4.1910089743834629</v>
      </c>
      <c r="L33" s="137">
        <f>Regression!$E$30</f>
        <v>1.0763858711015928E-7</v>
      </c>
      <c r="M33" s="163">
        <f>SUMPRODUCT(B33:C33,Regression!$E$31:$F$31)*B33+SUMPRODUCT(B33:C33,Regression!$E$32:$F$32)*C33</f>
        <v>4.4626143895745707E-8</v>
      </c>
    </row>
    <row r="34" spans="1:13" x14ac:dyDescent="0.2">
      <c r="A34" s="166" t="str">
        <f>Data!B29</f>
        <v/>
      </c>
      <c r="B34" s="137">
        <v>1</v>
      </c>
      <c r="C34" s="137">
        <f>IF(A34&gt;n,max,Data!C29)</f>
        <v>84962</v>
      </c>
      <c r="D34" s="137">
        <f t="shared" si="12"/>
        <v>0</v>
      </c>
      <c r="E34" s="163">
        <f>IF(A34&gt;n,min,Data!D29)</f>
        <v>4.1843899999999996</v>
      </c>
      <c r="F34" s="166">
        <f>Regression!$G$22+Regression!$G$23*C34</f>
        <v>4.1840254179068337</v>
      </c>
      <c r="G34" s="137">
        <f t="shared" si="13"/>
        <v>0</v>
      </c>
      <c r="H34" s="137">
        <f t="shared" si="8"/>
        <v>4.1802447226659245</v>
      </c>
      <c r="I34" s="137">
        <f t="shared" si="9"/>
        <v>4.1878061131477429</v>
      </c>
      <c r="J34" s="167">
        <f t="shared" si="10"/>
        <v>4.1770418614302045</v>
      </c>
      <c r="K34" s="168">
        <f t="shared" si="11"/>
        <v>4.1910089743834629</v>
      </c>
      <c r="L34" s="137">
        <f>Regression!$E$30</f>
        <v>1.0763858711015928E-7</v>
      </c>
      <c r="M34" s="163">
        <f>SUMPRODUCT(B34:C34,Regression!$E$31:$F$31)*B34+SUMPRODUCT(B34:C34,Regression!$E$32:$F$32)*C34</f>
        <v>4.4626143895745707E-8</v>
      </c>
    </row>
    <row r="35" spans="1:13" x14ac:dyDescent="0.2">
      <c r="A35" s="166" t="str">
        <f>Data!B30</f>
        <v/>
      </c>
      <c r="B35" s="137">
        <v>1</v>
      </c>
      <c r="C35" s="137">
        <f>IF(A35&gt;n,max,Data!C30)</f>
        <v>84962</v>
      </c>
      <c r="D35" s="137">
        <f t="shared" si="12"/>
        <v>0</v>
      </c>
      <c r="E35" s="163">
        <f>IF(A35&gt;n,min,Data!D30)</f>
        <v>4.1843899999999996</v>
      </c>
      <c r="F35" s="166">
        <f>Regression!$G$22+Regression!$G$23*C35</f>
        <v>4.1840254179068337</v>
      </c>
      <c r="G35" s="137">
        <f t="shared" si="13"/>
        <v>0</v>
      </c>
      <c r="H35" s="137">
        <f t="shared" si="8"/>
        <v>4.1802447226659245</v>
      </c>
      <c r="I35" s="137">
        <f t="shared" si="9"/>
        <v>4.1878061131477429</v>
      </c>
      <c r="J35" s="167">
        <f t="shared" si="10"/>
        <v>4.1770418614302045</v>
      </c>
      <c r="K35" s="168">
        <f t="shared" si="11"/>
        <v>4.1910089743834629</v>
      </c>
      <c r="L35" s="137">
        <f>Regression!$E$30</f>
        <v>1.0763858711015928E-7</v>
      </c>
      <c r="M35" s="163">
        <f>SUMPRODUCT(B35:C35,Regression!$E$31:$F$31)*B35+SUMPRODUCT(B35:C35,Regression!$E$32:$F$32)*C35</f>
        <v>4.4626143895745707E-8</v>
      </c>
    </row>
    <row r="36" spans="1:13" x14ac:dyDescent="0.2">
      <c r="A36" s="166" t="str">
        <f>Data!B31</f>
        <v/>
      </c>
      <c r="B36" s="137">
        <v>1</v>
      </c>
      <c r="C36" s="137">
        <f>IF(A36&gt;n,max,Data!C31)</f>
        <v>84962</v>
      </c>
      <c r="D36" s="137">
        <f t="shared" si="12"/>
        <v>0</v>
      </c>
      <c r="E36" s="163">
        <f>IF(A36&gt;n,min,Data!D31)</f>
        <v>4.1843899999999996</v>
      </c>
      <c r="F36" s="166">
        <f>Regression!$G$22+Regression!$G$23*C36</f>
        <v>4.1840254179068337</v>
      </c>
      <c r="G36" s="137">
        <f t="shared" si="13"/>
        <v>0</v>
      </c>
      <c r="H36" s="137">
        <f t="shared" si="8"/>
        <v>4.1802447226659245</v>
      </c>
      <c r="I36" s="137">
        <f t="shared" si="9"/>
        <v>4.1878061131477429</v>
      </c>
      <c r="J36" s="167">
        <f t="shared" si="10"/>
        <v>4.1770418614302045</v>
      </c>
      <c r="K36" s="168">
        <f t="shared" si="11"/>
        <v>4.1910089743834629</v>
      </c>
      <c r="L36" s="137">
        <f>Regression!$E$30</f>
        <v>1.0763858711015928E-7</v>
      </c>
      <c r="M36" s="163">
        <f>SUMPRODUCT(B36:C36,Regression!$E$31:$F$31)*B36+SUMPRODUCT(B36:C36,Regression!$E$32:$F$32)*C36</f>
        <v>4.4626143895745707E-8</v>
      </c>
    </row>
    <row r="37" spans="1:13" x14ac:dyDescent="0.2">
      <c r="A37" s="166" t="str">
        <f>Data!B32</f>
        <v/>
      </c>
      <c r="B37" s="137">
        <v>1</v>
      </c>
      <c r="C37" s="137">
        <f>IF(A37&gt;n,max,Data!C32)</f>
        <v>84962</v>
      </c>
      <c r="D37" s="137">
        <f t="shared" si="12"/>
        <v>0</v>
      </c>
      <c r="E37" s="163">
        <f>IF(A37&gt;n,min,Data!D32)</f>
        <v>4.1843899999999996</v>
      </c>
      <c r="F37" s="166">
        <f>Regression!$G$22+Regression!$G$23*C37</f>
        <v>4.1840254179068337</v>
      </c>
      <c r="G37" s="137">
        <f t="shared" si="13"/>
        <v>0</v>
      </c>
      <c r="H37" s="137">
        <f t="shared" si="8"/>
        <v>4.1802447226659245</v>
      </c>
      <c r="I37" s="137">
        <f t="shared" si="9"/>
        <v>4.1878061131477429</v>
      </c>
      <c r="J37" s="167">
        <f t="shared" si="10"/>
        <v>4.1770418614302045</v>
      </c>
      <c r="K37" s="168">
        <f t="shared" si="11"/>
        <v>4.1910089743834629</v>
      </c>
      <c r="L37" s="137">
        <f>Regression!$E$30</f>
        <v>1.0763858711015928E-7</v>
      </c>
      <c r="M37" s="163">
        <f>SUMPRODUCT(B37:C37,Regression!$E$31:$F$31)*B37+SUMPRODUCT(B37:C37,Regression!$E$32:$F$32)*C37</f>
        <v>4.4626143895745707E-8</v>
      </c>
    </row>
    <row r="38" spans="1:13" x14ac:dyDescent="0.2">
      <c r="A38" s="166" t="str">
        <f>Data!B33</f>
        <v/>
      </c>
      <c r="B38" s="137">
        <v>1</v>
      </c>
      <c r="C38" s="137">
        <f>IF(A38&gt;n,max,Data!C33)</f>
        <v>84962</v>
      </c>
      <c r="D38" s="137">
        <f t="shared" si="12"/>
        <v>0</v>
      </c>
      <c r="E38" s="163">
        <f>IF(A38&gt;n,min,Data!D33)</f>
        <v>4.1843899999999996</v>
      </c>
      <c r="F38" s="166">
        <f>Regression!$G$22+Regression!$G$23*C38</f>
        <v>4.1840254179068337</v>
      </c>
      <c r="G38" s="137">
        <f t="shared" si="13"/>
        <v>0</v>
      </c>
      <c r="H38" s="137">
        <f t="shared" si="8"/>
        <v>4.1802447226659245</v>
      </c>
      <c r="I38" s="137">
        <f t="shared" si="9"/>
        <v>4.1878061131477429</v>
      </c>
      <c r="J38" s="167">
        <f t="shared" si="10"/>
        <v>4.1770418614302045</v>
      </c>
      <c r="K38" s="168">
        <f t="shared" si="11"/>
        <v>4.1910089743834629</v>
      </c>
      <c r="L38" s="137">
        <f>Regression!$E$30</f>
        <v>1.0763858711015928E-7</v>
      </c>
      <c r="M38" s="163">
        <f>SUMPRODUCT(B38:C38,Regression!$E$31:$F$31)*B38+SUMPRODUCT(B38:C38,Regression!$E$32:$F$32)*C38</f>
        <v>4.4626143895745707E-8</v>
      </c>
    </row>
    <row r="39" spans="1:13" x14ac:dyDescent="0.2">
      <c r="A39" s="166" t="str">
        <f>Data!B34</f>
        <v/>
      </c>
      <c r="B39" s="137">
        <v>1</v>
      </c>
      <c r="C39" s="137">
        <f>IF(A39&gt;n,max,Data!C34)</f>
        <v>84962</v>
      </c>
      <c r="D39" s="137">
        <f t="shared" si="12"/>
        <v>0</v>
      </c>
      <c r="E39" s="163">
        <f>IF(A39&gt;n,min,Data!D34)</f>
        <v>4.1843899999999996</v>
      </c>
      <c r="F39" s="166">
        <f>Regression!$G$22+Regression!$G$23*C39</f>
        <v>4.1840254179068337</v>
      </c>
      <c r="G39" s="137">
        <f t="shared" si="13"/>
        <v>0</v>
      </c>
      <c r="H39" s="137">
        <f t="shared" si="8"/>
        <v>4.1802447226659245</v>
      </c>
      <c r="I39" s="137">
        <f t="shared" si="9"/>
        <v>4.1878061131477429</v>
      </c>
      <c r="J39" s="167">
        <f t="shared" si="10"/>
        <v>4.1770418614302045</v>
      </c>
      <c r="K39" s="168">
        <f t="shared" si="11"/>
        <v>4.1910089743834629</v>
      </c>
      <c r="L39" s="137">
        <f>Regression!$E$30</f>
        <v>1.0763858711015928E-7</v>
      </c>
      <c r="M39" s="163">
        <f>SUMPRODUCT(B39:C39,Regression!$E$31:$F$31)*B39+SUMPRODUCT(B39:C39,Regression!$E$32:$F$32)*C39</f>
        <v>4.4626143895745707E-8</v>
      </c>
    </row>
    <row r="40" spans="1:13" x14ac:dyDescent="0.2">
      <c r="A40" s="166" t="str">
        <f>Data!B35</f>
        <v/>
      </c>
      <c r="B40" s="137">
        <v>1</v>
      </c>
      <c r="C40" s="137">
        <f>IF(A40&gt;n,max,Data!C35)</f>
        <v>84962</v>
      </c>
      <c r="D40" s="137">
        <f t="shared" si="12"/>
        <v>0</v>
      </c>
      <c r="E40" s="163">
        <f>IF(A40&gt;n,min,Data!D35)</f>
        <v>4.1843899999999996</v>
      </c>
      <c r="F40" s="166">
        <f>Regression!$G$22+Regression!$G$23*C40</f>
        <v>4.1840254179068337</v>
      </c>
      <c r="G40" s="137">
        <f t="shared" si="13"/>
        <v>0</v>
      </c>
      <c r="H40" s="137">
        <f t="shared" si="8"/>
        <v>4.1802447226659245</v>
      </c>
      <c r="I40" s="137">
        <f t="shared" si="9"/>
        <v>4.1878061131477429</v>
      </c>
      <c r="J40" s="167">
        <f t="shared" si="10"/>
        <v>4.1770418614302045</v>
      </c>
      <c r="K40" s="168">
        <f t="shared" si="11"/>
        <v>4.1910089743834629</v>
      </c>
      <c r="L40" s="137">
        <f>Regression!$E$30</f>
        <v>1.0763858711015928E-7</v>
      </c>
      <c r="M40" s="163">
        <f>SUMPRODUCT(B40:C40,Regression!$E$31:$F$31)*B40+SUMPRODUCT(B40:C40,Regression!$E$32:$F$32)*C40</f>
        <v>4.4626143895745707E-8</v>
      </c>
    </row>
    <row r="41" spans="1:13" x14ac:dyDescent="0.2">
      <c r="A41" s="166" t="str">
        <f>Data!B36</f>
        <v/>
      </c>
      <c r="B41" s="137">
        <v>1</v>
      </c>
      <c r="C41" s="137">
        <f>IF(A41&gt;n,max,Data!C36)</f>
        <v>84962</v>
      </c>
      <c r="D41" s="137">
        <f t="shared" si="12"/>
        <v>0</v>
      </c>
      <c r="E41" s="163">
        <f>IF(A41&gt;n,min,Data!D36)</f>
        <v>4.1843899999999996</v>
      </c>
      <c r="F41" s="166">
        <f>Regression!$G$22+Regression!$G$23*C41</f>
        <v>4.1840254179068337</v>
      </c>
      <c r="G41" s="137">
        <f t="shared" si="13"/>
        <v>0</v>
      </c>
      <c r="H41" s="137">
        <f t="shared" si="8"/>
        <v>4.1802447226659245</v>
      </c>
      <c r="I41" s="137">
        <f t="shared" si="9"/>
        <v>4.1878061131477429</v>
      </c>
      <c r="J41" s="167">
        <f t="shared" si="10"/>
        <v>4.1770418614302045</v>
      </c>
      <c r="K41" s="168">
        <f t="shared" si="11"/>
        <v>4.1910089743834629</v>
      </c>
      <c r="L41" s="137">
        <f>Regression!$E$30</f>
        <v>1.0763858711015928E-7</v>
      </c>
      <c r="M41" s="163">
        <f>SUMPRODUCT(B41:C41,Regression!$E$31:$F$31)*B41+SUMPRODUCT(B41:C41,Regression!$E$32:$F$32)*C41</f>
        <v>4.4626143895745707E-8</v>
      </c>
    </row>
    <row r="42" spans="1:13" x14ac:dyDescent="0.2">
      <c r="A42" s="166" t="str">
        <f>Data!B37</f>
        <v/>
      </c>
      <c r="B42" s="137">
        <v>1</v>
      </c>
      <c r="C42" s="137">
        <f>IF(A42&gt;n,max,Data!C37)</f>
        <v>84962</v>
      </c>
      <c r="D42" s="137">
        <f t="shared" si="12"/>
        <v>0</v>
      </c>
      <c r="E42" s="163">
        <f>IF(A42&gt;n,min,Data!D37)</f>
        <v>4.1843899999999996</v>
      </c>
      <c r="F42" s="166">
        <f>Regression!$G$22+Regression!$G$23*C42</f>
        <v>4.1840254179068337</v>
      </c>
      <c r="G42" s="137">
        <f t="shared" si="13"/>
        <v>0</v>
      </c>
      <c r="H42" s="137">
        <f t="shared" si="8"/>
        <v>4.1802447226659245</v>
      </c>
      <c r="I42" s="137">
        <f t="shared" si="9"/>
        <v>4.1878061131477429</v>
      </c>
      <c r="J42" s="167">
        <f t="shared" si="10"/>
        <v>4.1770418614302045</v>
      </c>
      <c r="K42" s="168">
        <f t="shared" si="11"/>
        <v>4.1910089743834629</v>
      </c>
      <c r="L42" s="137">
        <f>Regression!$E$30</f>
        <v>1.0763858711015928E-7</v>
      </c>
      <c r="M42" s="163">
        <f>SUMPRODUCT(B42:C42,Regression!$E$31:$F$31)*B42+SUMPRODUCT(B42:C42,Regression!$E$32:$F$32)*C42</f>
        <v>4.4626143895745707E-8</v>
      </c>
    </row>
    <row r="43" spans="1:13" x14ac:dyDescent="0.2">
      <c r="A43" s="166" t="str">
        <f>Data!B38</f>
        <v/>
      </c>
      <c r="B43" s="137">
        <v>1</v>
      </c>
      <c r="C43" s="137">
        <f>IF(A43&gt;n,max,Data!C38)</f>
        <v>84962</v>
      </c>
      <c r="D43" s="137">
        <f t="shared" si="12"/>
        <v>0</v>
      </c>
      <c r="E43" s="163">
        <f>IF(A43&gt;n,min,Data!D38)</f>
        <v>4.1843899999999996</v>
      </c>
      <c r="F43" s="166">
        <f>Regression!$G$22+Regression!$G$23*C43</f>
        <v>4.1840254179068337</v>
      </c>
      <c r="G43" s="137">
        <f t="shared" si="13"/>
        <v>0</v>
      </c>
      <c r="H43" s="137">
        <f t="shared" ref="H43:H58" si="14">F43-$G$3*SQRT(M43)</f>
        <v>4.1802447226659245</v>
      </c>
      <c r="I43" s="137">
        <f t="shared" ref="I43:I58" si="15">F43+$G$3*SQRT(M43)</f>
        <v>4.1878061131477429</v>
      </c>
      <c r="J43" s="167">
        <f t="shared" ref="J43:J58" si="16">F43-$G$3*SQRT(M43+L43)</f>
        <v>4.1770418614302045</v>
      </c>
      <c r="K43" s="168">
        <f t="shared" ref="K43:K58" si="17">F43+$G$3*SQRT(M43+L43)</f>
        <v>4.1910089743834629</v>
      </c>
      <c r="L43" s="137">
        <f>Regression!$E$30</f>
        <v>1.0763858711015928E-7</v>
      </c>
      <c r="M43" s="163">
        <f>SUMPRODUCT(B43:C43,Regression!$E$31:$F$31)*B43+SUMPRODUCT(B43:C43,Regression!$E$32:$F$32)*C43</f>
        <v>4.4626143895745707E-8</v>
      </c>
    </row>
    <row r="44" spans="1:13" x14ac:dyDescent="0.2">
      <c r="A44" s="166" t="str">
        <f>Data!B39</f>
        <v/>
      </c>
      <c r="B44" s="137">
        <v>1</v>
      </c>
      <c r="C44" s="137">
        <f>IF(A44&gt;n,max,Data!C39)</f>
        <v>84962</v>
      </c>
      <c r="D44" s="137">
        <f t="shared" si="12"/>
        <v>0</v>
      </c>
      <c r="E44" s="163">
        <f>IF(A44&gt;n,min,Data!D39)</f>
        <v>4.1843899999999996</v>
      </c>
      <c r="F44" s="166">
        <f>Regression!$G$22+Regression!$G$23*C44</f>
        <v>4.1840254179068337</v>
      </c>
      <c r="G44" s="137">
        <f t="shared" si="13"/>
        <v>0</v>
      </c>
      <c r="H44" s="137">
        <f t="shared" si="14"/>
        <v>4.1802447226659245</v>
      </c>
      <c r="I44" s="137">
        <f t="shared" si="15"/>
        <v>4.1878061131477429</v>
      </c>
      <c r="J44" s="167">
        <f t="shared" si="16"/>
        <v>4.1770418614302045</v>
      </c>
      <c r="K44" s="168">
        <f t="shared" si="17"/>
        <v>4.1910089743834629</v>
      </c>
      <c r="L44" s="137">
        <f>Regression!$E$30</f>
        <v>1.0763858711015928E-7</v>
      </c>
      <c r="M44" s="163">
        <f>SUMPRODUCT(B44:C44,Regression!$E$31:$F$31)*B44+SUMPRODUCT(B44:C44,Regression!$E$32:$F$32)*C44</f>
        <v>4.4626143895745707E-8</v>
      </c>
    </row>
    <row r="45" spans="1:13" x14ac:dyDescent="0.2">
      <c r="A45" s="166" t="str">
        <f>Data!B40</f>
        <v/>
      </c>
      <c r="B45" s="137">
        <v>1</v>
      </c>
      <c r="C45" s="137">
        <f>IF(A45&gt;n,max,Data!C40)</f>
        <v>84962</v>
      </c>
      <c r="D45" s="137">
        <f t="shared" si="12"/>
        <v>0</v>
      </c>
      <c r="E45" s="163">
        <f>IF(A45&gt;n,min,Data!D40)</f>
        <v>4.1843899999999996</v>
      </c>
      <c r="F45" s="166">
        <f>Regression!$G$22+Regression!$G$23*C45</f>
        <v>4.1840254179068337</v>
      </c>
      <c r="G45" s="137">
        <f t="shared" si="13"/>
        <v>0</v>
      </c>
      <c r="H45" s="137">
        <f t="shared" si="14"/>
        <v>4.1802447226659245</v>
      </c>
      <c r="I45" s="137">
        <f t="shared" si="15"/>
        <v>4.1878061131477429</v>
      </c>
      <c r="J45" s="167">
        <f t="shared" si="16"/>
        <v>4.1770418614302045</v>
      </c>
      <c r="K45" s="168">
        <f t="shared" si="17"/>
        <v>4.1910089743834629</v>
      </c>
      <c r="L45" s="137">
        <f>Regression!$E$30</f>
        <v>1.0763858711015928E-7</v>
      </c>
      <c r="M45" s="163">
        <f>SUMPRODUCT(B45:C45,Regression!$E$31:$F$31)*B45+SUMPRODUCT(B45:C45,Regression!$E$32:$F$32)*C45</f>
        <v>4.4626143895745707E-8</v>
      </c>
    </row>
    <row r="46" spans="1:13" x14ac:dyDescent="0.2">
      <c r="A46" s="166" t="str">
        <f>Data!B41</f>
        <v/>
      </c>
      <c r="B46" s="137">
        <v>1</v>
      </c>
      <c r="C46" s="137">
        <f>IF(A46&gt;n,max,Data!C41)</f>
        <v>84962</v>
      </c>
      <c r="D46" s="137">
        <f t="shared" si="12"/>
        <v>0</v>
      </c>
      <c r="E46" s="163">
        <f>IF(A46&gt;n,min,Data!D41)</f>
        <v>4.1843899999999996</v>
      </c>
      <c r="F46" s="166">
        <f>Regression!$G$22+Regression!$G$23*C46</f>
        <v>4.1840254179068337</v>
      </c>
      <c r="G46" s="137">
        <f t="shared" si="13"/>
        <v>0</v>
      </c>
      <c r="H46" s="137">
        <f t="shared" si="14"/>
        <v>4.1802447226659245</v>
      </c>
      <c r="I46" s="137">
        <f t="shared" si="15"/>
        <v>4.1878061131477429</v>
      </c>
      <c r="J46" s="167">
        <f t="shared" si="16"/>
        <v>4.1770418614302045</v>
      </c>
      <c r="K46" s="168">
        <f t="shared" si="17"/>
        <v>4.1910089743834629</v>
      </c>
      <c r="L46" s="137">
        <f>Regression!$E$30</f>
        <v>1.0763858711015928E-7</v>
      </c>
      <c r="M46" s="163">
        <f>SUMPRODUCT(B46:C46,Regression!$E$31:$F$31)*B46+SUMPRODUCT(B46:C46,Regression!$E$32:$F$32)*C46</f>
        <v>4.4626143895745707E-8</v>
      </c>
    </row>
    <row r="47" spans="1:13" x14ac:dyDescent="0.2">
      <c r="A47" s="166" t="str">
        <f>Data!B42</f>
        <v/>
      </c>
      <c r="B47" s="137">
        <v>1</v>
      </c>
      <c r="C47" s="137">
        <f>IF(A47&gt;n,max,Data!C42)</f>
        <v>84962</v>
      </c>
      <c r="D47" s="137">
        <f t="shared" ref="D47:D60" si="18">IF(A47&gt;n,0,C47^2)</f>
        <v>0</v>
      </c>
      <c r="E47" s="163">
        <f>IF(A47&gt;n,min,Data!D42)</f>
        <v>4.1843899999999996</v>
      </c>
      <c r="F47" s="166">
        <f>Regression!$G$22+Regression!$G$23*C47</f>
        <v>4.1840254179068337</v>
      </c>
      <c r="G47" s="137">
        <f t="shared" ref="G47:G60" si="19">IF(A47&gt;n,0,-F47+E47)</f>
        <v>0</v>
      </c>
      <c r="H47" s="137">
        <f t="shared" si="14"/>
        <v>4.1802447226659245</v>
      </c>
      <c r="I47" s="137">
        <f t="shared" si="15"/>
        <v>4.1878061131477429</v>
      </c>
      <c r="J47" s="167">
        <f t="shared" si="16"/>
        <v>4.1770418614302045</v>
      </c>
      <c r="K47" s="168">
        <f t="shared" si="17"/>
        <v>4.1910089743834629</v>
      </c>
      <c r="L47" s="137">
        <f>Regression!$E$30</f>
        <v>1.0763858711015928E-7</v>
      </c>
      <c r="M47" s="163">
        <f>SUMPRODUCT(B47:C47,Regression!$E$31:$F$31)*B47+SUMPRODUCT(B47:C47,Regression!$E$32:$F$32)*C47</f>
        <v>4.4626143895745707E-8</v>
      </c>
    </row>
    <row r="48" spans="1:13" x14ac:dyDescent="0.2">
      <c r="A48" s="166" t="str">
        <f>Data!B43</f>
        <v/>
      </c>
      <c r="B48" s="137">
        <v>1</v>
      </c>
      <c r="C48" s="137">
        <f>IF(A48&gt;n,max,Data!C43)</f>
        <v>84962</v>
      </c>
      <c r="D48" s="137">
        <f t="shared" si="18"/>
        <v>0</v>
      </c>
      <c r="E48" s="163">
        <f>IF(A48&gt;n,min,Data!D43)</f>
        <v>4.1843899999999996</v>
      </c>
      <c r="F48" s="166">
        <f>Regression!$G$22+Regression!$G$23*C48</f>
        <v>4.1840254179068337</v>
      </c>
      <c r="G48" s="137">
        <f t="shared" si="19"/>
        <v>0</v>
      </c>
      <c r="H48" s="137">
        <f t="shared" si="14"/>
        <v>4.1802447226659245</v>
      </c>
      <c r="I48" s="137">
        <f t="shared" si="15"/>
        <v>4.1878061131477429</v>
      </c>
      <c r="J48" s="167">
        <f t="shared" si="16"/>
        <v>4.1770418614302045</v>
      </c>
      <c r="K48" s="168">
        <f t="shared" si="17"/>
        <v>4.1910089743834629</v>
      </c>
      <c r="L48" s="137">
        <f>Regression!$E$30</f>
        <v>1.0763858711015928E-7</v>
      </c>
      <c r="M48" s="163">
        <f>SUMPRODUCT(B48:C48,Regression!$E$31:$F$31)*B48+SUMPRODUCT(B48:C48,Regression!$E$32:$F$32)*C48</f>
        <v>4.4626143895745707E-8</v>
      </c>
    </row>
    <row r="49" spans="1:13" x14ac:dyDescent="0.2">
      <c r="A49" s="166" t="str">
        <f>Data!B44</f>
        <v/>
      </c>
      <c r="B49" s="137">
        <v>1</v>
      </c>
      <c r="C49" s="137">
        <f>IF(A49&gt;n,max,Data!C44)</f>
        <v>84962</v>
      </c>
      <c r="D49" s="137">
        <f t="shared" si="18"/>
        <v>0</v>
      </c>
      <c r="E49" s="163">
        <f>IF(A49&gt;n,min,Data!D44)</f>
        <v>4.1843899999999996</v>
      </c>
      <c r="F49" s="166">
        <f>Regression!$G$22+Regression!$G$23*C49</f>
        <v>4.1840254179068337</v>
      </c>
      <c r="G49" s="137">
        <f t="shared" si="19"/>
        <v>0</v>
      </c>
      <c r="H49" s="137">
        <f t="shared" si="14"/>
        <v>4.1802447226659245</v>
      </c>
      <c r="I49" s="137">
        <f t="shared" si="15"/>
        <v>4.1878061131477429</v>
      </c>
      <c r="J49" s="167">
        <f t="shared" si="16"/>
        <v>4.1770418614302045</v>
      </c>
      <c r="K49" s="168">
        <f t="shared" si="17"/>
        <v>4.1910089743834629</v>
      </c>
      <c r="L49" s="137">
        <f>Regression!$E$30</f>
        <v>1.0763858711015928E-7</v>
      </c>
      <c r="M49" s="163">
        <f>SUMPRODUCT(B49:C49,Regression!$E$31:$F$31)*B49+SUMPRODUCT(B49:C49,Regression!$E$32:$F$32)*C49</f>
        <v>4.4626143895745707E-8</v>
      </c>
    </row>
    <row r="50" spans="1:13" x14ac:dyDescent="0.2">
      <c r="A50" s="166" t="str">
        <f>Data!B45</f>
        <v/>
      </c>
      <c r="B50" s="137">
        <v>1</v>
      </c>
      <c r="C50" s="137">
        <f>IF(A50&gt;n,max,Data!C45)</f>
        <v>84962</v>
      </c>
      <c r="D50" s="137">
        <f t="shared" si="18"/>
        <v>0</v>
      </c>
      <c r="E50" s="163">
        <f>IF(A50&gt;n,min,Data!D45)</f>
        <v>4.1843899999999996</v>
      </c>
      <c r="F50" s="166">
        <f>Regression!$G$22+Regression!$G$23*C50</f>
        <v>4.1840254179068337</v>
      </c>
      <c r="G50" s="137">
        <f t="shared" si="19"/>
        <v>0</v>
      </c>
      <c r="H50" s="137">
        <f t="shared" si="14"/>
        <v>4.1802447226659245</v>
      </c>
      <c r="I50" s="137">
        <f t="shared" si="15"/>
        <v>4.1878061131477429</v>
      </c>
      <c r="J50" s="167">
        <f t="shared" si="16"/>
        <v>4.1770418614302045</v>
      </c>
      <c r="K50" s="168">
        <f t="shared" si="17"/>
        <v>4.1910089743834629</v>
      </c>
      <c r="L50" s="137">
        <f>Regression!$E$30</f>
        <v>1.0763858711015928E-7</v>
      </c>
      <c r="M50" s="163">
        <f>SUMPRODUCT(B50:C50,Regression!$E$31:$F$31)*B50+SUMPRODUCT(B50:C50,Regression!$E$32:$F$32)*C50</f>
        <v>4.4626143895745707E-8</v>
      </c>
    </row>
    <row r="51" spans="1:13" x14ac:dyDescent="0.2">
      <c r="A51" s="166" t="str">
        <f>Data!B46</f>
        <v/>
      </c>
      <c r="B51" s="137">
        <v>1</v>
      </c>
      <c r="C51" s="137">
        <f>IF(A51&gt;n,max,Data!C46)</f>
        <v>84962</v>
      </c>
      <c r="D51" s="137">
        <f t="shared" si="18"/>
        <v>0</v>
      </c>
      <c r="E51" s="163">
        <f>IF(A51&gt;n,min,Data!D46)</f>
        <v>4.1843899999999996</v>
      </c>
      <c r="F51" s="166">
        <f>Regression!$G$22+Regression!$G$23*C51</f>
        <v>4.1840254179068337</v>
      </c>
      <c r="G51" s="137">
        <f t="shared" si="19"/>
        <v>0</v>
      </c>
      <c r="H51" s="137">
        <f t="shared" si="14"/>
        <v>4.1802447226659245</v>
      </c>
      <c r="I51" s="137">
        <f t="shared" si="15"/>
        <v>4.1878061131477429</v>
      </c>
      <c r="J51" s="167">
        <f t="shared" si="16"/>
        <v>4.1770418614302045</v>
      </c>
      <c r="K51" s="168">
        <f t="shared" si="17"/>
        <v>4.1910089743834629</v>
      </c>
      <c r="L51" s="137">
        <f>Regression!$E$30</f>
        <v>1.0763858711015928E-7</v>
      </c>
      <c r="M51" s="163">
        <f>SUMPRODUCT(B51:C51,Regression!$E$31:$F$31)*B51+SUMPRODUCT(B51:C51,Regression!$E$32:$F$32)*C51</f>
        <v>4.4626143895745707E-8</v>
      </c>
    </row>
    <row r="52" spans="1:13" x14ac:dyDescent="0.2">
      <c r="A52" s="166" t="str">
        <f>Data!B47</f>
        <v/>
      </c>
      <c r="B52" s="137">
        <v>1</v>
      </c>
      <c r="C52" s="137">
        <f>IF(A52&gt;n,max,Data!C47)</f>
        <v>84962</v>
      </c>
      <c r="D52" s="137">
        <f t="shared" si="18"/>
        <v>0</v>
      </c>
      <c r="E52" s="163">
        <f>IF(A52&gt;n,min,Data!D47)</f>
        <v>4.1843899999999996</v>
      </c>
      <c r="F52" s="166">
        <f>Regression!$G$22+Regression!$G$23*C52</f>
        <v>4.1840254179068337</v>
      </c>
      <c r="G52" s="137">
        <f t="shared" si="19"/>
        <v>0</v>
      </c>
      <c r="H52" s="137">
        <f t="shared" si="14"/>
        <v>4.1802447226659245</v>
      </c>
      <c r="I52" s="137">
        <f t="shared" si="15"/>
        <v>4.1878061131477429</v>
      </c>
      <c r="J52" s="167">
        <f t="shared" si="16"/>
        <v>4.1770418614302045</v>
      </c>
      <c r="K52" s="168">
        <f t="shared" si="17"/>
        <v>4.1910089743834629</v>
      </c>
      <c r="L52" s="137">
        <f>Regression!$E$30</f>
        <v>1.0763858711015928E-7</v>
      </c>
      <c r="M52" s="163">
        <f>SUMPRODUCT(B52:C52,Regression!$E$31:$F$31)*B52+SUMPRODUCT(B52:C52,Regression!$E$32:$F$32)*C52</f>
        <v>4.4626143895745707E-8</v>
      </c>
    </row>
    <row r="53" spans="1:13" x14ac:dyDescent="0.2">
      <c r="A53" s="166" t="str">
        <f>Data!B48</f>
        <v/>
      </c>
      <c r="B53" s="137">
        <v>1</v>
      </c>
      <c r="C53" s="137">
        <f>IF(A53&gt;n,max,Data!C48)</f>
        <v>84962</v>
      </c>
      <c r="D53" s="137">
        <f t="shared" si="18"/>
        <v>0</v>
      </c>
      <c r="E53" s="163">
        <f>IF(A53&gt;n,min,Data!D48)</f>
        <v>4.1843899999999996</v>
      </c>
      <c r="F53" s="166">
        <f>Regression!$G$22+Regression!$G$23*C53</f>
        <v>4.1840254179068337</v>
      </c>
      <c r="G53" s="137">
        <f t="shared" si="19"/>
        <v>0</v>
      </c>
      <c r="H53" s="137">
        <f t="shared" si="14"/>
        <v>4.1802447226659245</v>
      </c>
      <c r="I53" s="137">
        <f t="shared" si="15"/>
        <v>4.1878061131477429</v>
      </c>
      <c r="J53" s="167">
        <f t="shared" si="16"/>
        <v>4.1770418614302045</v>
      </c>
      <c r="K53" s="168">
        <f t="shared" si="17"/>
        <v>4.1910089743834629</v>
      </c>
      <c r="L53" s="137">
        <f>Regression!$E$30</f>
        <v>1.0763858711015928E-7</v>
      </c>
      <c r="M53" s="163">
        <f>SUMPRODUCT(B53:C53,Regression!$E$31:$F$31)*B53+SUMPRODUCT(B53:C53,Regression!$E$32:$F$32)*C53</f>
        <v>4.4626143895745707E-8</v>
      </c>
    </row>
    <row r="54" spans="1:13" x14ac:dyDescent="0.2">
      <c r="A54" s="166" t="str">
        <f>Data!B49</f>
        <v/>
      </c>
      <c r="B54" s="137">
        <v>1</v>
      </c>
      <c r="C54" s="137">
        <f>IF(A54&gt;n,max,Data!C49)</f>
        <v>84962</v>
      </c>
      <c r="D54" s="137">
        <f t="shared" si="18"/>
        <v>0</v>
      </c>
      <c r="E54" s="163">
        <f>IF(A54&gt;n,min,Data!D49)</f>
        <v>4.1843899999999996</v>
      </c>
      <c r="F54" s="166">
        <f>Regression!$G$22+Regression!$G$23*C54</f>
        <v>4.1840254179068337</v>
      </c>
      <c r="G54" s="137">
        <f t="shared" si="19"/>
        <v>0</v>
      </c>
      <c r="H54" s="137">
        <f t="shared" si="14"/>
        <v>4.1802447226659245</v>
      </c>
      <c r="I54" s="137">
        <f t="shared" si="15"/>
        <v>4.1878061131477429</v>
      </c>
      <c r="J54" s="167">
        <f t="shared" si="16"/>
        <v>4.1770418614302045</v>
      </c>
      <c r="K54" s="168">
        <f t="shared" si="17"/>
        <v>4.1910089743834629</v>
      </c>
      <c r="L54" s="137">
        <f>Regression!$E$30</f>
        <v>1.0763858711015928E-7</v>
      </c>
      <c r="M54" s="163">
        <f>SUMPRODUCT(B54:C54,Regression!$E$31:$F$31)*B54+SUMPRODUCT(B54:C54,Regression!$E$32:$F$32)*C54</f>
        <v>4.4626143895745707E-8</v>
      </c>
    </row>
    <row r="55" spans="1:13" x14ac:dyDescent="0.2">
      <c r="A55" s="166" t="str">
        <f>Data!B50</f>
        <v/>
      </c>
      <c r="B55" s="137">
        <v>1</v>
      </c>
      <c r="C55" s="137">
        <f>IF(A55&gt;n,max,Data!C50)</f>
        <v>84962</v>
      </c>
      <c r="D55" s="137">
        <f t="shared" si="18"/>
        <v>0</v>
      </c>
      <c r="E55" s="163">
        <f>IF(A55&gt;n,min,Data!D50)</f>
        <v>4.1843899999999996</v>
      </c>
      <c r="F55" s="166">
        <f>Regression!$G$22+Regression!$G$23*C55</f>
        <v>4.1840254179068337</v>
      </c>
      <c r="G55" s="137">
        <f t="shared" si="19"/>
        <v>0</v>
      </c>
      <c r="H55" s="137">
        <f t="shared" si="14"/>
        <v>4.1802447226659245</v>
      </c>
      <c r="I55" s="137">
        <f t="shared" si="15"/>
        <v>4.1878061131477429</v>
      </c>
      <c r="J55" s="167">
        <f t="shared" si="16"/>
        <v>4.1770418614302045</v>
      </c>
      <c r="K55" s="168">
        <f t="shared" si="17"/>
        <v>4.1910089743834629</v>
      </c>
      <c r="L55" s="137">
        <f>Regression!$E$30</f>
        <v>1.0763858711015928E-7</v>
      </c>
      <c r="M55" s="163">
        <f>SUMPRODUCT(B55:C55,Regression!$E$31:$F$31)*B55+SUMPRODUCT(B55:C55,Regression!$E$32:$F$32)*C55</f>
        <v>4.4626143895745707E-8</v>
      </c>
    </row>
    <row r="56" spans="1:13" x14ac:dyDescent="0.2">
      <c r="A56" s="166" t="str">
        <f>Data!B51</f>
        <v/>
      </c>
      <c r="B56" s="137">
        <v>1</v>
      </c>
      <c r="C56" s="137">
        <f>IF(A56&gt;n,max,Data!C51)</f>
        <v>84962</v>
      </c>
      <c r="D56" s="137">
        <f t="shared" si="18"/>
        <v>0</v>
      </c>
      <c r="E56" s="163">
        <f>IF(A56&gt;n,min,Data!D51)</f>
        <v>4.1843899999999996</v>
      </c>
      <c r="F56" s="166">
        <f>Regression!$G$22+Regression!$G$23*C56</f>
        <v>4.1840254179068337</v>
      </c>
      <c r="G56" s="137">
        <f t="shared" si="19"/>
        <v>0</v>
      </c>
      <c r="H56" s="137">
        <f t="shared" si="14"/>
        <v>4.1802447226659245</v>
      </c>
      <c r="I56" s="137">
        <f t="shared" si="15"/>
        <v>4.1878061131477429</v>
      </c>
      <c r="J56" s="167">
        <f t="shared" si="16"/>
        <v>4.1770418614302045</v>
      </c>
      <c r="K56" s="168">
        <f t="shared" si="17"/>
        <v>4.1910089743834629</v>
      </c>
      <c r="L56" s="137">
        <f>Regression!$E$30</f>
        <v>1.0763858711015928E-7</v>
      </c>
      <c r="M56" s="163">
        <f>SUMPRODUCT(B56:C56,Regression!$E$31:$F$31)*B56+SUMPRODUCT(B56:C56,Regression!$E$32:$F$32)*C56</f>
        <v>4.4626143895745707E-8</v>
      </c>
    </row>
    <row r="57" spans="1:13" x14ac:dyDescent="0.2">
      <c r="A57" s="166" t="str">
        <f>Data!B52</f>
        <v/>
      </c>
      <c r="B57" s="137">
        <v>1</v>
      </c>
      <c r="C57" s="137">
        <f>IF(A57&gt;n,max,Data!C52)</f>
        <v>84962</v>
      </c>
      <c r="D57" s="137">
        <f t="shared" si="18"/>
        <v>0</v>
      </c>
      <c r="E57" s="163">
        <f>IF(A57&gt;n,min,Data!D52)</f>
        <v>4.1843899999999996</v>
      </c>
      <c r="F57" s="166">
        <f>Regression!$G$22+Regression!$G$23*C57</f>
        <v>4.1840254179068337</v>
      </c>
      <c r="G57" s="137">
        <f t="shared" si="19"/>
        <v>0</v>
      </c>
      <c r="H57" s="137">
        <f t="shared" si="14"/>
        <v>4.1802447226659245</v>
      </c>
      <c r="I57" s="137">
        <f t="shared" si="15"/>
        <v>4.1878061131477429</v>
      </c>
      <c r="J57" s="167">
        <f t="shared" si="16"/>
        <v>4.1770418614302045</v>
      </c>
      <c r="K57" s="168">
        <f t="shared" si="17"/>
        <v>4.1910089743834629</v>
      </c>
      <c r="L57" s="137">
        <f>Regression!$E$30</f>
        <v>1.0763858711015928E-7</v>
      </c>
      <c r="M57" s="163">
        <f>SUMPRODUCT(B57:C57,Regression!$E$31:$F$31)*B57+SUMPRODUCT(B57:C57,Regression!$E$32:$F$32)*C57</f>
        <v>4.4626143895745707E-8</v>
      </c>
    </row>
    <row r="58" spans="1:13" x14ac:dyDescent="0.2">
      <c r="A58" s="166" t="str">
        <f>Data!B53</f>
        <v/>
      </c>
      <c r="B58" s="137">
        <v>1</v>
      </c>
      <c r="C58" s="137">
        <f>IF(A58&gt;n,max,Data!C53)</f>
        <v>84962</v>
      </c>
      <c r="D58" s="137">
        <f t="shared" si="18"/>
        <v>0</v>
      </c>
      <c r="E58" s="163">
        <f>IF(A58&gt;n,min,Data!D53)</f>
        <v>4.1843899999999996</v>
      </c>
      <c r="F58" s="166">
        <f>Regression!$G$22+Regression!$G$23*C58</f>
        <v>4.1840254179068337</v>
      </c>
      <c r="G58" s="137">
        <f t="shared" si="19"/>
        <v>0</v>
      </c>
      <c r="H58" s="137">
        <f t="shared" si="14"/>
        <v>4.1802447226659245</v>
      </c>
      <c r="I58" s="137">
        <f t="shared" si="15"/>
        <v>4.1878061131477429</v>
      </c>
      <c r="J58" s="167">
        <f t="shared" si="16"/>
        <v>4.1770418614302045</v>
      </c>
      <c r="K58" s="168">
        <f t="shared" si="17"/>
        <v>4.1910089743834629</v>
      </c>
      <c r="L58" s="137">
        <f>Regression!$E$30</f>
        <v>1.0763858711015928E-7</v>
      </c>
      <c r="M58" s="163">
        <f>SUMPRODUCT(B58:C58,Regression!$E$31:$F$31)*B58+SUMPRODUCT(B58:C58,Regression!$E$32:$F$32)*C58</f>
        <v>4.4626143895745707E-8</v>
      </c>
    </row>
    <row r="59" spans="1:13" x14ac:dyDescent="0.2">
      <c r="A59" s="166" t="str">
        <f>Data!B54</f>
        <v/>
      </c>
      <c r="B59" s="137">
        <v>1</v>
      </c>
      <c r="C59" s="137">
        <f>IF(A59&gt;n,max,Data!C54)</f>
        <v>84962</v>
      </c>
      <c r="D59" s="137">
        <f t="shared" si="18"/>
        <v>0</v>
      </c>
      <c r="E59" s="163">
        <f>IF(A59&gt;n,min,Data!D54)</f>
        <v>4.1843899999999996</v>
      </c>
      <c r="F59" s="166">
        <f>Regression!$G$22+Regression!$G$23*C59</f>
        <v>4.1840254179068337</v>
      </c>
      <c r="G59" s="137">
        <f t="shared" si="19"/>
        <v>0</v>
      </c>
      <c r="H59" s="137">
        <f t="shared" ref="H59:H60" si="20">F59-$G$3*SQRT(M59)</f>
        <v>4.1802447226659245</v>
      </c>
      <c r="I59" s="137">
        <f t="shared" ref="I59:I60" si="21">F59+$G$3*SQRT(M59)</f>
        <v>4.1878061131477429</v>
      </c>
      <c r="J59" s="167">
        <f t="shared" ref="J59:J60" si="22">F59-$G$3*SQRT(M59+L59)</f>
        <v>4.1770418614302045</v>
      </c>
      <c r="K59" s="168">
        <f t="shared" ref="K59:K60" si="23">F59+$G$3*SQRT(M59+L59)</f>
        <v>4.1910089743834629</v>
      </c>
      <c r="L59" s="137">
        <f>Regression!$E$30</f>
        <v>1.0763858711015928E-7</v>
      </c>
      <c r="M59" s="163">
        <f>SUMPRODUCT(B59:C59,Regression!$E$31:$F$31)*B59+SUMPRODUCT(B59:C59,Regression!$E$32:$F$32)*C59</f>
        <v>4.4626143895745707E-8</v>
      </c>
    </row>
    <row r="60" spans="1:13" x14ac:dyDescent="0.2">
      <c r="A60" s="174" t="str">
        <f>Data!B55</f>
        <v/>
      </c>
      <c r="B60" s="124">
        <v>1</v>
      </c>
      <c r="C60" s="180">
        <f>IF(A60&gt;n,max,Data!C55)</f>
        <v>84962</v>
      </c>
      <c r="D60" s="124">
        <f t="shared" si="18"/>
        <v>0</v>
      </c>
      <c r="E60" s="175">
        <f>IF(A60&gt;n,min,Data!D55)</f>
        <v>4.1843899999999996</v>
      </c>
      <c r="F60" s="174">
        <f>Regression!$G$22+Regression!$G$23*C60</f>
        <v>4.1840254179068337</v>
      </c>
      <c r="G60" s="124">
        <f t="shared" si="19"/>
        <v>0</v>
      </c>
      <c r="H60" s="124">
        <f t="shared" si="20"/>
        <v>4.1802447226659245</v>
      </c>
      <c r="I60" s="124">
        <f t="shared" si="21"/>
        <v>4.1878061131477429</v>
      </c>
      <c r="J60" s="176">
        <f t="shared" si="22"/>
        <v>4.1770418614302045</v>
      </c>
      <c r="K60" s="177">
        <f t="shared" si="23"/>
        <v>4.1910089743834629</v>
      </c>
      <c r="L60" s="124">
        <f>Regression!$E$30</f>
        <v>1.0763858711015928E-7</v>
      </c>
      <c r="M60" s="175">
        <f>SUMPRODUCT(B60:C60,Regression!$E$31:$F$31)*B60+SUMPRODUCT(B60:C60,Regression!$E$32:$F$32)*C60</f>
        <v>4.4626143895745707E-8</v>
      </c>
    </row>
  </sheetData>
  <sheetProtection sheet="1" objects="1" scenarios="1"/>
  <pageMargins left="0.75" right="0.75" top="1" bottom="1" header="0.5" footer="0.5"/>
  <pageSetup scale="70" orientation="portrait" r:id="rId1"/>
  <headerFooter alignWithMargins="0"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Data</vt:lpstr>
      <vt:lpstr>Regression</vt:lpstr>
      <vt:lpstr>Report</vt:lpstr>
      <vt:lpstr>Chart Data</vt:lpstr>
      <vt:lpstr>Residual</vt:lpstr>
      <vt:lpstr>Calibration Curve</vt:lpstr>
      <vt:lpstr>max</vt:lpstr>
      <vt:lpstr>min</vt:lpstr>
      <vt:lpstr>n</vt:lpstr>
      <vt:lpstr>x</vt:lpstr>
      <vt:lpstr>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Messner</dc:creator>
  <cp:keywords/>
  <dc:description/>
  <cp:lastModifiedBy>Robert S Wright</cp:lastModifiedBy>
  <cp:lastPrinted>1997-10-01T14:00:45Z</cp:lastPrinted>
  <dcterms:created xsi:type="dcterms:W3CDTF">1997-08-07T16:10:44Z</dcterms:created>
  <dcterms:modified xsi:type="dcterms:W3CDTF">2016-02-29T22:42:08Z</dcterms:modified>
</cp:coreProperties>
</file>