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35" windowWidth="14865" windowHeight="6315" firstSheet="1" activeTab="1"/>
  </bookViews>
  <sheets>
    <sheet name="change log" sheetId="1" r:id="rId1"/>
    <sheet name="INSTRUCTIONS" sheetId="2" r:id="rId2"/>
    <sheet name="FIX INVALID CODES" sheetId="3" r:id="rId3"/>
    <sheet name="VALID CODES- No CHANGES" sheetId="4" r:id="rId4"/>
    <sheet name="Derivation of Factors" sheetId="5" r:id="rId5"/>
  </sheets>
  <definedNames>
    <definedName name="_xlnm._FilterDatabase" localSheetId="2" hidden="1">'FIX INVALID CODES'!$A$1:$F$156</definedName>
  </definedNames>
  <calcPr fullCalcOnLoad="1"/>
</workbook>
</file>

<file path=xl/sharedStrings.xml><?xml version="1.0" encoding="utf-8"?>
<sst xmlns="http://schemas.openxmlformats.org/spreadsheetml/2006/main" count="1024" uniqueCount="578">
  <si>
    <t>chromium difluoride dioxide</t>
  </si>
  <si>
    <t>get Molecular Weight (MW)</t>
  </si>
  <si>
    <t>Chromium, difluorodioxo-, (T-4)-</t>
  </si>
  <si>
    <t>CrF2O2</t>
  </si>
  <si>
    <t>Ca.CrH2O4</t>
  </si>
  <si>
    <t>Chromic acid (H2CrO4), calcium salt (1:1)</t>
  </si>
  <si>
    <t>CrH2O4.Pb</t>
  </si>
  <si>
    <t>Chromic acid (H2CrO4), lead(2+) salt (1:1)</t>
  </si>
  <si>
    <t>Chromic acid (H2CrO4), zinc salt (1:1)</t>
  </si>
  <si>
    <t>CrH2O4.Zn</t>
  </si>
  <si>
    <t>Chromic acid (H2CrO4), disodium salt, tetrahydrate</t>
  </si>
  <si>
    <t>CrH2O4.4H2O.2Na</t>
  </si>
  <si>
    <t>Ca.Cr2H2O7</t>
  </si>
  <si>
    <t>Chromic acid (H2Cr2O7), ammonium salt (1:2)</t>
  </si>
  <si>
    <t>Cr2H2O7.2H3N</t>
  </si>
  <si>
    <t>CrH2O4.2K</t>
  </si>
  <si>
    <t>Chromic acid (H2CrO4), potassium salt (1:2)</t>
  </si>
  <si>
    <t>Ammonium Dichromate(VI)</t>
  </si>
  <si>
    <t>Potassium Chromate(VI)</t>
  </si>
  <si>
    <t>Chromic acid (H2Cr2O7)</t>
  </si>
  <si>
    <t>Cr2H2O7</t>
  </si>
  <si>
    <t>Dichromic acid</t>
  </si>
  <si>
    <t>Chromic acid (H2CrO4), sodium salt (1:2)</t>
  </si>
  <si>
    <t>CrH2O4.2Na</t>
  </si>
  <si>
    <t>Chromic acid (H2Cr2O7), disodium salt, dihydrate</t>
  </si>
  <si>
    <t>Cr2H2O7.2H2O.2Na</t>
  </si>
  <si>
    <t>Chromic acid (H2Cr2O7), potassium salt (1:2)</t>
  </si>
  <si>
    <t>Cr2H2O7.2K</t>
  </si>
  <si>
    <t>Chromic acid (H2CrO4), strontium salt (1:1)</t>
  </si>
  <si>
    <t>CrH2O4.Sr</t>
  </si>
  <si>
    <t>Chromic acid (H2CrO4), lithium salt (1:2)</t>
  </si>
  <si>
    <t>CrH2O4.2Li</t>
  </si>
  <si>
    <t>Potassium zinc chromate hydroxide (KZn2(CrO4)2(OH))</t>
  </si>
  <si>
    <t>CrO4.HO.K.Zn</t>
  </si>
  <si>
    <t>Chromium zinc oxide</t>
  </si>
  <si>
    <t>Cr.O.Zn</t>
  </si>
  <si>
    <t>Chromium hydroxide (Cr(OH)3)</t>
  </si>
  <si>
    <t>Chromium (III) Hydroxide</t>
  </si>
  <si>
    <t>CrH3O3</t>
  </si>
  <si>
    <t>Chromium chloride (CrCl3)</t>
  </si>
  <si>
    <t>Cl3Cr</t>
  </si>
  <si>
    <t>Chromium, tris(2,4-pentanedionato-.kappa.O2,.kappa.O4)-, (OC-6-11)-</t>
  </si>
  <si>
    <t>C15H21CrO6</t>
  </si>
  <si>
    <t>Cr2O3</t>
  </si>
  <si>
    <t>Chromium oxide (Cr2O3)</t>
  </si>
  <si>
    <t>Chromium chloride (CrCl3), hexahydrate</t>
  </si>
  <si>
    <t>Chromium(III) Chloride, Hexahydrate</t>
  </si>
  <si>
    <t>Cl3Cr.6H2O</t>
  </si>
  <si>
    <t>Chromium chloride (CrCl2)</t>
  </si>
  <si>
    <t>Cl2Cr</t>
  </si>
  <si>
    <t>Sulfuric acid, chromium(3+) salt (3:2)</t>
  </si>
  <si>
    <t>Cr.3/2H2O4S</t>
  </si>
  <si>
    <t>CrO2</t>
  </si>
  <si>
    <t>C10H10Ni</t>
  </si>
  <si>
    <t>CH2O3.Ni</t>
  </si>
  <si>
    <t>Acetic acid, nickel(2+) salt (2:1)</t>
  </si>
  <si>
    <t>C2H4O2.1/2Ni</t>
  </si>
  <si>
    <t>H2NiO2</t>
  </si>
  <si>
    <t>Sulfuric acid, nickel(2+) salt (1:1)</t>
  </si>
  <si>
    <t>H2O4S.Ni</t>
  </si>
  <si>
    <t>Ni3C</t>
  </si>
  <si>
    <t>Nickel chloride (NiCl2)</t>
  </si>
  <si>
    <t>Cl2Ni</t>
  </si>
  <si>
    <t>Nitric acid, nickel(2+) salt (2:1)</t>
  </si>
  <si>
    <t>HNO3.1/2Ni</t>
  </si>
  <si>
    <t>Nickel, isotope of mass 59</t>
  </si>
  <si>
    <t>2(H23NO3S)Ni</t>
  </si>
  <si>
    <t>Sulfuric acid, nickel(2+) salt (1:1), hexahydrate</t>
  </si>
  <si>
    <t>H2O4S.6H2O.Ni</t>
  </si>
  <si>
    <t>Acetic acid, nickel(2+) salt, tetrahydrate</t>
  </si>
  <si>
    <t>C4H6O4.Ni.4H2O</t>
  </si>
  <si>
    <t xml:space="preserve">Nickel Carbide - SRS has no MW.  Googled it  (www.americanelements.com/nic/html) to get Ni3C, which has MW of (based on formula) </t>
  </si>
  <si>
    <t>Ni2O3</t>
  </si>
  <si>
    <t xml:space="preserve">Nickel oxide (Ni2O3) </t>
  </si>
  <si>
    <t xml:space="preserve">Nickel(III) oxide </t>
  </si>
  <si>
    <t>Nickel-59 is supposedly an isotope of Nickel that has an MW of 59, whereas Ni has a MW of 58.6934, in this case, made the factor = 1</t>
  </si>
  <si>
    <t>VALID CODES NO CHANGES TO THESE</t>
  </si>
  <si>
    <t>Nickel bromide (NiBr2)</t>
  </si>
  <si>
    <t>Br2Ni</t>
  </si>
  <si>
    <t>Nickel carbonyl (Ni(CO)4), (T-4)-</t>
  </si>
  <si>
    <t>C4NiO4</t>
  </si>
  <si>
    <t>Nickelate(2-), tetrakis(cyano-.kappa.C)-, potassium (1:2), (SP-4-1)-</t>
  </si>
  <si>
    <t>C4N4Ni.2K</t>
  </si>
  <si>
    <t>Beryllium chloride (BeCl2)</t>
  </si>
  <si>
    <t>BeCl2</t>
  </si>
  <si>
    <t>Beryllium fluoride (BeF2)</t>
  </si>
  <si>
    <t>BeF2</t>
  </si>
  <si>
    <t>Nitric acid, beryllium salt (2:1)</t>
  </si>
  <si>
    <t>Be.2HNO3</t>
  </si>
  <si>
    <t>Sulfuric acid, beryllium salt (1:1)</t>
  </si>
  <si>
    <t>Be.H2O4S</t>
  </si>
  <si>
    <t>Beryllium oxide (BeO)</t>
  </si>
  <si>
    <t>BeO</t>
  </si>
  <si>
    <t>Sulfuric acid, cadmium salt (1:1)</t>
  </si>
  <si>
    <t>Cd.H2O4S</t>
  </si>
  <si>
    <t>Cadmium bromide (CdBr2)</t>
  </si>
  <si>
    <t>Br2Cd</t>
  </si>
  <si>
    <t>Cadmium oxide (CdO)</t>
  </si>
  <si>
    <t>CdO</t>
  </si>
  <si>
    <t>Cadmium iodide (CdI2)</t>
  </si>
  <si>
    <t>CdI2</t>
  </si>
  <si>
    <t>Cadmium sulfide (CdS)</t>
  </si>
  <si>
    <t>CdS</t>
  </si>
  <si>
    <t xml:space="preserve">  </t>
  </si>
  <si>
    <t>Acetic acid, cadmium salt (2:1)</t>
  </si>
  <si>
    <t>C2H4O2.1/2Cd</t>
  </si>
  <si>
    <t>Cadmium chloride (CdCl2)</t>
  </si>
  <si>
    <t>CdCl2</t>
  </si>
  <si>
    <t>Nitric acid, cadmium salt (2:1)</t>
  </si>
  <si>
    <t>Cd.2HNO3</t>
  </si>
  <si>
    <t>Octadecanoic acid, cadmium salt (2:1)</t>
  </si>
  <si>
    <t>C18H36O2.1/2Cd</t>
  </si>
  <si>
    <t>Phosphoric acid, lead(2+) salt (2:3)</t>
  </si>
  <si>
    <t>H3O4P.3/2Pb</t>
  </si>
  <si>
    <t>Sulfuric acid, lead(2+) salt (1:1)</t>
  </si>
  <si>
    <t>Lead(II) Sulfate</t>
  </si>
  <si>
    <t>H2O4S.Pb</t>
  </si>
  <si>
    <t>Arsenic acid (H3AsO4), lead(2+) salt (1:1)</t>
  </si>
  <si>
    <t>AsH3O4.Pb</t>
  </si>
  <si>
    <t>Borate(1-), tetrafluoro-, lead(2+) (2:1)</t>
  </si>
  <si>
    <t>BF4.1/2Pb</t>
  </si>
  <si>
    <t>Lead, bis(acetato-.kappa.O)tetrahydroxytri-</t>
  </si>
  <si>
    <t>C4H10O8Pb3</t>
  </si>
  <si>
    <t>PbO</t>
  </si>
  <si>
    <t>Lead oxide in SRS has no MW or formula.  Googled it  (www.espimetals.com/msds's/leadoxide.pdf)</t>
  </si>
  <si>
    <t>Neodecanoic acid, lead salt (1:?)</t>
  </si>
  <si>
    <t>C10H20O2.xPb</t>
  </si>
  <si>
    <t>Carbonic acid, lead(2+) salt (1:1)</t>
  </si>
  <si>
    <t>CH2O3.Pb</t>
  </si>
  <si>
    <t>Lead oxide (PbO)</t>
  </si>
  <si>
    <t>OPb</t>
  </si>
  <si>
    <t>Plumbane, tetraethyl-</t>
  </si>
  <si>
    <t>C8H20Pb</t>
  </si>
  <si>
    <t>Arsenenous acid, lead(2+) salt</t>
  </si>
  <si>
    <t>AsHO2.1/2Pb</t>
  </si>
  <si>
    <t>Lead oxide (Pb3O4)</t>
  </si>
  <si>
    <t>O4Pb3</t>
  </si>
  <si>
    <t>Nitric acid, lead(2+) salt (2:1)</t>
  </si>
  <si>
    <t>HNO3.1/2Pb</t>
  </si>
  <si>
    <t>Lead oxide (PbO2)</t>
  </si>
  <si>
    <t>O2Pb</t>
  </si>
  <si>
    <t>Naphthenic acids, lead salts</t>
  </si>
  <si>
    <t>2[C11H7O2]Pb</t>
  </si>
  <si>
    <t>Lead Naphthenate - SRS has no Mw or structure.  Googled it (www.chemblink.com/products/6170-14-5.htm)</t>
  </si>
  <si>
    <t>O.Pb.Ti.Zr</t>
  </si>
  <si>
    <t>O.Pb.Ti</t>
  </si>
  <si>
    <t>Octadecanoic acid, lead salt (1:?)</t>
  </si>
  <si>
    <t>C18H36O2.xPb</t>
  </si>
  <si>
    <t>Lead(II) Acetate</t>
  </si>
  <si>
    <t>Acetic acid, lead(2+) salt (2:1)</t>
  </si>
  <si>
    <t>C2H4O2.1/2Pb</t>
  </si>
  <si>
    <t>Manganese Naphthenate - SRS has no Mw or structure.  Googled it (www.chemicalbook.com/ChemicalProductProperty_EN_CB6288015.htm</t>
  </si>
  <si>
    <t>2[C11H7O2]Mn</t>
  </si>
  <si>
    <t>Naphthenic acids, manganese salts</t>
  </si>
  <si>
    <t>Manganese oxide (Mn2O3)</t>
  </si>
  <si>
    <t>Mn2O3</t>
  </si>
  <si>
    <t>Manganese oxide (MnO2)</t>
  </si>
  <si>
    <t>MnO2</t>
  </si>
  <si>
    <t>Manganese, tricarbonyl(.eta.5-2,4-cyclopentadien-1-yl)-</t>
  </si>
  <si>
    <t>C8H5MnO3</t>
  </si>
  <si>
    <t>Manganese oxide (Mn3O4)</t>
  </si>
  <si>
    <t>Mn3O4</t>
  </si>
  <si>
    <t>Permanganic acid (HMnO4), potassium salt (1:1)</t>
  </si>
  <si>
    <t>HMnO4.K</t>
  </si>
  <si>
    <t>Sulfuric acid, manganese(2+) salt (1:1)</t>
  </si>
  <si>
    <t>H2O4S.Mn</t>
  </si>
  <si>
    <t>Fatty acids, tall-oil, manganese salts</t>
  </si>
  <si>
    <t>Manganese Tallate www.chemicalbook.com/Search…</t>
  </si>
  <si>
    <t>MnO4Ti2</t>
  </si>
  <si>
    <t>Nitric acid, manganese(2+) salt (2:1)</t>
  </si>
  <si>
    <t>HNO3.1/2Mn</t>
  </si>
  <si>
    <t>Phosphinic acid, manganese(2+) salt, monohydrate</t>
  </si>
  <si>
    <t>Permanganic acid (HMnO4), sodium salt</t>
  </si>
  <si>
    <t>HMnO4.Na</t>
  </si>
  <si>
    <t>Selenium sulfide (SeS2)</t>
  </si>
  <si>
    <t>S2Se</t>
  </si>
  <si>
    <t>Antimony sulfide (Sb2S3)</t>
  </si>
  <si>
    <t>S3Sb2</t>
  </si>
  <si>
    <t>Sb2O3</t>
  </si>
  <si>
    <t>Stibine, trichloro-</t>
  </si>
  <si>
    <t>Cl3Sb</t>
  </si>
  <si>
    <t>Antimony fluoride (SbF5)</t>
  </si>
  <si>
    <t>F5Sb</t>
  </si>
  <si>
    <t>Antimonate(1-), hexafluoro-, sodium (1:1), (OC-6-11)-</t>
  </si>
  <si>
    <t>F6Sb.Na</t>
  </si>
  <si>
    <t>Antimony oxide (Sb2O3)</t>
  </si>
  <si>
    <t>O3Sb2</t>
  </si>
  <si>
    <t>Arsenic acid (H3AsO4)</t>
  </si>
  <si>
    <t>AsH3O4</t>
  </si>
  <si>
    <t>As2O3</t>
  </si>
  <si>
    <t>Arsenic oxide (As2O3)</t>
  </si>
  <si>
    <t>AsH3</t>
  </si>
  <si>
    <t>C6H15AsO3</t>
  </si>
  <si>
    <t>As.O</t>
  </si>
  <si>
    <t>Arsenic oxide (As2O5)</t>
  </si>
  <si>
    <t>Potassium cyanide (K(CN))</t>
  </si>
  <si>
    <t>CKN</t>
  </si>
  <si>
    <t>Selenium oxide (SeO2)</t>
  </si>
  <si>
    <t>O2Se</t>
  </si>
  <si>
    <t>Selenium sulfide (SeS)</t>
  </si>
  <si>
    <t>Sse</t>
  </si>
  <si>
    <t>Selenium fluoride (SeF6), (OC-6-11)-</t>
  </si>
  <si>
    <t>F6Se</t>
  </si>
  <si>
    <t>Selenious acid</t>
  </si>
  <si>
    <t>H2O3Se</t>
  </si>
  <si>
    <t>O.Se</t>
  </si>
  <si>
    <t>Hydrogen selenide (H2Se)</t>
  </si>
  <si>
    <t>H2Se</t>
  </si>
  <si>
    <t>Sodium cyanide (Na(CN))</t>
  </si>
  <si>
    <t>CNNa</t>
  </si>
  <si>
    <t>C8H7N</t>
  </si>
  <si>
    <t>C2AuN2.K</t>
  </si>
  <si>
    <t>Ferrate(4-), hexakis(cyano-.kappa.C)-, potassium (1:4), (OC-6-11)-</t>
  </si>
  <si>
    <t>C6FeN6.4K</t>
  </si>
  <si>
    <t>Nickelate(2-), tetrakis(cyano-.kappa.C)-, dipotassium, (SP-4-1</t>
  </si>
  <si>
    <t xml:space="preserve">Nickelate(2-), tetrakis(cyano-.kappa.C)-, potassium (1:2), (SP-4-1)- </t>
  </si>
  <si>
    <t>Silver cyanide (Ag(CN))</t>
  </si>
  <si>
    <t>CAgN</t>
  </si>
  <si>
    <t>CN.Au</t>
  </si>
  <si>
    <t>Propanenitrile, 2-methyl-</t>
  </si>
  <si>
    <t>C4H7N</t>
  </si>
  <si>
    <t>Copper cyanide (Cu(CN))</t>
  </si>
  <si>
    <t>CCuN</t>
  </si>
  <si>
    <t>if no MW is available, compute from chemical formula provided by SRS</t>
  </si>
  <si>
    <t>get chemical formula</t>
  </si>
  <si>
    <t>Nickel Sulfamate had a very different value of the factor based on SRS between what we had previously used and current, so I looked on google and found other data that reproduced the older factor.  Goodle has different formula and MW (www.chemblink.com/products/13770-89-3.htm)</t>
  </si>
  <si>
    <t>Zinc cyanide (Zn(CN)2)</t>
  </si>
  <si>
    <t>C2N2Zn</t>
  </si>
  <si>
    <t>Cobalt sulfide (CoS)</t>
  </si>
  <si>
    <t>Cobalt(II) Sulfide</t>
  </si>
  <si>
    <t>CoS</t>
  </si>
  <si>
    <t>INSTRUCTIONS</t>
  </si>
  <si>
    <t>Carbonic acid, cobalt salt</t>
  </si>
  <si>
    <t>CH2O3.xCo</t>
  </si>
  <si>
    <t>Cobalt oxide (CoO)</t>
  </si>
  <si>
    <t>CoO</t>
  </si>
  <si>
    <t>Cobalt oxide (Co3O4)</t>
  </si>
  <si>
    <t>Co3O4</t>
  </si>
  <si>
    <t>Cobalt, tetracarbonylhydro-</t>
  </si>
  <si>
    <t>C4HCoO4</t>
  </si>
  <si>
    <t>Hexanoic acid, 2-ethyl-, cobalt salt (1:?)</t>
  </si>
  <si>
    <t>C8H16O2.xCo</t>
  </si>
  <si>
    <t>CoO.Al2O3</t>
  </si>
  <si>
    <t>C.I. Pigment Blue 28 (cobalt aluminate) googled it at www.chemicalbook.com/Search…  still had to add up formula MWs to get total</t>
  </si>
  <si>
    <t>check if value is close to what was used in the past  and if not, see if diffnt method (i.e., looking up MW from google) will give similar to what was used in the pastg</t>
  </si>
  <si>
    <t>Naphthenic acids, cobalt salts</t>
  </si>
  <si>
    <t>Hexanoic acid, 2-ethyl-, cobalt(2+) salt (2:1</t>
  </si>
  <si>
    <t>C8H16O2.1/2Co</t>
  </si>
  <si>
    <t>C14H22CoO4</t>
  </si>
  <si>
    <t>Cobalt naphthenate - SRS has no MW or formula. Googled and found it under www.brixchem.com/sp/171451/pd-569302/1929227-284951/Cobalt_Naphthenate.html</t>
  </si>
  <si>
    <t>Sulfuric acid, cobalt(2+) salt (1:1)</t>
  </si>
  <si>
    <t>Co.H2O4S</t>
  </si>
  <si>
    <t>Mercury(1+), methyl-</t>
  </si>
  <si>
    <t>CH3Hg</t>
  </si>
  <si>
    <t>Mercury, (acetato-.kappa.O)phenyl-</t>
  </si>
  <si>
    <t>C8H8HgO2</t>
  </si>
  <si>
    <t>Compound Description, EIS</t>
  </si>
  <si>
    <t>Pollutant Code (EIS)</t>
  </si>
  <si>
    <t xml:space="preserve">Mercury chloride (HgCl2) </t>
  </si>
  <si>
    <t>ratio of new to old value</t>
  </si>
  <si>
    <t>Multiply emissions of CAS number in column A by the factor in column C.  Assign new pollutant code to resulting emissions from column D</t>
  </si>
  <si>
    <t>Rows in which emissions of a single Invalid code will be apportioned to two different valid codes are shown in Yellow.</t>
  </si>
  <si>
    <t>H2MnO5P2</t>
  </si>
  <si>
    <t>lead neodecanoate googled for MW at www.chemq.com/En/xz/xz12/115180kfdgk.htm - it was in SRS but not MW so took it from different shoure</t>
  </si>
  <si>
    <t>Manganese(II) hypophosphite monohydrate from www.chemicalbook.com/Search…  It was in SRS but not MW so took all data from diffnt source</t>
  </si>
  <si>
    <t>Cobalt 2-ethylhexanoate from www.chemicalbook.com/Search…  It was in SRS but not MW so took all data from diffnt source</t>
  </si>
  <si>
    <t>Hexanoic acid, 2-ethyl-, cobalt(2+) salt from www.chemicalbook.com/Search…  It was in SRS but not MW so took all data from diffnt source</t>
  </si>
  <si>
    <t>INVTABLE VALUE (old value) of FACTOR</t>
  </si>
  <si>
    <t>compound name in EIS codes table</t>
  </si>
  <si>
    <t>new fraction (computed via data from SRS or other source via google)</t>
  </si>
  <si>
    <t>factor = mass of  total moles of HCN/MW of compound</t>
  </si>
  <si>
    <t>Compounds for which SRS was not used</t>
  </si>
  <si>
    <t>Use TAB entitled "FIX INVALID CODES", COLUMNS A THRU E ONLY. (OTHER COLUMNS ARE QA AND DERIVATION)</t>
  </si>
  <si>
    <t>tons/yr</t>
  </si>
  <si>
    <t>CHROMHEX</t>
  </si>
  <si>
    <t>Chromium</t>
  </si>
  <si>
    <t>PM</t>
  </si>
  <si>
    <t>CHROMTRI</t>
  </si>
  <si>
    <t>NICKEL</t>
  </si>
  <si>
    <t>Nickel,</t>
  </si>
  <si>
    <t>BERYLLIUM</t>
  </si>
  <si>
    <t>CADMIUM</t>
  </si>
  <si>
    <t>LEAD</t>
  </si>
  <si>
    <t>MANGANESE</t>
  </si>
  <si>
    <t>ANTIMONY</t>
  </si>
  <si>
    <t>ARSENIC</t>
  </si>
  <si>
    <t>ARSINE</t>
  </si>
  <si>
    <t>Arsine</t>
  </si>
  <si>
    <t>SELENIUM</t>
  </si>
  <si>
    <t>CYANIDEC</t>
  </si>
  <si>
    <t>Cyanide</t>
  </si>
  <si>
    <t>COBALT</t>
  </si>
  <si>
    <t>Cobalt</t>
  </si>
  <si>
    <t>HGSUM</t>
  </si>
  <si>
    <t>Mercury,</t>
  </si>
  <si>
    <t>Mercury</t>
  </si>
  <si>
    <t>HGIIGAS</t>
  </si>
  <si>
    <t>Chromium (III) Chloride</t>
  </si>
  <si>
    <t>Antimony Trichloride</t>
  </si>
  <si>
    <t>Lead Arsenite</t>
  </si>
  <si>
    <t>Lead arsenite (Pb(AsO2)2)</t>
  </si>
  <si>
    <t>Sodium Chromate(VI)</t>
  </si>
  <si>
    <t>Sodium chromate(VI), tetrahydrate</t>
  </si>
  <si>
    <t>Chromium (II) Chloride</t>
  </si>
  <si>
    <t>Chromium Chloride, Hexahydrate</t>
  </si>
  <si>
    <t>Lead Nitrate</t>
  </si>
  <si>
    <t>Lead nitrate (Pb(NO3)2)</t>
  </si>
  <si>
    <t>Permanganic Acid</t>
  </si>
  <si>
    <t>Sodium permanganate</t>
  </si>
  <si>
    <t>Chromic Sulfate</t>
  </si>
  <si>
    <t>Chromium(III) sulfate</t>
  </si>
  <si>
    <t>Nickel (II) Sulfate Hexahydrate</t>
  </si>
  <si>
    <t>Nickel(II) sulfate hexahydrate</t>
  </si>
  <si>
    <t>Cadmium Chloride</t>
  </si>
  <si>
    <t>Cadmium dichloride</t>
  </si>
  <si>
    <t>Cadmium Sulfate</t>
  </si>
  <si>
    <t>Cobalt Sulfate</t>
  </si>
  <si>
    <t>Cobalt(II) sulfate</t>
  </si>
  <si>
    <t>Barium Chromate</t>
  </si>
  <si>
    <t>Cadmium Nitrate</t>
  </si>
  <si>
    <t>Manganese Nitrate</t>
  </si>
  <si>
    <t>Nitric acid, manganese(2+) salt</t>
  </si>
  <si>
    <t>Sodium Dichromate</t>
  </si>
  <si>
    <t>Beryllium &amp; Compounds</t>
  </si>
  <si>
    <t>Zinc Potassium Chromate</t>
  </si>
  <si>
    <t>Potassium zinc chromate hydroxide</t>
  </si>
  <si>
    <t>Chromium Dioxide</t>
  </si>
  <si>
    <t>Chromium oxide (CrO2)</t>
  </si>
  <si>
    <t>Chromium Zinc Oxide</t>
  </si>
  <si>
    <t>Chromium zinc oxide (Cr2ZnO4)</t>
  </si>
  <si>
    <t>Nickel Subsulfide</t>
  </si>
  <si>
    <t>Nickel Hydroxide</t>
  </si>
  <si>
    <t>Nickel hydroxide (Ni(OH)2)</t>
  </si>
  <si>
    <t>Lead Titanate</t>
  </si>
  <si>
    <t>Lead titanium oxide (PbTiO3)</t>
  </si>
  <si>
    <t>Manganese, tricarbonyl (.eta.5-2,4-cyclopentadien-1-yl)-</t>
  </si>
  <si>
    <t>Manganese cyclopentadienyl tricarbonyl</t>
  </si>
  <si>
    <t>Cadmium &amp; Compounds</t>
  </si>
  <si>
    <t>Lead Titanate Zircon</t>
  </si>
  <si>
    <t>Lead titanium zirconium oxide (Pb(Ti,Zr)O3)</t>
  </si>
  <si>
    <t>Selenium Oxide</t>
  </si>
  <si>
    <t>Nickel Carbide</t>
  </si>
  <si>
    <t>Nickelocene</t>
  </si>
  <si>
    <t>Arsenic Pentoxide</t>
  </si>
  <si>
    <t>Arsenic(V) pentoxide</t>
  </si>
  <si>
    <t>Beryllium Oxide</t>
  </si>
  <si>
    <t>Cadmium Oxide</t>
  </si>
  <si>
    <t>Cadmium Sulfide</t>
  </si>
  <si>
    <t>Cobalt Oxide</t>
  </si>
  <si>
    <t>Cobalt(II) oxide</t>
  </si>
  <si>
    <t>Cobalt Oxide (II,III)</t>
  </si>
  <si>
    <t>Cobalt tetraoxide</t>
  </si>
  <si>
    <t>Zinc Chromate</t>
  </si>
  <si>
    <t>Chromium Hydroxide</t>
  </si>
  <si>
    <t>Chromic Oxide</t>
  </si>
  <si>
    <t>Chromium(III) oxide</t>
  </si>
  <si>
    <t>Lead Dioxide</t>
  </si>
  <si>
    <t>Antimony Trioxide</t>
  </si>
  <si>
    <t>Manganese Dioxide</t>
  </si>
  <si>
    <t>Nickel Nitrate</t>
  </si>
  <si>
    <t>Nickel(II) nitrate</t>
  </si>
  <si>
    <t>Nickel Oxide</t>
  </si>
  <si>
    <t>Nickel Peroxide</t>
  </si>
  <si>
    <t>Lead (II, IV) Oxide</t>
  </si>
  <si>
    <t>Lead tetraoxide</t>
  </si>
  <si>
    <t>Manganese Trioxide</t>
  </si>
  <si>
    <t>Manganese(III) oxide</t>
  </si>
  <si>
    <t>Manganese Tetroxide</t>
  </si>
  <si>
    <t>Lead (II) Oxide</t>
  </si>
  <si>
    <t>Lead monoxide</t>
  </si>
  <si>
    <t>Cobalt Sulfide</t>
  </si>
  <si>
    <t>Antimony Oxide</t>
  </si>
  <si>
    <t>Antimony oxide (unspecified)</t>
  </si>
  <si>
    <t>Arsenic Acid</t>
  </si>
  <si>
    <t>Arsenic Trioxide</t>
  </si>
  <si>
    <t>Arsenic(III) trioxide</t>
  </si>
  <si>
    <t>Chromium Trioxide</t>
  </si>
  <si>
    <t>Lead Oxide</t>
  </si>
  <si>
    <t>Lead Subacetate</t>
  </si>
  <si>
    <t>Lead acetate</t>
  </si>
  <si>
    <t>Manganese Napthenate</t>
  </si>
  <si>
    <t>Antimony Trisulfide</t>
  </si>
  <si>
    <t>Cobalt Aluminate</t>
  </si>
  <si>
    <t>C.I. Pigment Blue 28</t>
  </si>
  <si>
    <t>Nickel Bromide</t>
  </si>
  <si>
    <t>Nickel(II) bromide</t>
  </si>
  <si>
    <t>Nickel Carbonyl</t>
  </si>
  <si>
    <t>Beryllium Sulfate</t>
  </si>
  <si>
    <t>Chromic Sulfuric Acid</t>
  </si>
  <si>
    <t>Hexanoic acid, 2-ethyl-, cobalt salt</t>
  </si>
  <si>
    <t>Cobalt 2-ethylhexanoate</t>
  </si>
  <si>
    <t>Beryllium Nitrate</t>
  </si>
  <si>
    <t>Beryllium nitrate (Be(NO3)2)</t>
  </si>
  <si>
    <t>Chromium &amp; Compounds</t>
  </si>
  <si>
    <t>Hexanoic acid, 2-ethyl-, cobalt(2+) salt</t>
  </si>
  <si>
    <t>Calcium Chromate</t>
  </si>
  <si>
    <t>Nickel Sulfamate</t>
  </si>
  <si>
    <t>Sulfamic acid, nickel(2+) salt (2:1)</t>
  </si>
  <si>
    <t>Lead Fluoroborate</t>
  </si>
  <si>
    <t>Cobalt &amp; Compounds</t>
  </si>
  <si>
    <t>Potassium Ferrocyanide</t>
  </si>
  <si>
    <t>Gold (I) Potassium Cyanide</t>
  </si>
  <si>
    <t>Aurate(1-), bis(cyano-.kappa.C)-, potassium</t>
  </si>
  <si>
    <t>Chromic acid (H2Cr2O7), zinc salt (1:1)</t>
  </si>
  <si>
    <t>Benzyl Cyanide</t>
  </si>
  <si>
    <t>Benzeneacetonitrile</t>
  </si>
  <si>
    <t>Potassium Nickel Cyanide</t>
  </si>
  <si>
    <t>Nickelate(2-), tetrakis(cyano-.kappa.C)-, dipotassium, (SP-4-1)-</t>
  </si>
  <si>
    <t>Chromic acid (H2Cr2O7), calcium salt (1:1)</t>
  </si>
  <si>
    <t>Lithium Chromate</t>
  </si>
  <si>
    <t>Sodium Cyanide</t>
  </si>
  <si>
    <t>Nickel 59</t>
  </si>
  <si>
    <t>Nickel-59</t>
  </si>
  <si>
    <t>Cyanide &amp; Compounds</t>
  </si>
  <si>
    <t>Chromyl Chloride</t>
  </si>
  <si>
    <t>Chromium(VI) dioxychloride</t>
  </si>
  <si>
    <t>Potassium Cyanide</t>
  </si>
  <si>
    <t>Chromium III</t>
  </si>
  <si>
    <t>Cobalt Hydrocarbonyl</t>
  </si>
  <si>
    <t>Sodium hexafluoroantimenate</t>
  </si>
  <si>
    <t>Antimonate(1-), hexafluoro-, sodium, (OC-6-11)-</t>
  </si>
  <si>
    <t>Lead Chromate Oxide</t>
  </si>
  <si>
    <t>Lead chromate(VI) oxide</t>
  </si>
  <si>
    <t>Chromium (VI)</t>
  </si>
  <si>
    <t>Lead &amp; Compounds</t>
  </si>
  <si>
    <t>Manganese &amp; Compounds</t>
  </si>
  <si>
    <t>Mercury &amp; Compounds</t>
  </si>
  <si>
    <t>Elemental Gaseous Mercury</t>
  </si>
  <si>
    <t>Gaseous Divalent Mercury</t>
  </si>
  <si>
    <t>Particulate Divalent Mercury</t>
  </si>
  <si>
    <t>Chromium(III) acetylacetonate</t>
  </si>
  <si>
    <t>Cadmium Stearate</t>
  </si>
  <si>
    <t>Nickel &amp; Compounds</t>
  </si>
  <si>
    <t>Mercury (Organic)</t>
  </si>
  <si>
    <t>Methylmercury(1+)</t>
  </si>
  <si>
    <t>Selenium &amp; Compounds</t>
  </si>
  <si>
    <t>Lead Neodecanoate</t>
  </si>
  <si>
    <t>Neodecanoic acid, lead salt</t>
  </si>
  <si>
    <t>Lead Acetate</t>
  </si>
  <si>
    <t>Arsenous Acid</t>
  </si>
  <si>
    <t>Arsenous acid, triethyl ester</t>
  </si>
  <si>
    <t>Nickel Carbonate</t>
  </si>
  <si>
    <t>Carbonic acid, nickel(2+) salt (1:1)</t>
  </si>
  <si>
    <t>Gold Cyanide</t>
  </si>
  <si>
    <t>Nickel Acetate</t>
  </si>
  <si>
    <t>Nickel(II) acetate</t>
  </si>
  <si>
    <t>Silver Cyanide</t>
  </si>
  <si>
    <t>Zinc Chromite</t>
  </si>
  <si>
    <t>Chromium zinc oxide (unspecified)</t>
  </si>
  <si>
    <t>Cadmium acetate</t>
  </si>
  <si>
    <t>Copper Cyanide</t>
  </si>
  <si>
    <t>Copper(I) cyanide</t>
  </si>
  <si>
    <t>Zinc Cyanide</t>
  </si>
  <si>
    <t>Methyl Mercury</t>
  </si>
  <si>
    <t>Lead Carbonate</t>
  </si>
  <si>
    <t>Lead(II) carbonate</t>
  </si>
  <si>
    <t>Nickel Diacetate TET</t>
  </si>
  <si>
    <t>Nickel diacetate tetrahydrate</t>
  </si>
  <si>
    <t>Lead Compounds (Inorganic)</t>
  </si>
  <si>
    <t>Lead Compounds (Other Than Inorganic)</t>
  </si>
  <si>
    <t>Nickel Refinery Dust</t>
  </si>
  <si>
    <t>Cobalt Naphtha</t>
  </si>
  <si>
    <t>Cobalt naphthenate</t>
  </si>
  <si>
    <t>Lead Naphthenate</t>
  </si>
  <si>
    <t>Antimony Pentafluoride</t>
  </si>
  <si>
    <t>Mercury Acetato Phen</t>
  </si>
  <si>
    <t>Phenylmercury acetate</t>
  </si>
  <si>
    <t>Lead Stearate</t>
  </si>
  <si>
    <t>Lead</t>
  </si>
  <si>
    <t>Manganese</t>
  </si>
  <si>
    <t>Nickel</t>
  </si>
  <si>
    <t>Antimony</t>
  </si>
  <si>
    <t>Arsenic</t>
  </si>
  <si>
    <t>Beryllium</t>
  </si>
  <si>
    <t>Cadmium</t>
  </si>
  <si>
    <t>Selenium Dioxide</t>
  </si>
  <si>
    <t>Lead Sulfate</t>
  </si>
  <si>
    <t>Lead Phosphate</t>
  </si>
  <si>
    <t>Lead(II) phosphate</t>
  </si>
  <si>
    <t>Selenium Monosulfide</t>
  </si>
  <si>
    <t>Mercuric Chloride</t>
  </si>
  <si>
    <t>Mercuric chloride</t>
  </si>
  <si>
    <t>Selenium Disulfide</t>
  </si>
  <si>
    <t>Hydrogen Cyanide</t>
  </si>
  <si>
    <t>Cobalt Carbonate</t>
  </si>
  <si>
    <t>Nickel Chloride</t>
  </si>
  <si>
    <t>Nickel(II) chloride</t>
  </si>
  <si>
    <t>Potassium permanganate</t>
  </si>
  <si>
    <t>Chromic Acid (VI)</t>
  </si>
  <si>
    <t>Lead Chromate</t>
  </si>
  <si>
    <t>Lead(II) chromate</t>
  </si>
  <si>
    <t>Sodium Chromate</t>
  </si>
  <si>
    <t>Sodium chromate(VI)</t>
  </si>
  <si>
    <t>Potassium Dichromate</t>
  </si>
  <si>
    <t>Selenium</t>
  </si>
  <si>
    <t>Selenous Acid</t>
  </si>
  <si>
    <t>Selenious acid (H2SeO3)</t>
  </si>
  <si>
    <t>Hydrogen Selenide</t>
  </si>
  <si>
    <t>Manganesehypophosphide</t>
  </si>
  <si>
    <t>Manganese(II) hypophosphite monohydrate</t>
  </si>
  <si>
    <t>Selenium Hexafluoride</t>
  </si>
  <si>
    <t>Lead Arsenate</t>
  </si>
  <si>
    <t>Lead(II) arsenate (1:1)</t>
  </si>
  <si>
    <t>Manganese Sulfate</t>
  </si>
  <si>
    <t>Manganese(II) sulfate</t>
  </si>
  <si>
    <t>Nickel Sulfate</t>
  </si>
  <si>
    <t>Beryllium Chloride</t>
  </si>
  <si>
    <t>Beryllium Fluoride</t>
  </si>
  <si>
    <t>Beryllium difluoride</t>
  </si>
  <si>
    <t>Chromyl Fluoride</t>
  </si>
  <si>
    <t>Ammonium chromate</t>
  </si>
  <si>
    <t>Potassium Chromate</t>
  </si>
  <si>
    <t>Strontium Chromate</t>
  </si>
  <si>
    <t>Ammonium Dichromate</t>
  </si>
  <si>
    <t>Chromic acid (H2Cr2O7), disodium salt, dyhydrate</t>
  </si>
  <si>
    <t>Disodium dichromate dihydrate</t>
  </si>
  <si>
    <t>Cadmium Bromide</t>
  </si>
  <si>
    <t>Cadmium Iodide</t>
  </si>
  <si>
    <t>Tetraethyl Lead</t>
  </si>
  <si>
    <t>Tetraethyllead</t>
  </si>
  <si>
    <t>2-Methyl-Propanenitrile</t>
  </si>
  <si>
    <t>Isobutyronitrile</t>
  </si>
  <si>
    <t>Manganese Tallate</t>
  </si>
  <si>
    <t>Alkylated Lead</t>
  </si>
  <si>
    <t>Antimony &amp; Compounds</t>
  </si>
  <si>
    <t>Arsenic &amp; Compounds (Inorganic Including Arsine)</t>
  </si>
  <si>
    <t>smokename</t>
  </si>
  <si>
    <t>New code</t>
  </si>
  <si>
    <t>compound CAS</t>
  </si>
  <si>
    <t>compound MW</t>
  </si>
  <si>
    <t>metal MW</t>
  </si>
  <si>
    <t>formula</t>
  </si>
  <si>
    <t xml:space="preserve">Chromic acid (H2CrO4), ammonium salt (1:2) </t>
  </si>
  <si>
    <t>name for new code</t>
  </si>
  <si>
    <t xml:space="preserve"> </t>
  </si>
  <si>
    <t>CrH2O4.2H3N</t>
  </si>
  <si>
    <t xml:space="preserve">Chromic acid (H2CrO4), barium salt (1:1) </t>
  </si>
  <si>
    <t>Ba.CrH2O4</t>
  </si>
  <si>
    <t>CrO4.O.Pb or Pb2(CrO4)O</t>
  </si>
  <si>
    <t>Lead chromate oxide (Pb2(CrO4)O)</t>
  </si>
  <si>
    <t>Chromic acid (H2Cr2O7), sodium salt (1:2)</t>
  </si>
  <si>
    <t>Approach</t>
  </si>
  <si>
    <t>look up CAS # in www.epa.gov/srs</t>
  </si>
  <si>
    <t>Cr2H2O7.Zn</t>
  </si>
  <si>
    <t>Cr2H2O7.2Na</t>
  </si>
  <si>
    <t>Cl2CrO2</t>
  </si>
  <si>
    <t>Systematic Name</t>
  </si>
  <si>
    <t>EPA Registry Name</t>
  </si>
  <si>
    <t>Chromium, dichlorodioxo-, (T-4)-</t>
  </si>
  <si>
    <t xml:space="preserve">get EPA registry name </t>
  </si>
  <si>
    <t>get systematic name</t>
  </si>
  <si>
    <t xml:space="preserve">Ammonium chromate  </t>
  </si>
  <si>
    <t xml:space="preserve">Barium chromate </t>
  </si>
  <si>
    <t>change made?</t>
  </si>
  <si>
    <t xml:space="preserve"> because of erroneous metal quantities.  </t>
  </si>
  <si>
    <t>14June2011 - changed valid code from 201 to 7439976 since we will only use unspeciated Hg in the inventory</t>
  </si>
  <si>
    <t>14June2011 - changed new fraction to current value because error in amt of cobalt in the compound (3 Co not 1 Co)</t>
  </si>
  <si>
    <t>14June2011 - changed  new fraction from 0.3 to current value  because error in amt of lead in the compound (3 Pb not 1 Pb)</t>
  </si>
  <si>
    <t>Particulate Mercury</t>
  </si>
  <si>
    <t>14June2011 - changed valid code from 202 to 7439976 since we will only use unspeciated Hg in the inventory</t>
  </si>
  <si>
    <t xml:space="preserve">Elemental Mercury </t>
  </si>
  <si>
    <t>14June2011 - changed valid code from 200 to 7439976 since we will only use unspeciated Hg in the inventory</t>
  </si>
  <si>
    <t>code has been retired, see "FIX INVALID CODES"</t>
  </si>
  <si>
    <t>14June2011 - removed (by strikeout) 200, 201 and 202 from "VALID CODES- No CHANGES" because these mercury compounds have been retired.</t>
  </si>
  <si>
    <t>14June2011 - changed  new code (column D) in "FIX INVALID CODES" spreadsheet for codes 200, 201 and 202 because they have been retired.</t>
  </si>
  <si>
    <r>
      <rPr>
        <sz val="11"/>
        <color indexed="10"/>
        <rFont val="Calibri"/>
        <family val="2"/>
      </rPr>
      <t xml:space="preserve">CHANGED 1May2012.  Convert cyanides to CN, not HCN. Do not convert HCN (that is a valid code). </t>
    </r>
    <r>
      <rPr>
        <sz val="11"/>
        <color theme="1"/>
        <rFont val="Calibri"/>
        <family val="2"/>
      </rPr>
      <t xml:space="preserve">  </t>
    </r>
    <r>
      <rPr>
        <strike/>
        <sz val="11"/>
        <color indexed="8"/>
        <rFont val="Calibri"/>
        <family val="2"/>
      </rPr>
      <t>slightly different formula for cyanides:  except for cyanide cmpds and cyanides and hydrogen cyanide, convert cyanide compound to mass of hydrogen cyanide</t>
    </r>
  </si>
  <si>
    <t>1 May 2012 -changed metal MW to the weight of "CN" molecules (26.02 gmol as opposed to "HCN" molecules which was 27.0256)</t>
  </si>
  <si>
    <t>compute factor = (atoms of metal in compound* MW of metal atom)/MW total compound</t>
  </si>
  <si>
    <t xml:space="preserve">14June2011 - changed "New Fraction" (column C) in "FIX INVALID CODES" spreadsheet for  2 pollutants (1308061 and  1314416, see column F) </t>
  </si>
  <si>
    <t xml:space="preserve">01May2012 - changed the fraction used to convert cyanide compounds to "CN" rather than HCN because the pollutant code used for the "new" pollutant is "CN".  </t>
  </si>
  <si>
    <t xml:space="preserve">The risks for cyanide compounds are expressed in terms of HCN, which is why we originally converted the compound mass to HCN equivalents. </t>
  </si>
  <si>
    <t xml:space="preserve"> However, the risk assessors will convert "CN" to "HCN" prior to applying the risk factors.  </t>
  </si>
  <si>
    <t xml:space="preserve">Therefore, we will correct the error in the previous versions of this sheet  by converting the cyanide compound to CN and keeping the pollutant code as CN.  </t>
  </si>
  <si>
    <t>Given that the MW of HCN (27.0256) is very similar to CN (26.02) this was not a significant error in the previous versions of this document.</t>
  </si>
  <si>
    <t xml:space="preserve">Must be aware that due to these situations (more than one factor and new code can be assigned to a single invalid code), </t>
  </si>
  <si>
    <t>the factors are not one-to-one but rather more than 1 factor can be applied to a single invalid pollutant.</t>
  </si>
  <si>
    <t>Rows that are orange signifies and update from the original version of this spreadsheet.</t>
  </si>
  <si>
    <t>yellow highlighed cekk means a compound is apportioned to more than 1 NEI valid pollutant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</si>
</sst>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
  </numFmts>
  <fonts count="41">
    <font>
      <sz val="11"/>
      <color theme="1"/>
      <name val="Calibri"/>
      <family val="2"/>
    </font>
    <font>
      <sz val="11"/>
      <color indexed="8"/>
      <name val="Calibri"/>
      <family val="2"/>
    </font>
    <font>
      <sz val="10"/>
      <color indexed="8"/>
      <name val="Arial"/>
      <family val="0"/>
    </font>
    <font>
      <b/>
      <sz val="11"/>
      <color indexed="8"/>
      <name val="Calibri"/>
      <family val="2"/>
    </font>
    <font>
      <sz val="11"/>
      <color indexed="10"/>
      <name val="Calibri"/>
      <family val="2"/>
    </font>
    <font>
      <strik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b/>
      <sz val="54"/>
      <color indexed="4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Font="1" applyAlignment="1">
      <alignment/>
    </xf>
    <xf numFmtId="0" fontId="1" fillId="0" borderId="10" xfId="56" applyFont="1" applyFill="1" applyBorder="1" applyAlignment="1">
      <alignment wrapText="1"/>
      <protection/>
    </xf>
    <xf numFmtId="0" fontId="1" fillId="0" borderId="10" xfId="56" applyNumberFormat="1" applyFont="1" applyFill="1" applyBorder="1" applyAlignment="1">
      <alignment wrapText="1"/>
      <protection/>
    </xf>
    <xf numFmtId="1" fontId="0" fillId="0" borderId="0" xfId="0" applyNumberFormat="1" applyAlignment="1">
      <alignment/>
    </xf>
    <xf numFmtId="1" fontId="0" fillId="33" borderId="0" xfId="0" applyNumberFormat="1" applyFill="1" applyAlignment="1">
      <alignment/>
    </xf>
    <xf numFmtId="0" fontId="0" fillId="33" borderId="0" xfId="0" applyFill="1" applyAlignment="1">
      <alignment/>
    </xf>
    <xf numFmtId="1" fontId="0" fillId="0" borderId="0" xfId="0" applyNumberFormat="1" applyAlignment="1">
      <alignment wrapText="1"/>
    </xf>
    <xf numFmtId="0" fontId="0" fillId="0" borderId="0" xfId="0" applyAlignment="1">
      <alignment wrapText="1"/>
    </xf>
    <xf numFmtId="1" fontId="0" fillId="0" borderId="0" xfId="0" applyNumberFormat="1" applyFill="1" applyAlignment="1">
      <alignment/>
    </xf>
    <xf numFmtId="0" fontId="0" fillId="0" borderId="0" xfId="0" applyFill="1" applyAlignment="1">
      <alignment/>
    </xf>
    <xf numFmtId="0" fontId="1" fillId="33" borderId="10" xfId="56" applyNumberFormat="1" applyFont="1" applyFill="1" applyBorder="1" applyAlignment="1">
      <alignment wrapText="1"/>
      <protection/>
    </xf>
    <xf numFmtId="0" fontId="1" fillId="33" borderId="10" xfId="56" applyFont="1" applyFill="1" applyBorder="1" applyAlignment="1">
      <alignment wrapText="1"/>
      <protection/>
    </xf>
    <xf numFmtId="168" fontId="0" fillId="0" borderId="0" xfId="0" applyNumberFormat="1" applyAlignment="1">
      <alignment wrapText="1"/>
    </xf>
    <xf numFmtId="168" fontId="0" fillId="0" borderId="0" xfId="0" applyNumberFormat="1" applyAlignment="1">
      <alignment/>
    </xf>
    <xf numFmtId="168" fontId="0" fillId="33" borderId="0" xfId="0" applyNumberFormat="1" applyFill="1" applyAlignment="1">
      <alignment/>
    </xf>
    <xf numFmtId="168" fontId="0" fillId="0" borderId="0" xfId="0" applyNumberFormat="1" applyFill="1" applyAlignment="1">
      <alignment/>
    </xf>
    <xf numFmtId="169" fontId="0" fillId="0" borderId="0" xfId="0" applyNumberFormat="1" applyAlignment="1">
      <alignment wrapText="1"/>
    </xf>
    <xf numFmtId="169" fontId="0" fillId="0" borderId="0" xfId="0" applyNumberFormat="1" applyAlignment="1">
      <alignment/>
    </xf>
    <xf numFmtId="0" fontId="1" fillId="0" borderId="0" xfId="56" applyFont="1" applyFill="1" applyBorder="1" applyAlignment="1">
      <alignment wrapText="1"/>
      <protection/>
    </xf>
    <xf numFmtId="0" fontId="0" fillId="0" borderId="0" xfId="0" applyFill="1" applyAlignment="1">
      <alignment wrapText="1"/>
    </xf>
    <xf numFmtId="0" fontId="3" fillId="0" borderId="0" xfId="0" applyFont="1" applyAlignment="1">
      <alignment/>
    </xf>
    <xf numFmtId="1" fontId="0" fillId="34" borderId="0" xfId="0" applyNumberFormat="1" applyFill="1" applyAlignment="1">
      <alignment/>
    </xf>
    <xf numFmtId="0" fontId="0" fillId="34" borderId="0" xfId="0" applyFill="1" applyAlignment="1">
      <alignment/>
    </xf>
    <xf numFmtId="168" fontId="0" fillId="34" borderId="0" xfId="0" applyNumberFormat="1" applyFill="1" applyAlignment="1">
      <alignment/>
    </xf>
    <xf numFmtId="169" fontId="0" fillId="34" borderId="0" xfId="0" applyNumberFormat="1" applyFill="1" applyAlignment="1">
      <alignment/>
    </xf>
    <xf numFmtId="0" fontId="0" fillId="34" borderId="0" xfId="0" applyFill="1" applyAlignment="1">
      <alignment wrapText="1"/>
    </xf>
    <xf numFmtId="15" fontId="0" fillId="0" borderId="0" xfId="0" applyNumberFormat="1" applyFill="1" applyAlignment="1">
      <alignment/>
    </xf>
    <xf numFmtId="1" fontId="40" fillId="34" borderId="0" xfId="0" applyNumberFormat="1" applyFont="1" applyFill="1" applyAlignment="1">
      <alignment/>
    </xf>
    <xf numFmtId="0" fontId="40" fillId="34" borderId="0" xfId="0" applyFont="1" applyFill="1" applyAlignment="1">
      <alignment/>
    </xf>
    <xf numFmtId="15" fontId="0" fillId="0" borderId="0" xfId="0" applyNumberFormat="1" applyAlignment="1">
      <alignment/>
    </xf>
    <xf numFmtId="0" fontId="40" fillId="0" borderId="0" xfId="0" applyFont="1" applyAlignment="1">
      <alignment/>
    </xf>
    <xf numFmtId="0" fontId="0" fillId="0" borderId="0" xfId="0" applyNumberFormat="1" applyAlignment="1">
      <alignment/>
    </xf>
    <xf numFmtId="1" fontId="0" fillId="35" borderId="0" xfId="0" applyNumberFormat="1" applyFill="1" applyAlignment="1">
      <alignment/>
    </xf>
    <xf numFmtId="0" fontId="0" fillId="35" borderId="0" xfId="0" applyFill="1" applyAlignment="1">
      <alignment/>
    </xf>
    <xf numFmtId="168" fontId="0" fillId="35"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1704975</xdr:colOff>
      <xdr:row>162</xdr:row>
      <xdr:rowOff>161925</xdr:rowOff>
    </xdr:from>
    <xdr:ext cx="8305800" cy="5438775"/>
    <xdr:sp>
      <xdr:nvSpPr>
        <xdr:cNvPr id="1" name="Rectangle 2"/>
        <xdr:cNvSpPr>
          <a:spLocks/>
        </xdr:cNvSpPr>
      </xdr:nvSpPr>
      <xdr:spPr>
        <a:xfrm>
          <a:off x="10658475" y="31784925"/>
          <a:ext cx="8305800" cy="5438775"/>
        </a:xfrm>
        <a:prstGeom prst="rect">
          <a:avLst/>
        </a:prstGeom>
        <a:noFill/>
        <a:ln w="9525" cmpd="sng">
          <a:noFill/>
        </a:ln>
      </xdr:spPr>
      <xdr:txBody>
        <a:bodyPr vertOverflow="clip" wrap="square">
          <a:spAutoFit/>
        </a:bodyPr>
        <a:p>
          <a:pPr algn="ctr">
            <a:defRPr/>
          </a:pPr>
          <a:r>
            <a:rPr lang="en-US" cap="none" sz="5400" b="1" i="0" u="none" baseline="0">
              <a:solidFill>
                <a:srgbClr val="99CCFF"/>
              </a:solidFill>
              <a:latin typeface="Calibri"/>
              <a:ea typeface="Calibri"/>
              <a:cs typeface="Calibri"/>
            </a:rPr>
            <a:t>Additional</a:t>
          </a:r>
          <a:r>
            <a:rPr lang="en-US" cap="none" sz="5400" b="1" i="0" u="none" baseline="0">
              <a:solidFill>
                <a:srgbClr val="99CCFF"/>
              </a:solidFill>
              <a:latin typeface="Calibri"/>
              <a:ea typeface="Calibri"/>
              <a:cs typeface="Calibri"/>
            </a:rPr>
            <a:t> DATA: 
</a:t>
          </a:r>
          <a:r>
            <a:rPr lang="en-US" cap="none" sz="5400" b="1" i="0" u="none" baseline="0">
              <a:solidFill>
                <a:srgbClr val="99CCFF"/>
              </a:solidFill>
              <a:latin typeface="Calibri"/>
              <a:ea typeface="Calibri"/>
              <a:cs typeface="Calibri"/>
            </a:rPr>
            <a:t> Derivation
</a:t>
          </a:r>
          <a:r>
            <a:rPr lang="en-US" cap="none" sz="5400" b="1" i="0" u="none" baseline="0">
              <a:solidFill>
                <a:srgbClr val="99CCFF"/>
              </a:solidFill>
              <a:latin typeface="Calibri"/>
              <a:ea typeface="Calibri"/>
              <a:cs typeface="Calibri"/>
            </a:rPr>
            <a:t>of FACTOR value and
</a:t>
          </a:r>
          <a:r>
            <a:rPr lang="en-US" cap="none" sz="5400" b="1" i="0" u="none" baseline="0">
              <a:solidFill>
                <a:srgbClr val="99CCFF"/>
              </a:solidFill>
              <a:latin typeface="Calibri"/>
              <a:ea typeface="Calibri"/>
              <a:cs typeface="Calibri"/>
            </a:rPr>
            <a:t>comparison to old value
</a:t>
          </a:r>
          <a:r>
            <a:rPr lang="en-US" cap="none" sz="5400" b="1" i="0" u="none" baseline="0">
              <a:solidFill>
                <a:srgbClr val="99CCFF"/>
              </a:solidFill>
              <a:latin typeface="Calibri"/>
              <a:ea typeface="Calibri"/>
              <a:cs typeface="Calibri"/>
            </a:rPr>
            <a:t>previously used in EMS-HAP
</a:t>
          </a:r>
          <a:r>
            <a:rPr lang="en-US" cap="none" sz="5400" b="1" i="0" u="none" baseline="0">
              <a:solidFill>
                <a:srgbClr val="99CCFF"/>
              </a:solidFill>
              <a:latin typeface="Calibri"/>
              <a:ea typeface="Calibri"/>
              <a:cs typeface="Calibri"/>
            </a:rPr>
            <a:t> and SMOKE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90" zoomScaleNormal="90" zoomScalePageLayoutView="0" workbookViewId="0" topLeftCell="A1">
      <selection activeCell="H15" sqref="H15"/>
    </sheetView>
  </sheetViews>
  <sheetFormatPr defaultColWidth="9.140625" defaultRowHeight="15"/>
  <sheetData>
    <row r="1" ht="15">
      <c r="A1" t="s">
        <v>568</v>
      </c>
    </row>
    <row r="2" ht="15">
      <c r="B2" t="s">
        <v>554</v>
      </c>
    </row>
    <row r="3" ht="15">
      <c r="A3" t="s">
        <v>564</v>
      </c>
    </row>
    <row r="4" ht="15">
      <c r="A4" t="s">
        <v>563</v>
      </c>
    </row>
    <row r="5" ht="15">
      <c r="A5" s="29" t="s">
        <v>569</v>
      </c>
    </row>
    <row r="6" ht="15">
      <c r="B6" s="31" t="s">
        <v>570</v>
      </c>
    </row>
    <row r="7" ht="15">
      <c r="B7" s="31" t="s">
        <v>571</v>
      </c>
    </row>
    <row r="8" ht="15">
      <c r="B8" s="31" t="s">
        <v>572</v>
      </c>
    </row>
    <row r="9" ht="15">
      <c r="B9" t="s">
        <v>573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A1" sqref="A1"/>
    </sheetView>
  </sheetViews>
  <sheetFormatPr defaultColWidth="9.140625" defaultRowHeight="15"/>
  <sheetData>
    <row r="1" ht="15">
      <c r="A1" t="s">
        <v>231</v>
      </c>
    </row>
    <row r="2" ht="15">
      <c r="A2" t="s">
        <v>272</v>
      </c>
    </row>
    <row r="3" ht="15">
      <c r="A3" t="s">
        <v>260</v>
      </c>
    </row>
    <row r="4" ht="15">
      <c r="A4" t="s">
        <v>261</v>
      </c>
    </row>
    <row r="5" ht="15">
      <c r="A5" t="s">
        <v>576</v>
      </c>
    </row>
    <row r="6" ht="15">
      <c r="A6" t="s">
        <v>574</v>
      </c>
    </row>
    <row r="7" ht="15">
      <c r="B7" t="s">
        <v>575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59"/>
  <sheetViews>
    <sheetView zoomScale="72" zoomScaleNormal="72" zoomScalePageLayoutView="0" workbookViewId="0" topLeftCell="A1">
      <pane ySplit="1" topLeftCell="A2" activePane="bottomLeft" state="frozen"/>
      <selection pane="topLeft" activeCell="A1" sqref="A1"/>
      <selection pane="bottomLeft" activeCell="C10" sqref="C10"/>
    </sheetView>
  </sheetViews>
  <sheetFormatPr defaultColWidth="9.140625" defaultRowHeight="15"/>
  <cols>
    <col min="1" max="1" width="17.140625" style="3" customWidth="1"/>
    <col min="2" max="2" width="27.8515625" style="0" customWidth="1"/>
    <col min="3" max="3" width="16.8515625" style="13" customWidth="1"/>
    <col min="4" max="4" width="13.57421875" style="0" customWidth="1"/>
    <col min="5" max="5" width="14.7109375" style="0" customWidth="1"/>
    <col min="6" max="8" width="14.7109375" style="9" customWidth="1"/>
    <col min="9" max="9" width="28.7109375" style="0" customWidth="1"/>
    <col min="10" max="10" width="22.7109375" style="0" customWidth="1"/>
    <col min="11" max="11" width="19.28125" style="0" customWidth="1"/>
    <col min="12" max="12" width="13.57421875" style="0" customWidth="1"/>
    <col min="13" max="13" width="25.8515625" style="0" customWidth="1"/>
    <col min="14" max="14" width="12.421875" style="0" customWidth="1"/>
    <col min="15" max="15" width="17.421875" style="13" customWidth="1"/>
    <col min="16" max="16" width="9.140625" style="17" customWidth="1"/>
  </cols>
  <sheetData>
    <row r="1" spans="1:16" ht="75">
      <c r="A1" s="6" t="s">
        <v>528</v>
      </c>
      <c r="B1" s="7" t="s">
        <v>268</v>
      </c>
      <c r="C1" s="12" t="s">
        <v>269</v>
      </c>
      <c r="D1" s="7" t="s">
        <v>527</v>
      </c>
      <c r="E1" s="7" t="s">
        <v>533</v>
      </c>
      <c r="F1" s="25" t="s">
        <v>553</v>
      </c>
      <c r="G1" s="19"/>
      <c r="H1" s="19"/>
      <c r="I1" s="7" t="s">
        <v>547</v>
      </c>
      <c r="J1" s="7" t="s">
        <v>546</v>
      </c>
      <c r="K1" s="7" t="s">
        <v>529</v>
      </c>
      <c r="L1" s="7" t="s">
        <v>530</v>
      </c>
      <c r="M1" s="7" t="s">
        <v>531</v>
      </c>
      <c r="N1" s="7" t="s">
        <v>526</v>
      </c>
      <c r="O1" s="12" t="s">
        <v>267</v>
      </c>
      <c r="P1" s="16" t="s">
        <v>259</v>
      </c>
    </row>
    <row r="2" spans="1:16" ht="15">
      <c r="A2" s="3">
        <v>7788989</v>
      </c>
      <c r="B2" t="s">
        <v>510</v>
      </c>
      <c r="C2" s="13">
        <f aca="true" t="shared" si="0" ref="C2:C20">L2/K2</f>
        <v>0.341921483527323</v>
      </c>
      <c r="D2" s="2">
        <v>18540299</v>
      </c>
      <c r="E2" s="1" t="s">
        <v>423</v>
      </c>
      <c r="F2" s="18"/>
      <c r="G2" s="18"/>
      <c r="H2" s="18"/>
      <c r="I2" t="s">
        <v>551</v>
      </c>
      <c r="J2" t="s">
        <v>532</v>
      </c>
      <c r="K2">
        <v>152.07</v>
      </c>
      <c r="L2">
        <v>51.996</v>
      </c>
      <c r="M2" t="s">
        <v>535</v>
      </c>
      <c r="N2" t="s">
        <v>274</v>
      </c>
      <c r="O2" s="13">
        <v>0.342</v>
      </c>
      <c r="P2" s="17">
        <f aca="true" t="shared" si="1" ref="P2:P20">O2/C2</f>
        <v>1.000229633048696</v>
      </c>
    </row>
    <row r="3" spans="1:16" ht="15">
      <c r="A3" s="3">
        <v>10294403</v>
      </c>
      <c r="B3" t="s">
        <v>318</v>
      </c>
      <c r="C3" s="13">
        <f t="shared" si="0"/>
        <v>0.2036343698597948</v>
      </c>
      <c r="D3" s="2">
        <v>18540299</v>
      </c>
      <c r="E3" s="1" t="s">
        <v>423</v>
      </c>
      <c r="F3" s="18"/>
      <c r="G3" s="18"/>
      <c r="H3" s="18"/>
      <c r="I3" t="s">
        <v>552</v>
      </c>
      <c r="J3" t="s">
        <v>536</v>
      </c>
      <c r="K3">
        <v>255.34</v>
      </c>
      <c r="L3">
        <v>51.996</v>
      </c>
      <c r="M3" t="s">
        <v>537</v>
      </c>
      <c r="N3" t="s">
        <v>274</v>
      </c>
      <c r="O3" s="13">
        <v>0.2053</v>
      </c>
      <c r="P3" s="17">
        <f t="shared" si="1"/>
        <v>1.0081795138087546</v>
      </c>
    </row>
    <row r="4" spans="1:16" ht="15">
      <c r="A4" s="4">
        <v>18454121</v>
      </c>
      <c r="B4" s="5" t="s">
        <v>421</v>
      </c>
      <c r="C4" s="14">
        <f t="shared" si="0"/>
        <v>0.09516697598313219</v>
      </c>
      <c r="D4" s="10">
        <v>18540299</v>
      </c>
      <c r="E4" s="11" t="s">
        <v>423</v>
      </c>
      <c r="F4" s="18"/>
      <c r="G4" s="18"/>
      <c r="H4" s="18"/>
      <c r="I4" t="s">
        <v>422</v>
      </c>
      <c r="J4" t="s">
        <v>539</v>
      </c>
      <c r="K4">
        <f>5*15.994+2*207.2+51.996</f>
        <v>546.366</v>
      </c>
      <c r="L4">
        <v>51.996</v>
      </c>
      <c r="M4" t="s">
        <v>538</v>
      </c>
      <c r="N4" s="5" t="s">
        <v>274</v>
      </c>
      <c r="O4" s="14">
        <v>0.0952</v>
      </c>
      <c r="P4" s="17">
        <f t="shared" si="1"/>
        <v>1.0003470113085622</v>
      </c>
    </row>
    <row r="5" spans="1:16" ht="15">
      <c r="A5" s="4">
        <v>18454121</v>
      </c>
      <c r="B5" s="5" t="s">
        <v>421</v>
      </c>
      <c r="C5" s="14">
        <f t="shared" si="0"/>
        <v>0.758465936753019</v>
      </c>
      <c r="D5" s="10">
        <v>7439921</v>
      </c>
      <c r="E5" s="11" t="s">
        <v>468</v>
      </c>
      <c r="F5" s="18"/>
      <c r="G5" s="18"/>
      <c r="H5" s="18"/>
      <c r="I5" t="s">
        <v>422</v>
      </c>
      <c r="J5" t="s">
        <v>539</v>
      </c>
      <c r="K5">
        <f>5*15.994+2*207.2+51.996</f>
        <v>546.366</v>
      </c>
      <c r="L5">
        <f>2*207.2</f>
        <v>414.4</v>
      </c>
      <c r="M5" t="s">
        <v>538</v>
      </c>
      <c r="N5" s="5" t="s">
        <v>282</v>
      </c>
      <c r="O5" s="14">
        <v>0.7584</v>
      </c>
      <c r="P5" s="17">
        <f t="shared" si="1"/>
        <v>0.9999130656370656</v>
      </c>
    </row>
    <row r="6" spans="1:16" ht="15">
      <c r="A6" s="3">
        <v>10588019</v>
      </c>
      <c r="B6" t="s">
        <v>322</v>
      </c>
      <c r="C6" s="13">
        <f t="shared" si="0"/>
        <v>0.3939389347677854</v>
      </c>
      <c r="D6" s="2">
        <v>18540299</v>
      </c>
      <c r="E6" s="1" t="s">
        <v>423</v>
      </c>
      <c r="F6" s="18"/>
      <c r="G6" s="18"/>
      <c r="H6" s="18"/>
      <c r="I6" t="s">
        <v>322</v>
      </c>
      <c r="J6" t="s">
        <v>540</v>
      </c>
      <c r="K6">
        <v>263.98</v>
      </c>
      <c r="L6">
        <f>2*51.996</f>
        <v>103.992</v>
      </c>
      <c r="M6" t="s">
        <v>544</v>
      </c>
      <c r="N6" t="s">
        <v>274</v>
      </c>
      <c r="O6" s="13">
        <v>0.397</v>
      </c>
      <c r="P6" s="17">
        <f t="shared" si="1"/>
        <v>1.0077704054158014</v>
      </c>
    </row>
    <row r="7" spans="1:16" ht="15">
      <c r="A7" s="3">
        <v>14977618</v>
      </c>
      <c r="B7" t="s">
        <v>414</v>
      </c>
      <c r="C7" s="13">
        <f t="shared" si="0"/>
        <v>0.33567462879276955</v>
      </c>
      <c r="D7" s="2">
        <v>18540299</v>
      </c>
      <c r="E7" s="1" t="s">
        <v>423</v>
      </c>
      <c r="F7" s="18"/>
      <c r="G7" s="18"/>
      <c r="H7" s="18"/>
      <c r="I7" t="s">
        <v>415</v>
      </c>
      <c r="J7" t="s">
        <v>548</v>
      </c>
      <c r="K7">
        <v>154.9</v>
      </c>
      <c r="L7">
        <v>51.996</v>
      </c>
      <c r="M7" t="s">
        <v>545</v>
      </c>
      <c r="N7" t="s">
        <v>274</v>
      </c>
      <c r="O7" s="13">
        <v>0.3357</v>
      </c>
      <c r="P7" s="17">
        <f t="shared" si="1"/>
        <v>1.0000755827371335</v>
      </c>
    </row>
    <row r="8" spans="1:16" ht="15">
      <c r="A8" s="3">
        <v>14018952</v>
      </c>
      <c r="B8" t="s">
        <v>403</v>
      </c>
      <c r="C8" s="13">
        <f t="shared" si="0"/>
        <v>0.36695719679593497</v>
      </c>
      <c r="D8" s="2">
        <v>18540299</v>
      </c>
      <c r="E8" s="1" t="s">
        <v>423</v>
      </c>
      <c r="F8" s="18"/>
      <c r="G8" s="18"/>
      <c r="H8" s="18"/>
      <c r="J8" t="s">
        <v>403</v>
      </c>
      <c r="K8">
        <v>283.39</v>
      </c>
      <c r="L8">
        <f>2*51.996</f>
        <v>103.992</v>
      </c>
      <c r="M8" t="s">
        <v>543</v>
      </c>
      <c r="N8" t="s">
        <v>274</v>
      </c>
      <c r="O8" s="13">
        <v>0.1835</v>
      </c>
      <c r="P8" s="17">
        <f t="shared" si="1"/>
        <v>0.5000583217939841</v>
      </c>
    </row>
    <row r="9" spans="1:16" ht="15">
      <c r="A9" s="3">
        <v>7788967</v>
      </c>
      <c r="B9" t="s">
        <v>509</v>
      </c>
      <c r="C9" s="13">
        <f t="shared" si="0"/>
        <v>0.42623165833265025</v>
      </c>
      <c r="D9" s="2">
        <v>18540299</v>
      </c>
      <c r="E9" s="1" t="s">
        <v>423</v>
      </c>
      <c r="F9" s="18"/>
      <c r="G9" s="18"/>
      <c r="H9" s="18"/>
      <c r="I9" t="s">
        <v>0</v>
      </c>
      <c r="J9" t="s">
        <v>2</v>
      </c>
      <c r="K9">
        <v>121.99</v>
      </c>
      <c r="L9">
        <v>51.996</v>
      </c>
      <c r="M9" t="s">
        <v>3</v>
      </c>
      <c r="N9" t="s">
        <v>274</v>
      </c>
      <c r="O9" s="13">
        <v>0.4263</v>
      </c>
      <c r="P9" s="17">
        <f t="shared" si="1"/>
        <v>1.0001603392568659</v>
      </c>
    </row>
    <row r="10" spans="1:16" ht="15">
      <c r="A10" s="3">
        <v>13765190</v>
      </c>
      <c r="B10" t="s">
        <v>395</v>
      </c>
      <c r="C10" s="13">
        <f t="shared" si="0"/>
        <v>0.3289012587766462</v>
      </c>
      <c r="D10" s="2">
        <v>18540299</v>
      </c>
      <c r="E10" s="1" t="s">
        <v>423</v>
      </c>
      <c r="F10" s="18"/>
      <c r="G10" s="18"/>
      <c r="H10" s="18"/>
      <c r="I10" t="s">
        <v>395</v>
      </c>
      <c r="J10" t="s">
        <v>5</v>
      </c>
      <c r="K10">
        <v>158.09</v>
      </c>
      <c r="L10">
        <v>51.996</v>
      </c>
      <c r="M10" t="s">
        <v>4</v>
      </c>
      <c r="N10" t="s">
        <v>274</v>
      </c>
      <c r="O10" s="13">
        <v>0.3332</v>
      </c>
      <c r="P10" s="17">
        <f t="shared" si="1"/>
        <v>1.0130700053850297</v>
      </c>
    </row>
    <row r="11" spans="1:16" ht="15">
      <c r="A11" s="4">
        <v>7758976</v>
      </c>
      <c r="B11" s="5" t="s">
        <v>489</v>
      </c>
      <c r="C11" s="14">
        <f t="shared" si="0"/>
        <v>0.15988438239906524</v>
      </c>
      <c r="D11" s="10">
        <v>18540299</v>
      </c>
      <c r="E11" s="11" t="s">
        <v>423</v>
      </c>
      <c r="F11" s="18"/>
      <c r="G11" s="18"/>
      <c r="H11" s="18"/>
      <c r="I11" t="s">
        <v>490</v>
      </c>
      <c r="J11" t="s">
        <v>7</v>
      </c>
      <c r="K11">
        <v>325.21</v>
      </c>
      <c r="L11">
        <v>51.996</v>
      </c>
      <c r="M11" t="s">
        <v>6</v>
      </c>
      <c r="N11" s="5" t="s">
        <v>274</v>
      </c>
      <c r="O11" s="14">
        <v>0.1609</v>
      </c>
      <c r="P11" s="17">
        <f t="shared" si="1"/>
        <v>1.0063522001692435</v>
      </c>
    </row>
    <row r="12" spans="1:16" ht="15">
      <c r="A12" s="4">
        <v>7758976</v>
      </c>
      <c r="B12" s="5" t="s">
        <v>489</v>
      </c>
      <c r="C12" s="14">
        <f t="shared" si="0"/>
        <v>0.637126779619323</v>
      </c>
      <c r="D12" s="10">
        <v>7439921</v>
      </c>
      <c r="E12" s="11" t="s">
        <v>468</v>
      </c>
      <c r="F12" s="18"/>
      <c r="G12" s="18"/>
      <c r="H12" s="18"/>
      <c r="I12" t="s">
        <v>490</v>
      </c>
      <c r="J12" t="s">
        <v>7</v>
      </c>
      <c r="K12">
        <v>325.21</v>
      </c>
      <c r="L12">
        <v>207.2</v>
      </c>
      <c r="M12" t="s">
        <v>6</v>
      </c>
      <c r="N12" s="5" t="s">
        <v>282</v>
      </c>
      <c r="O12" s="14">
        <v>0.6411</v>
      </c>
      <c r="P12" s="17">
        <f t="shared" si="1"/>
        <v>1.0062361534749034</v>
      </c>
    </row>
    <row r="13" spans="1:16" ht="15">
      <c r="A13" s="3">
        <v>13530659</v>
      </c>
      <c r="B13" t="s">
        <v>352</v>
      </c>
      <c r="C13" s="13">
        <f t="shared" si="0"/>
        <v>0.2835114503816794</v>
      </c>
      <c r="D13" s="2">
        <v>18540299</v>
      </c>
      <c r="E13" s="1" t="s">
        <v>423</v>
      </c>
      <c r="F13" s="18"/>
      <c r="G13" s="18"/>
      <c r="H13" s="18"/>
      <c r="I13" t="s">
        <v>352</v>
      </c>
      <c r="J13" t="s">
        <v>8</v>
      </c>
      <c r="K13">
        <v>183.4</v>
      </c>
      <c r="L13">
        <v>51.996</v>
      </c>
      <c r="M13" t="s">
        <v>9</v>
      </c>
      <c r="N13" t="s">
        <v>274</v>
      </c>
      <c r="O13" s="13">
        <v>0.2867</v>
      </c>
      <c r="P13" s="17">
        <f t="shared" si="1"/>
        <v>1.011246634356489</v>
      </c>
    </row>
    <row r="14" spans="1:16" ht="15">
      <c r="A14" s="3">
        <v>10034829</v>
      </c>
      <c r="B14" t="s">
        <v>301</v>
      </c>
      <c r="C14" s="13">
        <f t="shared" si="0"/>
        <v>0.22027536538868883</v>
      </c>
      <c r="D14" s="2">
        <v>18540299</v>
      </c>
      <c r="E14" s="1" t="s">
        <v>423</v>
      </c>
      <c r="F14" s="18"/>
      <c r="G14" s="18"/>
      <c r="H14" s="18"/>
      <c r="I14" t="s">
        <v>302</v>
      </c>
      <c r="J14" t="s">
        <v>10</v>
      </c>
      <c r="K14">
        <v>236.05</v>
      </c>
      <c r="L14">
        <v>51.996</v>
      </c>
      <c r="M14" t="s">
        <v>11</v>
      </c>
      <c r="N14" t="s">
        <v>274</v>
      </c>
      <c r="O14" s="13">
        <v>0.2203</v>
      </c>
      <c r="P14" s="17">
        <f t="shared" si="1"/>
        <v>1.0001118355258096</v>
      </c>
    </row>
    <row r="15" spans="1:16" ht="15">
      <c r="A15" s="3">
        <v>14307336</v>
      </c>
      <c r="B15" t="s">
        <v>408</v>
      </c>
      <c r="C15" s="13">
        <f t="shared" si="0"/>
        <v>0.4029448233106014</v>
      </c>
      <c r="D15" s="2">
        <v>18540299</v>
      </c>
      <c r="E15" s="1" t="s">
        <v>423</v>
      </c>
      <c r="F15" s="18"/>
      <c r="G15" s="18"/>
      <c r="H15" s="18"/>
      <c r="I15" t="s">
        <v>408</v>
      </c>
      <c r="J15" t="s">
        <v>408</v>
      </c>
      <c r="K15">
        <v>258.08</v>
      </c>
      <c r="L15">
        <f>2*51.996</f>
        <v>103.992</v>
      </c>
      <c r="M15" t="s">
        <v>12</v>
      </c>
      <c r="N15" t="s">
        <v>274</v>
      </c>
      <c r="O15" s="13">
        <v>0.403</v>
      </c>
      <c r="P15" s="17">
        <f t="shared" si="1"/>
        <v>1.0001369336102777</v>
      </c>
    </row>
    <row r="16" spans="1:16" ht="15">
      <c r="A16" s="3">
        <v>7789095</v>
      </c>
      <c r="B16" t="s">
        <v>513</v>
      </c>
      <c r="C16" s="13">
        <f t="shared" si="0"/>
        <v>0.4125520688697584</v>
      </c>
      <c r="D16" s="2">
        <v>18540299</v>
      </c>
      <c r="E16" s="1" t="s">
        <v>423</v>
      </c>
      <c r="F16" s="18"/>
      <c r="G16" s="18"/>
      <c r="H16" s="18"/>
      <c r="I16" t="s">
        <v>17</v>
      </c>
      <c r="J16" t="s">
        <v>13</v>
      </c>
      <c r="K16">
        <v>252.07</v>
      </c>
      <c r="L16">
        <f>2*51.996</f>
        <v>103.992</v>
      </c>
      <c r="M16" t="s">
        <v>14</v>
      </c>
      <c r="N16" t="s">
        <v>274</v>
      </c>
      <c r="O16" s="13">
        <v>0.4125</v>
      </c>
      <c r="P16" s="17">
        <f t="shared" si="1"/>
        <v>0.999873788368336</v>
      </c>
    </row>
    <row r="17" spans="1:16" ht="15">
      <c r="A17" s="3">
        <v>7789006</v>
      </c>
      <c r="B17" t="s">
        <v>511</v>
      </c>
      <c r="C17" s="13">
        <f t="shared" si="0"/>
        <v>0.26500178380306816</v>
      </c>
      <c r="D17" s="2">
        <v>18540299</v>
      </c>
      <c r="E17" s="1" t="s">
        <v>423</v>
      </c>
      <c r="F17" s="18"/>
      <c r="G17" s="18"/>
      <c r="H17" s="18"/>
      <c r="I17" t="s">
        <v>18</v>
      </c>
      <c r="J17" t="s">
        <v>16</v>
      </c>
      <c r="K17">
        <v>196.21</v>
      </c>
      <c r="L17">
        <v>51.996</v>
      </c>
      <c r="M17" t="s">
        <v>15</v>
      </c>
      <c r="N17" t="s">
        <v>274</v>
      </c>
      <c r="O17" s="13">
        <v>0.2677</v>
      </c>
      <c r="P17" s="17">
        <f t="shared" si="1"/>
        <v>1.0101818793753365</v>
      </c>
    </row>
    <row r="18" spans="1:16" ht="15">
      <c r="A18" s="3">
        <v>13530682</v>
      </c>
      <c r="B18" t="s">
        <v>388</v>
      </c>
      <c r="C18" s="13">
        <f t="shared" si="0"/>
        <v>0.4770275229357798</v>
      </c>
      <c r="D18" s="2">
        <v>18540299</v>
      </c>
      <c r="E18" s="1" t="s">
        <v>423</v>
      </c>
      <c r="F18" s="18"/>
      <c r="G18" s="18"/>
      <c r="H18" s="18"/>
      <c r="I18" t="s">
        <v>21</v>
      </c>
      <c r="J18" t="s">
        <v>19</v>
      </c>
      <c r="K18">
        <v>218</v>
      </c>
      <c r="L18">
        <f>2*51.996</f>
        <v>103.992</v>
      </c>
      <c r="M18" t="s">
        <v>20</v>
      </c>
      <c r="N18" t="s">
        <v>274</v>
      </c>
      <c r="O18" s="13">
        <v>0.477</v>
      </c>
      <c r="P18" s="17">
        <f t="shared" si="1"/>
        <v>0.9999423032540964</v>
      </c>
    </row>
    <row r="19" spans="1:16" ht="15">
      <c r="A19" s="3">
        <v>7775113</v>
      </c>
      <c r="B19" t="s">
        <v>491</v>
      </c>
      <c r="C19" s="13">
        <f t="shared" si="0"/>
        <v>0.3170681139093847</v>
      </c>
      <c r="D19" s="2">
        <v>18540299</v>
      </c>
      <c r="E19" s="1" t="s">
        <v>423</v>
      </c>
      <c r="F19" s="18"/>
      <c r="G19" s="18"/>
      <c r="H19" s="18"/>
      <c r="I19" t="s">
        <v>492</v>
      </c>
      <c r="J19" t="s">
        <v>22</v>
      </c>
      <c r="K19">
        <v>163.99</v>
      </c>
      <c r="L19">
        <v>51.996</v>
      </c>
      <c r="M19" t="s">
        <v>23</v>
      </c>
      <c r="N19" t="s">
        <v>274</v>
      </c>
      <c r="O19" s="13">
        <v>0.4406</v>
      </c>
      <c r="P19" s="17">
        <f t="shared" si="1"/>
        <v>1.3896067774444187</v>
      </c>
    </row>
    <row r="20" spans="1:16" ht="15">
      <c r="A20" s="3">
        <v>7789120</v>
      </c>
      <c r="B20" t="s">
        <v>514</v>
      </c>
      <c r="C20" s="13">
        <f t="shared" si="0"/>
        <v>0.34662844571847606</v>
      </c>
      <c r="D20" s="2">
        <v>18540299</v>
      </c>
      <c r="E20" s="1" t="s">
        <v>423</v>
      </c>
      <c r="F20" s="18"/>
      <c r="G20" s="18"/>
      <c r="H20" s="18"/>
      <c r="I20" t="s">
        <v>515</v>
      </c>
      <c r="J20" t="s">
        <v>24</v>
      </c>
      <c r="K20">
        <v>300.01</v>
      </c>
      <c r="L20">
        <f>2*51.996</f>
        <v>103.992</v>
      </c>
      <c r="M20" t="s">
        <v>25</v>
      </c>
      <c r="N20" t="s">
        <v>274</v>
      </c>
      <c r="O20" s="13">
        <v>0.3467</v>
      </c>
      <c r="P20" s="17">
        <f t="shared" si="1"/>
        <v>1.0002064293407185</v>
      </c>
    </row>
    <row r="21" spans="1:16" ht="15">
      <c r="A21" s="3">
        <v>7778509</v>
      </c>
      <c r="B21" t="s">
        <v>493</v>
      </c>
      <c r="C21" s="13">
        <f>L21/K21</f>
        <v>0.3510871033085753</v>
      </c>
      <c r="D21" s="2">
        <v>18540299</v>
      </c>
      <c r="E21" s="1" t="s">
        <v>423</v>
      </c>
      <c r="F21" s="18"/>
      <c r="G21" s="18"/>
      <c r="H21" s="18"/>
      <c r="I21" t="s">
        <v>493</v>
      </c>
      <c r="J21" t="s">
        <v>26</v>
      </c>
      <c r="K21">
        <v>296.2</v>
      </c>
      <c r="L21">
        <f>2*51.996</f>
        <v>103.992</v>
      </c>
      <c r="M21" t="s">
        <v>27</v>
      </c>
      <c r="N21" t="s">
        <v>274</v>
      </c>
      <c r="O21" s="13">
        <v>0.3535</v>
      </c>
      <c r="P21" s="17">
        <f aca="true" t="shared" si="2" ref="P21:P34">O21/C21</f>
        <v>1.0068726440495421</v>
      </c>
    </row>
    <row r="22" spans="1:16" ht="15">
      <c r="A22" s="3">
        <v>7789062</v>
      </c>
      <c r="B22" t="s">
        <v>512</v>
      </c>
      <c r="C22" s="13">
        <f>L22/K22</f>
        <v>0.2528619364878666</v>
      </c>
      <c r="D22" s="2">
        <v>18540299</v>
      </c>
      <c r="E22" s="1" t="s">
        <v>423</v>
      </c>
      <c r="F22" s="18"/>
      <c r="G22" s="18"/>
      <c r="H22" s="18"/>
      <c r="I22" t="s">
        <v>512</v>
      </c>
      <c r="J22" t="s">
        <v>28</v>
      </c>
      <c r="K22">
        <v>205.63</v>
      </c>
      <c r="L22">
        <v>51.996</v>
      </c>
      <c r="M22" t="s">
        <v>29</v>
      </c>
      <c r="N22" t="s">
        <v>274</v>
      </c>
      <c r="O22" s="13">
        <v>0.2554</v>
      </c>
      <c r="P22" s="17">
        <f t="shared" si="2"/>
        <v>1.0100373490268482</v>
      </c>
    </row>
    <row r="23" spans="1:16" ht="15">
      <c r="A23" s="3">
        <v>14307358</v>
      </c>
      <c r="B23" t="s">
        <v>409</v>
      </c>
      <c r="C23" s="13">
        <f>L23/K23</f>
        <v>0.39423762226097514</v>
      </c>
      <c r="D23" s="2">
        <v>18540299</v>
      </c>
      <c r="E23" s="1" t="s">
        <v>423</v>
      </c>
      <c r="F23" s="18"/>
      <c r="G23" s="18"/>
      <c r="H23" s="18"/>
      <c r="I23" t="s">
        <v>409</v>
      </c>
      <c r="J23" t="s">
        <v>30</v>
      </c>
      <c r="K23">
        <v>131.89</v>
      </c>
      <c r="L23">
        <v>51.996</v>
      </c>
      <c r="M23" t="s">
        <v>31</v>
      </c>
      <c r="N23" t="s">
        <v>274</v>
      </c>
      <c r="O23" s="13">
        <v>0.4003</v>
      </c>
      <c r="P23" s="17">
        <f t="shared" si="2"/>
        <v>1.0153774713439492</v>
      </c>
    </row>
    <row r="24" spans="1:16" ht="15">
      <c r="A24" s="3">
        <v>11103869</v>
      </c>
      <c r="B24" t="s">
        <v>324</v>
      </c>
      <c r="C24" s="13">
        <f>L24/K24</f>
        <v>0.21893974483136133</v>
      </c>
      <c r="D24" s="2">
        <v>18540299</v>
      </c>
      <c r="E24" s="1" t="s">
        <v>423</v>
      </c>
      <c r="F24" s="18"/>
      <c r="G24" s="18"/>
      <c r="H24" s="18"/>
      <c r="I24" t="s">
        <v>325</v>
      </c>
      <c r="J24" t="s">
        <v>32</v>
      </c>
      <c r="K24">
        <v>237.49</v>
      </c>
      <c r="L24">
        <v>51.996</v>
      </c>
      <c r="M24" t="s">
        <v>33</v>
      </c>
      <c r="N24" t="s">
        <v>274</v>
      </c>
      <c r="O24" s="13">
        <v>0.218</v>
      </c>
      <c r="P24" s="17">
        <f t="shared" si="2"/>
        <v>0.9957077467497499</v>
      </c>
    </row>
    <row r="25" spans="1:16" ht="15">
      <c r="A25" s="3">
        <v>50922297</v>
      </c>
      <c r="B25" t="s">
        <v>447</v>
      </c>
      <c r="C25" s="13">
        <f aca="true" t="shared" si="3" ref="C25:C34">L25/K25</f>
        <v>0.3898177761584101</v>
      </c>
      <c r="D25">
        <v>16065831</v>
      </c>
      <c r="E25" t="s">
        <v>417</v>
      </c>
      <c r="I25" t="s">
        <v>448</v>
      </c>
      <c r="J25" t="s">
        <v>34</v>
      </c>
      <c r="K25">
        <f>51.996+15.9994+65.39</f>
        <v>133.3854</v>
      </c>
      <c r="L25">
        <v>51.996</v>
      </c>
      <c r="M25" t="s">
        <v>35</v>
      </c>
      <c r="N25" t="s">
        <v>277</v>
      </c>
      <c r="O25" s="13">
        <v>0.2803</v>
      </c>
      <c r="P25" s="17">
        <f t="shared" si="2"/>
        <v>0.7190539199169167</v>
      </c>
    </row>
    <row r="26" spans="1:16" ht="15">
      <c r="A26" s="3">
        <v>1308141</v>
      </c>
      <c r="B26" t="s">
        <v>353</v>
      </c>
      <c r="C26" s="13">
        <f t="shared" si="3"/>
        <v>0.5047175305765871</v>
      </c>
      <c r="D26">
        <v>16065831</v>
      </c>
      <c r="E26" t="s">
        <v>417</v>
      </c>
      <c r="I26" t="s">
        <v>37</v>
      </c>
      <c r="J26" t="s">
        <v>36</v>
      </c>
      <c r="K26">
        <v>103.02</v>
      </c>
      <c r="L26">
        <v>51.996</v>
      </c>
      <c r="M26" t="s">
        <v>38</v>
      </c>
      <c r="N26" t="s">
        <v>277</v>
      </c>
      <c r="O26" s="13">
        <v>0.5048</v>
      </c>
      <c r="P26" s="17">
        <f t="shared" si="2"/>
        <v>1.0001633971843988</v>
      </c>
    </row>
    <row r="27" spans="1:16" ht="15">
      <c r="A27" s="3">
        <v>10025737</v>
      </c>
      <c r="B27" t="s">
        <v>297</v>
      </c>
      <c r="C27" s="13">
        <f t="shared" si="3"/>
        <v>0.3283612251341964</v>
      </c>
      <c r="D27">
        <v>16065831</v>
      </c>
      <c r="E27" t="s">
        <v>417</v>
      </c>
      <c r="I27" t="s">
        <v>297</v>
      </c>
      <c r="J27" t="s">
        <v>39</v>
      </c>
      <c r="K27">
        <v>158.35</v>
      </c>
      <c r="L27">
        <v>51.996</v>
      </c>
      <c r="M27" t="s">
        <v>40</v>
      </c>
      <c r="N27" t="s">
        <v>277</v>
      </c>
      <c r="O27" s="13">
        <v>0.3284</v>
      </c>
      <c r="P27" s="17">
        <f t="shared" si="2"/>
        <v>1.000118086006616</v>
      </c>
    </row>
    <row r="28" spans="1:16" ht="15">
      <c r="A28" s="3">
        <v>21679312</v>
      </c>
      <c r="B28" t="s">
        <v>430</v>
      </c>
      <c r="C28" s="13">
        <f t="shared" si="3"/>
        <v>0.14884919271727928</v>
      </c>
      <c r="D28">
        <v>16065831</v>
      </c>
      <c r="E28" t="s">
        <v>417</v>
      </c>
      <c r="I28" t="s">
        <v>430</v>
      </c>
      <c r="J28" t="s">
        <v>41</v>
      </c>
      <c r="K28">
        <v>349.32</v>
      </c>
      <c r="L28">
        <v>51.996</v>
      </c>
      <c r="M28" t="s">
        <v>42</v>
      </c>
      <c r="N28" t="s">
        <v>277</v>
      </c>
      <c r="O28" s="13">
        <v>0.1489</v>
      </c>
      <c r="P28" s="17">
        <f t="shared" si="2"/>
        <v>1.0003413339487652</v>
      </c>
    </row>
    <row r="29" spans="1:16" ht="15">
      <c r="A29" s="3">
        <v>1308389</v>
      </c>
      <c r="B29" t="s">
        <v>354</v>
      </c>
      <c r="C29" s="13">
        <f t="shared" si="3"/>
        <v>0.6842029080860583</v>
      </c>
      <c r="D29">
        <v>16065831</v>
      </c>
      <c r="E29" t="s">
        <v>417</v>
      </c>
      <c r="I29" t="s">
        <v>355</v>
      </c>
      <c r="J29" t="s">
        <v>44</v>
      </c>
      <c r="K29">
        <v>151.99</v>
      </c>
      <c r="L29">
        <f>2*51.996</f>
        <v>103.992</v>
      </c>
      <c r="M29" t="s">
        <v>43</v>
      </c>
      <c r="N29" t="s">
        <v>277</v>
      </c>
      <c r="O29" s="13">
        <v>0.6842</v>
      </c>
      <c r="P29" s="17">
        <f t="shared" si="2"/>
        <v>0.9999957496730518</v>
      </c>
    </row>
    <row r="30" spans="1:16" ht="15">
      <c r="A30" s="3">
        <v>10060125</v>
      </c>
      <c r="B30" t="s">
        <v>304</v>
      </c>
      <c r="C30" s="13">
        <f t="shared" si="3"/>
        <v>0.19514355413773693</v>
      </c>
      <c r="D30">
        <v>16065831</v>
      </c>
      <c r="E30" t="s">
        <v>417</v>
      </c>
      <c r="I30" t="s">
        <v>46</v>
      </c>
      <c r="J30" t="s">
        <v>45</v>
      </c>
      <c r="K30">
        <v>266.45</v>
      </c>
      <c r="L30">
        <v>51.996</v>
      </c>
      <c r="M30" t="s">
        <v>47</v>
      </c>
      <c r="N30" t="s">
        <v>277</v>
      </c>
      <c r="O30" s="13">
        <v>0.3283</v>
      </c>
      <c r="P30" s="17">
        <f t="shared" si="2"/>
        <v>1.6823512385568118</v>
      </c>
    </row>
    <row r="31" spans="1:16" ht="15">
      <c r="A31" s="3">
        <v>10049055</v>
      </c>
      <c r="B31" t="s">
        <v>303</v>
      </c>
      <c r="C31" s="13">
        <f t="shared" si="3"/>
        <v>0.4230756712774614</v>
      </c>
      <c r="D31">
        <v>16065831</v>
      </c>
      <c r="E31" t="s">
        <v>417</v>
      </c>
      <c r="I31" t="s">
        <v>303</v>
      </c>
      <c r="J31" t="s">
        <v>48</v>
      </c>
      <c r="K31">
        <v>122.9</v>
      </c>
      <c r="L31">
        <v>51.996</v>
      </c>
      <c r="M31" t="s">
        <v>49</v>
      </c>
      <c r="N31" t="s">
        <v>277</v>
      </c>
      <c r="O31" s="13">
        <v>0.4231</v>
      </c>
      <c r="P31" s="17">
        <f t="shared" si="2"/>
        <v>1.000057504423417</v>
      </c>
    </row>
    <row r="32" spans="1:16" ht="15">
      <c r="A32" s="3">
        <v>10101538</v>
      </c>
      <c r="B32" t="s">
        <v>309</v>
      </c>
      <c r="C32" s="13">
        <f t="shared" si="3"/>
        <v>0.26112896745680997</v>
      </c>
      <c r="D32">
        <v>16065831</v>
      </c>
      <c r="E32" t="s">
        <v>417</v>
      </c>
      <c r="I32" t="s">
        <v>310</v>
      </c>
      <c r="J32" t="s">
        <v>50</v>
      </c>
      <c r="K32">
        <v>199.12</v>
      </c>
      <c r="L32">
        <v>51.996</v>
      </c>
      <c r="M32" t="s">
        <v>51</v>
      </c>
      <c r="N32" t="s">
        <v>277</v>
      </c>
      <c r="O32" s="13">
        <v>0.2611</v>
      </c>
      <c r="P32" s="17">
        <f t="shared" si="2"/>
        <v>0.9998890683898761</v>
      </c>
    </row>
    <row r="33" spans="1:16" ht="15">
      <c r="A33" s="3">
        <v>12018018</v>
      </c>
      <c r="B33" t="s">
        <v>326</v>
      </c>
      <c r="C33" s="13">
        <f t="shared" si="3"/>
        <v>0.6190736992499107</v>
      </c>
      <c r="D33">
        <v>16065831</v>
      </c>
      <c r="E33" t="s">
        <v>417</v>
      </c>
      <c r="I33" t="s">
        <v>327</v>
      </c>
      <c r="J33" t="s">
        <v>327</v>
      </c>
      <c r="K33">
        <v>83.99</v>
      </c>
      <c r="L33">
        <v>51.996</v>
      </c>
      <c r="M33" t="s">
        <v>52</v>
      </c>
      <c r="N33" t="s">
        <v>277</v>
      </c>
      <c r="O33" s="13">
        <v>0.619</v>
      </c>
      <c r="P33" s="17">
        <f t="shared" si="2"/>
        <v>0.9998809523809523</v>
      </c>
    </row>
    <row r="34" spans="1:16" ht="15">
      <c r="A34" s="3">
        <v>12018198</v>
      </c>
      <c r="B34" t="s">
        <v>328</v>
      </c>
      <c r="C34" s="13">
        <f t="shared" si="3"/>
        <v>0.3898177761584101</v>
      </c>
      <c r="D34">
        <v>16065831</v>
      </c>
      <c r="E34" t="s">
        <v>417</v>
      </c>
      <c r="I34" t="s">
        <v>329</v>
      </c>
      <c r="J34" t="s">
        <v>329</v>
      </c>
      <c r="K34">
        <f>51.996+15.9994+65.39</f>
        <v>133.3854</v>
      </c>
      <c r="L34">
        <v>51.996</v>
      </c>
      <c r="M34" t="s">
        <v>35</v>
      </c>
      <c r="N34" t="s">
        <v>277</v>
      </c>
      <c r="O34" s="13">
        <v>0.3899</v>
      </c>
      <c r="P34" s="17">
        <f t="shared" si="2"/>
        <v>1.000210928917609</v>
      </c>
    </row>
    <row r="35" spans="1:5" ht="15">
      <c r="A35" s="3">
        <v>136</v>
      </c>
      <c r="B35" t="s">
        <v>393</v>
      </c>
      <c r="C35" s="13">
        <v>1</v>
      </c>
      <c r="D35" s="3">
        <v>7440473</v>
      </c>
      <c r="E35" t="s">
        <v>275</v>
      </c>
    </row>
    <row r="36" spans="1:16" ht="15">
      <c r="A36" s="3">
        <v>1271289</v>
      </c>
      <c r="B36" t="s">
        <v>342</v>
      </c>
      <c r="C36" s="13">
        <f aca="true" t="shared" si="4" ref="C36:C43">L36/K36</f>
        <v>0.31074438797119863</v>
      </c>
      <c r="D36">
        <v>7440020</v>
      </c>
      <c r="E36" t="s">
        <v>470</v>
      </c>
      <c r="I36" t="s">
        <v>342</v>
      </c>
      <c r="J36" t="s">
        <v>342</v>
      </c>
      <c r="K36">
        <v>188.88</v>
      </c>
      <c r="L36">
        <v>58.6934</v>
      </c>
      <c r="M36" t="s">
        <v>53</v>
      </c>
      <c r="N36" t="s">
        <v>278</v>
      </c>
      <c r="O36" s="13">
        <v>0.3108</v>
      </c>
      <c r="P36" s="17">
        <f aca="true" t="shared" si="5" ref="P36:P51">O36/C36</f>
        <v>1.0001789639039484</v>
      </c>
    </row>
    <row r="37" spans="1:16" ht="15">
      <c r="A37" s="3">
        <v>3333673</v>
      </c>
      <c r="B37" t="s">
        <v>441</v>
      </c>
      <c r="C37" s="13">
        <f t="shared" si="4"/>
        <v>0.48619449966865474</v>
      </c>
      <c r="D37">
        <v>7440020</v>
      </c>
      <c r="E37" t="s">
        <v>470</v>
      </c>
      <c r="I37" t="s">
        <v>441</v>
      </c>
      <c r="J37" t="s">
        <v>442</v>
      </c>
      <c r="K37">
        <v>120.72</v>
      </c>
      <c r="L37">
        <v>58.6934</v>
      </c>
      <c r="M37" t="s">
        <v>54</v>
      </c>
      <c r="N37" t="s">
        <v>278</v>
      </c>
      <c r="O37" s="13">
        <v>0.4862</v>
      </c>
      <c r="P37" s="17">
        <f t="shared" si="5"/>
        <v>1.0000113130266777</v>
      </c>
    </row>
    <row r="38" spans="1:16" ht="15">
      <c r="A38" s="3">
        <v>373024</v>
      </c>
      <c r="B38" t="s">
        <v>444</v>
      </c>
      <c r="C38" s="13">
        <f t="shared" si="4"/>
        <v>0.3282628635346756</v>
      </c>
      <c r="D38">
        <v>7440020</v>
      </c>
      <c r="E38" t="s">
        <v>470</v>
      </c>
      <c r="I38" t="s">
        <v>445</v>
      </c>
      <c r="J38" t="s">
        <v>55</v>
      </c>
      <c r="K38">
        <v>89.4</v>
      </c>
      <c r="L38">
        <f>58.6934/2</f>
        <v>29.3467</v>
      </c>
      <c r="M38" t="s">
        <v>56</v>
      </c>
      <c r="N38" t="s">
        <v>278</v>
      </c>
      <c r="O38" s="13">
        <v>0.3321</v>
      </c>
      <c r="P38" s="17">
        <f t="shared" si="5"/>
        <v>1.0116892188900286</v>
      </c>
    </row>
    <row r="39" spans="1:16" ht="15">
      <c r="A39" s="3">
        <v>12710360</v>
      </c>
      <c r="B39" t="s">
        <v>341</v>
      </c>
      <c r="C39" s="13">
        <f t="shared" si="4"/>
        <v>0.936137702679856</v>
      </c>
      <c r="D39">
        <v>7440020</v>
      </c>
      <c r="E39" t="s">
        <v>470</v>
      </c>
      <c r="I39" t="s">
        <v>341</v>
      </c>
      <c r="J39" t="s">
        <v>341</v>
      </c>
      <c r="K39">
        <f>58.6974*3+12</f>
        <v>188.0922</v>
      </c>
      <c r="L39">
        <f>58.6934*3</f>
        <v>176.0802</v>
      </c>
      <c r="M39" t="s">
        <v>60</v>
      </c>
      <c r="N39" t="s">
        <v>278</v>
      </c>
      <c r="O39" s="13">
        <v>0.9362</v>
      </c>
      <c r="P39" s="17">
        <f t="shared" si="5"/>
        <v>1.000066547175662</v>
      </c>
    </row>
    <row r="40" spans="1:16" ht="15">
      <c r="A40" s="3">
        <v>12054487</v>
      </c>
      <c r="B40" t="s">
        <v>331</v>
      </c>
      <c r="C40" s="13">
        <f t="shared" si="4"/>
        <v>0.6330859669938518</v>
      </c>
      <c r="D40">
        <v>7440020</v>
      </c>
      <c r="E40" t="s">
        <v>470</v>
      </c>
      <c r="I40" t="s">
        <v>332</v>
      </c>
      <c r="J40" t="s">
        <v>332</v>
      </c>
      <c r="K40">
        <v>92.71</v>
      </c>
      <c r="L40">
        <v>58.6934</v>
      </c>
      <c r="M40" t="s">
        <v>57</v>
      </c>
      <c r="N40" t="s">
        <v>278</v>
      </c>
      <c r="O40" s="13">
        <v>0.6333</v>
      </c>
      <c r="P40" s="17">
        <f t="shared" si="5"/>
        <v>1.0003380788981384</v>
      </c>
    </row>
    <row r="41" spans="1:16" ht="15">
      <c r="A41" s="3">
        <v>7786814</v>
      </c>
      <c r="B41" t="s">
        <v>505</v>
      </c>
      <c r="C41" s="13">
        <f t="shared" si="4"/>
        <v>0.3743917841423741</v>
      </c>
      <c r="D41">
        <v>7440020</v>
      </c>
      <c r="E41" t="s">
        <v>470</v>
      </c>
      <c r="I41" t="s">
        <v>505</v>
      </c>
      <c r="J41" t="s">
        <v>58</v>
      </c>
      <c r="K41">
        <v>156.77</v>
      </c>
      <c r="L41">
        <v>58.6934</v>
      </c>
      <c r="M41" t="s">
        <v>59</v>
      </c>
      <c r="N41" t="s">
        <v>278</v>
      </c>
      <c r="O41" s="13">
        <v>0.3794</v>
      </c>
      <c r="P41" s="17">
        <f t="shared" si="5"/>
        <v>1.0133769384632687</v>
      </c>
    </row>
    <row r="42" spans="1:16" ht="15">
      <c r="A42" s="3">
        <v>7718549</v>
      </c>
      <c r="B42" t="s">
        <v>485</v>
      </c>
      <c r="C42" s="13">
        <f t="shared" si="4"/>
        <v>0.4528811728395062</v>
      </c>
      <c r="D42">
        <v>7440020</v>
      </c>
      <c r="E42" t="s">
        <v>470</v>
      </c>
      <c r="I42" t="s">
        <v>486</v>
      </c>
      <c r="J42" t="s">
        <v>61</v>
      </c>
      <c r="K42">
        <v>129.6</v>
      </c>
      <c r="L42">
        <v>58.6934</v>
      </c>
      <c r="M42" t="s">
        <v>62</v>
      </c>
      <c r="N42" t="s">
        <v>278</v>
      </c>
      <c r="O42" s="13">
        <v>0.453</v>
      </c>
      <c r="P42" s="17">
        <f t="shared" si="5"/>
        <v>1.0002623804380049</v>
      </c>
    </row>
    <row r="43" spans="1:16" ht="15">
      <c r="A43" s="3">
        <v>13138459</v>
      </c>
      <c r="B43" t="s">
        <v>359</v>
      </c>
      <c r="C43" s="13">
        <f t="shared" si="4"/>
        <v>0.3177425292334344</v>
      </c>
      <c r="D43">
        <v>7440020</v>
      </c>
      <c r="E43" t="s">
        <v>470</v>
      </c>
      <c r="I43" t="s">
        <v>360</v>
      </c>
      <c r="J43" t="s">
        <v>63</v>
      </c>
      <c r="K43">
        <v>92.36</v>
      </c>
      <c r="L43">
        <f>58.6934/2</f>
        <v>29.3467</v>
      </c>
      <c r="M43" t="s">
        <v>64</v>
      </c>
      <c r="N43" t="s">
        <v>278</v>
      </c>
      <c r="O43" s="13">
        <v>0.3213</v>
      </c>
      <c r="P43" s="17">
        <f t="shared" si="5"/>
        <v>1.0111960799681055</v>
      </c>
    </row>
    <row r="44" spans="1:16" ht="15">
      <c r="A44" s="3">
        <v>14336700</v>
      </c>
      <c r="B44" t="s">
        <v>411</v>
      </c>
      <c r="C44" s="13">
        <v>1</v>
      </c>
      <c r="D44">
        <v>7440020</v>
      </c>
      <c r="E44" t="s">
        <v>470</v>
      </c>
      <c r="I44" t="s">
        <v>412</v>
      </c>
      <c r="J44" t="s">
        <v>65</v>
      </c>
      <c r="K44" t="s">
        <v>534</v>
      </c>
      <c r="L44">
        <v>58.6934</v>
      </c>
      <c r="M44" t="s">
        <v>273</v>
      </c>
      <c r="N44" t="s">
        <v>278</v>
      </c>
      <c r="O44" s="13">
        <v>1</v>
      </c>
      <c r="P44" s="17">
        <f t="shared" si="5"/>
        <v>1</v>
      </c>
    </row>
    <row r="45" spans="1:16" ht="15">
      <c r="A45" s="3">
        <v>13770893</v>
      </c>
      <c r="B45" t="s">
        <v>396</v>
      </c>
      <c r="C45" s="13">
        <f aca="true" t="shared" si="6" ref="C45:C51">L45/K45</f>
        <v>0.23397807454654176</v>
      </c>
      <c r="D45">
        <v>7440020</v>
      </c>
      <c r="E45" t="s">
        <v>470</v>
      </c>
      <c r="I45" t="s">
        <v>397</v>
      </c>
      <c r="J45" t="s">
        <v>397</v>
      </c>
      <c r="K45">
        <v>250.85</v>
      </c>
      <c r="L45">
        <f>58.6934</f>
        <v>58.6934</v>
      </c>
      <c r="M45" t="s">
        <v>66</v>
      </c>
      <c r="N45" t="s">
        <v>278</v>
      </c>
      <c r="O45" s="13">
        <v>0.234</v>
      </c>
      <c r="P45" s="17">
        <f t="shared" si="5"/>
        <v>1.0000937072992875</v>
      </c>
    </row>
    <row r="46" spans="1:16" ht="15">
      <c r="A46" s="3">
        <v>10101970</v>
      </c>
      <c r="B46" t="s">
        <v>311</v>
      </c>
      <c r="C46" s="13">
        <f t="shared" si="6"/>
        <v>0.2216016008457298</v>
      </c>
      <c r="D46">
        <v>7440020</v>
      </c>
      <c r="E46" t="s">
        <v>470</v>
      </c>
      <c r="I46" t="s">
        <v>312</v>
      </c>
      <c r="J46" t="s">
        <v>67</v>
      </c>
      <c r="K46">
        <v>264.86</v>
      </c>
      <c r="L46">
        <v>58.6934</v>
      </c>
      <c r="M46" t="s">
        <v>68</v>
      </c>
      <c r="N46" t="s">
        <v>278</v>
      </c>
      <c r="O46" s="13">
        <v>0.2234</v>
      </c>
      <c r="P46" s="17">
        <f t="shared" si="5"/>
        <v>1.0081154610228749</v>
      </c>
    </row>
    <row r="47" spans="1:16" ht="15">
      <c r="A47" s="3">
        <v>6018899</v>
      </c>
      <c r="B47" t="s">
        <v>456</v>
      </c>
      <c r="C47" s="13">
        <f t="shared" si="6"/>
        <v>0.23586802764828804</v>
      </c>
      <c r="D47">
        <v>7440020</v>
      </c>
      <c r="E47" t="s">
        <v>470</v>
      </c>
      <c r="I47" t="s">
        <v>457</v>
      </c>
      <c r="J47" t="s">
        <v>69</v>
      </c>
      <c r="K47">
        <v>248.84</v>
      </c>
      <c r="L47">
        <v>58.6934</v>
      </c>
      <c r="M47" t="s">
        <v>70</v>
      </c>
      <c r="N47" t="s">
        <v>278</v>
      </c>
      <c r="O47" s="13">
        <v>0.2359</v>
      </c>
      <c r="P47" s="17">
        <f t="shared" si="5"/>
        <v>1.000135551867842</v>
      </c>
    </row>
    <row r="48" spans="1:16" ht="15">
      <c r="A48" s="3">
        <v>1314063</v>
      </c>
      <c r="B48" t="s">
        <v>362</v>
      </c>
      <c r="C48" s="13">
        <f t="shared" si="6"/>
        <v>0.709757542777677</v>
      </c>
      <c r="D48">
        <v>7440020</v>
      </c>
      <c r="E48" t="s">
        <v>470</v>
      </c>
      <c r="I48" t="s">
        <v>74</v>
      </c>
      <c r="J48" t="s">
        <v>73</v>
      </c>
      <c r="K48">
        <v>165.39</v>
      </c>
      <c r="L48">
        <f>58.6934*2</f>
        <v>117.3868</v>
      </c>
      <c r="M48" t="s">
        <v>72</v>
      </c>
      <c r="N48" t="s">
        <v>278</v>
      </c>
      <c r="O48" s="13">
        <v>0.786</v>
      </c>
      <c r="P48" s="17">
        <f t="shared" si="5"/>
        <v>1.1074204254652142</v>
      </c>
    </row>
    <row r="49" spans="1:16" ht="15">
      <c r="A49" s="3">
        <v>13462889</v>
      </c>
      <c r="B49" t="s">
        <v>384</v>
      </c>
      <c r="C49" s="13">
        <f t="shared" si="6"/>
        <v>0.26861967963386724</v>
      </c>
      <c r="D49">
        <v>7440020</v>
      </c>
      <c r="E49" t="s">
        <v>470</v>
      </c>
      <c r="I49" t="s">
        <v>385</v>
      </c>
      <c r="J49" t="s">
        <v>77</v>
      </c>
      <c r="K49">
        <v>218.5</v>
      </c>
      <c r="L49">
        <v>58.6934</v>
      </c>
      <c r="M49" t="s">
        <v>78</v>
      </c>
      <c r="N49" t="s">
        <v>278</v>
      </c>
      <c r="O49" s="13">
        <v>0.2687</v>
      </c>
      <c r="P49" s="17">
        <f t="shared" si="5"/>
        <v>1.0002990114731811</v>
      </c>
    </row>
    <row r="50" spans="1:16" ht="15">
      <c r="A50" s="3">
        <v>13463393</v>
      </c>
      <c r="B50" t="s">
        <v>386</v>
      </c>
      <c r="C50" s="13">
        <f t="shared" si="6"/>
        <v>0.3437589317090312</v>
      </c>
      <c r="D50">
        <v>7440020</v>
      </c>
      <c r="E50" t="s">
        <v>470</v>
      </c>
      <c r="I50" t="s">
        <v>386</v>
      </c>
      <c r="J50" t="s">
        <v>79</v>
      </c>
      <c r="K50">
        <v>170.74</v>
      </c>
      <c r="L50">
        <v>58.6934</v>
      </c>
      <c r="M50" t="s">
        <v>80</v>
      </c>
      <c r="N50" t="s">
        <v>278</v>
      </c>
      <c r="O50" s="13">
        <v>0.3439</v>
      </c>
      <c r="P50" s="17">
        <f t="shared" si="5"/>
        <v>1.000410369820116</v>
      </c>
    </row>
    <row r="51" spans="1:16" ht="15">
      <c r="A51" s="3">
        <v>14220178</v>
      </c>
      <c r="B51" t="s">
        <v>406</v>
      </c>
      <c r="C51" s="13">
        <f t="shared" si="6"/>
        <v>0.24358150730411685</v>
      </c>
      <c r="D51">
        <v>7440020</v>
      </c>
      <c r="E51" t="s">
        <v>470</v>
      </c>
      <c r="I51" t="s">
        <v>407</v>
      </c>
      <c r="J51" t="s">
        <v>81</v>
      </c>
      <c r="K51">
        <v>240.96</v>
      </c>
      <c r="L51">
        <v>58.6934</v>
      </c>
      <c r="M51" t="s">
        <v>82</v>
      </c>
      <c r="N51" t="s">
        <v>278</v>
      </c>
      <c r="O51" s="13">
        <v>0.2436</v>
      </c>
      <c r="P51" s="17">
        <f t="shared" si="5"/>
        <v>1.0000759199501137</v>
      </c>
    </row>
    <row r="52" spans="1:16" ht="15">
      <c r="A52" s="3">
        <v>226</v>
      </c>
      <c r="B52" t="s">
        <v>432</v>
      </c>
      <c r="C52" s="13">
        <v>1</v>
      </c>
      <c r="D52">
        <v>7440020</v>
      </c>
      <c r="E52" t="s">
        <v>470</v>
      </c>
      <c r="K52" t="s">
        <v>534</v>
      </c>
      <c r="P52" s="17" t="s">
        <v>534</v>
      </c>
    </row>
    <row r="53" spans="1:16" ht="15">
      <c r="A53" s="3">
        <v>7787475</v>
      </c>
      <c r="B53" t="s">
        <v>506</v>
      </c>
      <c r="C53" s="13">
        <f>L53/K53</f>
        <v>0.11276504004004002</v>
      </c>
      <c r="D53">
        <v>7440417</v>
      </c>
      <c r="E53" t="s">
        <v>473</v>
      </c>
      <c r="I53" t="s">
        <v>506</v>
      </c>
      <c r="J53" t="s">
        <v>83</v>
      </c>
      <c r="K53">
        <v>79.92</v>
      </c>
      <c r="L53">
        <v>9.012182</v>
      </c>
      <c r="M53" t="s">
        <v>84</v>
      </c>
      <c r="N53" t="s">
        <v>280</v>
      </c>
      <c r="O53" s="13">
        <v>0.1127</v>
      </c>
      <c r="P53" s="17">
        <f aca="true" t="shared" si="7" ref="P53:P58">O53/C53</f>
        <v>0.9994232251412589</v>
      </c>
    </row>
    <row r="54" spans="1:16" ht="15">
      <c r="A54" s="3">
        <v>7787497</v>
      </c>
      <c r="B54" t="s">
        <v>507</v>
      </c>
      <c r="C54" s="13">
        <f>L54/K54</f>
        <v>0.1917077643054669</v>
      </c>
      <c r="D54">
        <v>7440417</v>
      </c>
      <c r="E54" t="s">
        <v>473</v>
      </c>
      <c r="I54" t="s">
        <v>508</v>
      </c>
      <c r="J54" t="s">
        <v>85</v>
      </c>
      <c r="K54">
        <v>47.01</v>
      </c>
      <c r="L54">
        <v>9.012182</v>
      </c>
      <c r="M54" t="s">
        <v>86</v>
      </c>
      <c r="N54" t="s">
        <v>280</v>
      </c>
      <c r="O54" s="13">
        <v>0.1917</v>
      </c>
      <c r="P54" s="17">
        <f t="shared" si="7"/>
        <v>0.9999594992644402</v>
      </c>
    </row>
    <row r="55" spans="1:16" ht="15">
      <c r="A55" s="3">
        <v>13597994</v>
      </c>
      <c r="B55" t="s">
        <v>391</v>
      </c>
      <c r="C55" s="13">
        <f>L55/K55</f>
        <v>0.06673712973933649</v>
      </c>
      <c r="D55">
        <v>7440417</v>
      </c>
      <c r="E55" t="s">
        <v>473</v>
      </c>
      <c r="I55" t="s">
        <v>392</v>
      </c>
      <c r="J55" t="s">
        <v>87</v>
      </c>
      <c r="K55">
        <v>135.04</v>
      </c>
      <c r="L55">
        <v>9.012182</v>
      </c>
      <c r="M55" t="s">
        <v>88</v>
      </c>
      <c r="N55" t="s">
        <v>280</v>
      </c>
      <c r="O55" s="13">
        <v>0.0667</v>
      </c>
      <c r="P55" s="17">
        <f t="shared" si="7"/>
        <v>0.9994436419504178</v>
      </c>
    </row>
    <row r="56" spans="1:16" ht="15">
      <c r="A56" s="3">
        <v>13510491</v>
      </c>
      <c r="B56" t="s">
        <v>387</v>
      </c>
      <c r="C56" s="13">
        <f>L56/K56</f>
        <v>0.08415521523951815</v>
      </c>
      <c r="D56">
        <v>7440417</v>
      </c>
      <c r="E56" t="s">
        <v>473</v>
      </c>
      <c r="I56" t="s">
        <v>387</v>
      </c>
      <c r="J56" t="s">
        <v>89</v>
      </c>
      <c r="K56">
        <v>107.09</v>
      </c>
      <c r="L56">
        <v>9.012182</v>
      </c>
      <c r="M56" t="s">
        <v>90</v>
      </c>
      <c r="N56" t="s">
        <v>280</v>
      </c>
      <c r="O56" s="13">
        <v>0.0841</v>
      </c>
      <c r="P56" s="17">
        <f t="shared" si="7"/>
        <v>0.9993438880839292</v>
      </c>
    </row>
    <row r="57" spans="1:16" ht="15">
      <c r="A57" s="3">
        <v>109</v>
      </c>
      <c r="B57" t="s">
        <v>323</v>
      </c>
      <c r="C57" s="13">
        <v>1</v>
      </c>
      <c r="D57">
        <v>7440417</v>
      </c>
      <c r="E57" t="s">
        <v>473</v>
      </c>
      <c r="I57" t="s">
        <v>323</v>
      </c>
      <c r="K57" t="s">
        <v>534</v>
      </c>
      <c r="L57" t="s">
        <v>534</v>
      </c>
      <c r="M57" t="s">
        <v>534</v>
      </c>
      <c r="N57" t="s">
        <v>280</v>
      </c>
      <c r="O57" s="13">
        <v>1</v>
      </c>
      <c r="P57" s="17">
        <f t="shared" si="7"/>
        <v>1</v>
      </c>
    </row>
    <row r="58" spans="1:16" ht="15">
      <c r="A58" s="3">
        <v>1304569</v>
      </c>
      <c r="B58" t="s">
        <v>345</v>
      </c>
      <c r="C58" s="13">
        <f aca="true" t="shared" si="8" ref="C58:C63">L58/K58</f>
        <v>0.3603431427429028</v>
      </c>
      <c r="D58">
        <v>7440417</v>
      </c>
      <c r="E58" t="s">
        <v>473</v>
      </c>
      <c r="I58" t="s">
        <v>345</v>
      </c>
      <c r="J58" t="s">
        <v>91</v>
      </c>
      <c r="K58">
        <v>25.01</v>
      </c>
      <c r="L58">
        <v>9.012182</v>
      </c>
      <c r="M58" t="s">
        <v>92</v>
      </c>
      <c r="N58" t="s">
        <v>280</v>
      </c>
      <c r="O58" s="13">
        <v>0.3603</v>
      </c>
      <c r="P58" s="17">
        <f t="shared" si="7"/>
        <v>0.9998802731680299</v>
      </c>
    </row>
    <row r="59" spans="1:16" ht="15">
      <c r="A59" s="3">
        <v>10124364</v>
      </c>
      <c r="B59" t="s">
        <v>315</v>
      </c>
      <c r="C59" s="13">
        <f t="shared" si="8"/>
        <v>0.5340443726542828</v>
      </c>
      <c r="D59" s="2">
        <v>7440439</v>
      </c>
      <c r="E59" s="1" t="s">
        <v>474</v>
      </c>
      <c r="F59" s="18"/>
      <c r="G59" s="18"/>
      <c r="H59" s="18"/>
      <c r="I59" t="s">
        <v>315</v>
      </c>
      <c r="J59" t="s">
        <v>93</v>
      </c>
      <c r="K59">
        <v>210.49</v>
      </c>
      <c r="L59">
        <v>112.411</v>
      </c>
      <c r="M59" t="s">
        <v>94</v>
      </c>
      <c r="N59" t="s">
        <v>281</v>
      </c>
      <c r="O59" s="13">
        <v>0.534</v>
      </c>
      <c r="P59" s="17">
        <f aca="true" t="shared" si="9" ref="P59:P68">O59/C59</f>
        <v>0.9999169120459742</v>
      </c>
    </row>
    <row r="60" spans="1:16" ht="15">
      <c r="A60" s="3">
        <v>7789426</v>
      </c>
      <c r="B60" t="s">
        <v>516</v>
      </c>
      <c r="C60" s="13">
        <f t="shared" si="8"/>
        <v>0.41294173829990444</v>
      </c>
      <c r="D60" s="2">
        <v>7440439</v>
      </c>
      <c r="E60" s="1" t="s">
        <v>474</v>
      </c>
      <c r="F60" s="18"/>
      <c r="G60" s="18"/>
      <c r="H60" s="18"/>
      <c r="I60" t="s">
        <v>516</v>
      </c>
      <c r="J60" t="s">
        <v>95</v>
      </c>
      <c r="K60">
        <v>272.22</v>
      </c>
      <c r="L60">
        <v>112.411</v>
      </c>
      <c r="M60" t="s">
        <v>96</v>
      </c>
      <c r="N60" t="s">
        <v>281</v>
      </c>
      <c r="O60" s="13">
        <v>0.4129</v>
      </c>
      <c r="P60" s="17">
        <f t="shared" si="9"/>
        <v>0.9998989244824795</v>
      </c>
    </row>
    <row r="61" spans="1:16" ht="15">
      <c r="A61" s="3">
        <v>1306190</v>
      </c>
      <c r="B61" t="s">
        <v>346</v>
      </c>
      <c r="C61" s="13">
        <f t="shared" si="8"/>
        <v>0.875406899774161</v>
      </c>
      <c r="D61" s="2">
        <v>7440439</v>
      </c>
      <c r="E61" s="1" t="s">
        <v>474</v>
      </c>
      <c r="F61" s="18"/>
      <c r="G61" s="18"/>
      <c r="H61" s="18"/>
      <c r="I61" t="s">
        <v>346</v>
      </c>
      <c r="J61" t="s">
        <v>97</v>
      </c>
      <c r="K61">
        <v>128.41</v>
      </c>
      <c r="L61">
        <v>112.411</v>
      </c>
      <c r="M61" t="s">
        <v>98</v>
      </c>
      <c r="N61" t="s">
        <v>281</v>
      </c>
      <c r="O61" s="13">
        <v>0.8753</v>
      </c>
      <c r="P61" s="17">
        <f t="shared" si="9"/>
        <v>0.9998778856161762</v>
      </c>
    </row>
    <row r="62" spans="1:16" ht="15">
      <c r="A62" s="3">
        <v>7790809</v>
      </c>
      <c r="B62" t="s">
        <v>517</v>
      </c>
      <c r="C62" s="13">
        <f t="shared" si="8"/>
        <v>0.3069493746928076</v>
      </c>
      <c r="D62" s="2">
        <v>7440439</v>
      </c>
      <c r="E62" s="1" t="s">
        <v>474</v>
      </c>
      <c r="F62" s="18"/>
      <c r="G62" s="18"/>
      <c r="H62" s="18"/>
      <c r="I62" t="s">
        <v>517</v>
      </c>
      <c r="J62" t="s">
        <v>99</v>
      </c>
      <c r="K62">
        <v>366.22</v>
      </c>
      <c r="L62">
        <v>112.411</v>
      </c>
      <c r="M62" t="s">
        <v>100</v>
      </c>
      <c r="N62" t="s">
        <v>281</v>
      </c>
      <c r="O62" s="13">
        <v>0.3069</v>
      </c>
      <c r="P62" s="17">
        <f t="shared" si="9"/>
        <v>0.9998391438560283</v>
      </c>
    </row>
    <row r="63" spans="1:16" ht="15">
      <c r="A63" s="3">
        <v>1306236</v>
      </c>
      <c r="B63" t="s">
        <v>347</v>
      </c>
      <c r="C63" s="13">
        <f t="shared" si="8"/>
        <v>0.7780384828349945</v>
      </c>
      <c r="D63" s="2">
        <v>7440439</v>
      </c>
      <c r="E63" s="1" t="s">
        <v>474</v>
      </c>
      <c r="F63" s="18"/>
      <c r="G63" s="18"/>
      <c r="H63" s="18"/>
      <c r="I63" t="s">
        <v>347</v>
      </c>
      <c r="J63" t="s">
        <v>101</v>
      </c>
      <c r="K63">
        <v>144.48</v>
      </c>
      <c r="L63">
        <v>112.411</v>
      </c>
      <c r="M63" t="s">
        <v>102</v>
      </c>
      <c r="N63" t="s">
        <v>281</v>
      </c>
      <c r="O63" s="13">
        <v>0.778</v>
      </c>
      <c r="P63" s="17">
        <f t="shared" si="9"/>
        <v>0.9999505386483528</v>
      </c>
    </row>
    <row r="64" spans="1:16" ht="15">
      <c r="A64" s="3">
        <v>125</v>
      </c>
      <c r="B64" t="s">
        <v>337</v>
      </c>
      <c r="C64" s="13">
        <v>1</v>
      </c>
      <c r="D64" s="2">
        <v>7440439</v>
      </c>
      <c r="E64" s="1" t="s">
        <v>474</v>
      </c>
      <c r="F64" s="18"/>
      <c r="G64" s="18"/>
      <c r="H64" s="18"/>
      <c r="I64" t="s">
        <v>337</v>
      </c>
      <c r="K64" t="s">
        <v>103</v>
      </c>
      <c r="L64" t="s">
        <v>534</v>
      </c>
      <c r="M64" t="s">
        <v>534</v>
      </c>
      <c r="N64" t="s">
        <v>281</v>
      </c>
      <c r="O64" s="13">
        <v>1</v>
      </c>
      <c r="P64" s="17">
        <f t="shared" si="9"/>
        <v>1</v>
      </c>
    </row>
    <row r="65" spans="1:16" ht="15">
      <c r="A65" s="3">
        <v>543908</v>
      </c>
      <c r="B65" t="s">
        <v>449</v>
      </c>
      <c r="C65" s="13">
        <f>L65/K65</f>
        <v>0.48344658523997935</v>
      </c>
      <c r="D65" s="2">
        <v>7440439</v>
      </c>
      <c r="E65" s="1" t="s">
        <v>474</v>
      </c>
      <c r="F65" s="18"/>
      <c r="G65" s="18"/>
      <c r="H65" s="18"/>
      <c r="I65" t="s">
        <v>449</v>
      </c>
      <c r="J65" t="s">
        <v>104</v>
      </c>
      <c r="K65">
        <v>116.26</v>
      </c>
      <c r="L65">
        <f>112.411*0.5</f>
        <v>56.2055</v>
      </c>
      <c r="M65" t="s">
        <v>105</v>
      </c>
      <c r="N65" t="s">
        <v>281</v>
      </c>
      <c r="O65" s="13">
        <v>0.4834</v>
      </c>
      <c r="P65" s="17">
        <f t="shared" si="9"/>
        <v>0.9999036393235538</v>
      </c>
    </row>
    <row r="66" spans="1:16" ht="15">
      <c r="A66" s="3">
        <v>10108642</v>
      </c>
      <c r="B66" t="s">
        <v>313</v>
      </c>
      <c r="C66" s="13">
        <f>L66/K66</f>
        <v>0.6131955051276456</v>
      </c>
      <c r="D66" s="2">
        <v>7440439</v>
      </c>
      <c r="E66" s="1" t="s">
        <v>474</v>
      </c>
      <c r="F66" s="18"/>
      <c r="G66" s="18"/>
      <c r="H66" s="18"/>
      <c r="I66" t="s">
        <v>314</v>
      </c>
      <c r="J66" t="s">
        <v>106</v>
      </c>
      <c r="K66">
        <v>183.32</v>
      </c>
      <c r="L66">
        <v>112.411</v>
      </c>
      <c r="M66" t="s">
        <v>107</v>
      </c>
      <c r="N66" t="s">
        <v>281</v>
      </c>
      <c r="O66" s="13">
        <v>0.6132</v>
      </c>
      <c r="P66" s="17">
        <f t="shared" si="9"/>
        <v>1.0000073302434815</v>
      </c>
    </row>
    <row r="67" spans="1:16" ht="15">
      <c r="A67" s="3">
        <v>10325947</v>
      </c>
      <c r="B67" t="s">
        <v>319</v>
      </c>
      <c r="C67" s="13">
        <f>L67/K67</f>
        <v>0.47144354973997654</v>
      </c>
      <c r="D67" s="2">
        <v>7440439</v>
      </c>
      <c r="E67" s="1" t="s">
        <v>474</v>
      </c>
      <c r="F67" s="18"/>
      <c r="G67" s="18"/>
      <c r="H67" s="18"/>
      <c r="I67" t="s">
        <v>319</v>
      </c>
      <c r="J67" t="s">
        <v>108</v>
      </c>
      <c r="K67">
        <v>238.44</v>
      </c>
      <c r="L67">
        <v>112.411</v>
      </c>
      <c r="M67" t="s">
        <v>109</v>
      </c>
      <c r="N67" t="s">
        <v>281</v>
      </c>
      <c r="O67" s="13">
        <v>0.4714</v>
      </c>
      <c r="P67" s="17">
        <f t="shared" si="9"/>
        <v>0.9999076246986504</v>
      </c>
    </row>
    <row r="68" spans="1:16" ht="15">
      <c r="A68" s="3">
        <v>2223930</v>
      </c>
      <c r="B68" t="s">
        <v>431</v>
      </c>
      <c r="C68" s="13">
        <f>L68/K68</f>
        <v>0.16497549091549502</v>
      </c>
      <c r="D68" s="2">
        <v>7440439</v>
      </c>
      <c r="E68" s="1" t="s">
        <v>474</v>
      </c>
      <c r="F68" s="18"/>
      <c r="G68" s="18"/>
      <c r="H68" s="18"/>
      <c r="I68" t="s">
        <v>431</v>
      </c>
      <c r="J68" t="s">
        <v>110</v>
      </c>
      <c r="K68">
        <v>340.69</v>
      </c>
      <c r="L68">
        <f>112.411*0.5</f>
        <v>56.2055</v>
      </c>
      <c r="M68" t="s">
        <v>111</v>
      </c>
      <c r="N68" t="s">
        <v>281</v>
      </c>
      <c r="O68" s="13">
        <v>0.165</v>
      </c>
      <c r="P68" s="17">
        <f t="shared" si="9"/>
        <v>1.0001485619734725</v>
      </c>
    </row>
    <row r="69" spans="1:16" ht="15">
      <c r="A69" s="3">
        <v>195</v>
      </c>
      <c r="B69" t="s">
        <v>424</v>
      </c>
      <c r="C69" s="13">
        <v>1</v>
      </c>
      <c r="D69">
        <v>7439921</v>
      </c>
      <c r="E69" t="s">
        <v>468</v>
      </c>
      <c r="K69" t="s">
        <v>534</v>
      </c>
      <c r="L69" t="s">
        <v>534</v>
      </c>
      <c r="M69" t="s">
        <v>534</v>
      </c>
      <c r="N69" t="s">
        <v>282</v>
      </c>
      <c r="O69" s="13">
        <v>1</v>
      </c>
      <c r="P69" s="17">
        <f aca="true" t="shared" si="10" ref="P69:P93">O69/C69</f>
        <v>1</v>
      </c>
    </row>
    <row r="70" spans="1:16" ht="15">
      <c r="A70" s="3">
        <v>7446277</v>
      </c>
      <c r="B70" t="s">
        <v>477</v>
      </c>
      <c r="C70" s="13">
        <f aca="true" t="shared" si="11" ref="C70:C79">L70/K70</f>
        <v>0.5068493150684931</v>
      </c>
      <c r="D70">
        <v>7439921</v>
      </c>
      <c r="E70" t="s">
        <v>468</v>
      </c>
      <c r="I70" t="s">
        <v>478</v>
      </c>
      <c r="J70" t="s">
        <v>112</v>
      </c>
      <c r="K70">
        <v>408.8</v>
      </c>
      <c r="L70">
        <v>207.2</v>
      </c>
      <c r="M70" t="s">
        <v>113</v>
      </c>
      <c r="N70" t="s">
        <v>282</v>
      </c>
      <c r="O70" s="13">
        <v>0.5076</v>
      </c>
      <c r="P70" s="17">
        <f t="shared" si="10"/>
        <v>1.0014810810810812</v>
      </c>
    </row>
    <row r="71" spans="1:16" ht="15">
      <c r="A71" s="3">
        <v>7446142</v>
      </c>
      <c r="B71" t="s">
        <v>476</v>
      </c>
      <c r="C71" s="13">
        <f t="shared" si="11"/>
        <v>0.6787211740041929</v>
      </c>
      <c r="D71">
        <v>7439921</v>
      </c>
      <c r="E71" t="s">
        <v>468</v>
      </c>
      <c r="I71" t="s">
        <v>115</v>
      </c>
      <c r="J71" t="s">
        <v>114</v>
      </c>
      <c r="K71">
        <v>305.28</v>
      </c>
      <c r="L71">
        <v>207.2</v>
      </c>
      <c r="M71" t="s">
        <v>116</v>
      </c>
      <c r="N71" t="s">
        <v>282</v>
      </c>
      <c r="O71" s="13">
        <v>0.6788</v>
      </c>
      <c r="P71" s="17">
        <f t="shared" si="10"/>
        <v>1.000116138996139</v>
      </c>
    </row>
    <row r="72" spans="1:16" ht="15">
      <c r="A72" s="4">
        <v>7784409</v>
      </c>
      <c r="B72" s="5" t="s">
        <v>501</v>
      </c>
      <c r="C72" s="14">
        <f t="shared" si="11"/>
        <v>0.5934582116056596</v>
      </c>
      <c r="D72" s="5">
        <v>7439921</v>
      </c>
      <c r="E72" s="5" t="s">
        <v>468</v>
      </c>
      <c r="I72" t="s">
        <v>502</v>
      </c>
      <c r="J72" t="s">
        <v>117</v>
      </c>
      <c r="K72">
        <v>349.14</v>
      </c>
      <c r="L72">
        <v>207.2</v>
      </c>
      <c r="M72" t="s">
        <v>118</v>
      </c>
      <c r="N72" s="5" t="s">
        <v>282</v>
      </c>
      <c r="O72" s="14">
        <v>0.5935</v>
      </c>
      <c r="P72" s="17">
        <f t="shared" si="10"/>
        <v>1.0000704150579152</v>
      </c>
    </row>
    <row r="73" spans="1:16" ht="15">
      <c r="A73" s="4">
        <v>7784409</v>
      </c>
      <c r="B73" s="5" t="s">
        <v>501</v>
      </c>
      <c r="C73" s="14">
        <f t="shared" si="11"/>
        <v>0.21458899008993526</v>
      </c>
      <c r="D73" s="5">
        <v>7440382</v>
      </c>
      <c r="E73" s="5" t="s">
        <v>472</v>
      </c>
      <c r="I73" t="s">
        <v>502</v>
      </c>
      <c r="J73" t="s">
        <v>117</v>
      </c>
      <c r="K73">
        <v>349.14</v>
      </c>
      <c r="L73">
        <v>74.9216</v>
      </c>
      <c r="M73" t="s">
        <v>118</v>
      </c>
      <c r="N73" s="5" t="s">
        <v>285</v>
      </c>
      <c r="O73" s="14">
        <v>0.2146</v>
      </c>
      <c r="P73" s="17">
        <f t="shared" si="10"/>
        <v>1.0000513069662154</v>
      </c>
    </row>
    <row r="74" spans="1:16" ht="15">
      <c r="A74" s="3">
        <v>13814965</v>
      </c>
      <c r="B74" t="s">
        <v>398</v>
      </c>
      <c r="C74" s="13">
        <f t="shared" si="11"/>
        <v>0.5441176470588235</v>
      </c>
      <c r="D74">
        <v>7439921</v>
      </c>
      <c r="E74" t="s">
        <v>468</v>
      </c>
      <c r="I74" t="s">
        <v>398</v>
      </c>
      <c r="J74" t="s">
        <v>119</v>
      </c>
      <c r="K74">
        <v>190.4</v>
      </c>
      <c r="L74">
        <f>207.2*0.5</f>
        <v>103.6</v>
      </c>
      <c r="M74" t="s">
        <v>120</v>
      </c>
      <c r="N74" t="s">
        <v>282</v>
      </c>
      <c r="O74" s="13">
        <v>0.5441</v>
      </c>
      <c r="P74" s="17">
        <f t="shared" si="10"/>
        <v>0.9999675675675677</v>
      </c>
    </row>
    <row r="75" spans="1:16" ht="15">
      <c r="A75" s="3">
        <v>1335326</v>
      </c>
      <c r="B75" t="s">
        <v>378</v>
      </c>
      <c r="C75" s="13">
        <f t="shared" si="11"/>
        <v>0.7695736146189273</v>
      </c>
      <c r="D75">
        <v>7439921</v>
      </c>
      <c r="E75" t="s">
        <v>468</v>
      </c>
      <c r="I75" t="s">
        <v>379</v>
      </c>
      <c r="J75" t="s">
        <v>121</v>
      </c>
      <c r="K75">
        <v>807.72</v>
      </c>
      <c r="L75">
        <f>207.2*3</f>
        <v>621.5999999999999</v>
      </c>
      <c r="M75" t="s">
        <v>122</v>
      </c>
      <c r="N75" t="s">
        <v>282</v>
      </c>
      <c r="O75" s="13">
        <v>0.7696</v>
      </c>
      <c r="P75" s="17">
        <f t="shared" si="10"/>
        <v>1.0000342857142859</v>
      </c>
    </row>
    <row r="76" spans="1:16" ht="15">
      <c r="A76" s="3">
        <v>1335257</v>
      </c>
      <c r="B76" t="s">
        <v>377</v>
      </c>
      <c r="C76" s="13">
        <f t="shared" si="11"/>
        <v>0.9283154121863799</v>
      </c>
      <c r="D76">
        <v>7439921</v>
      </c>
      <c r="E76" t="s">
        <v>468</v>
      </c>
      <c r="I76" t="s">
        <v>377</v>
      </c>
      <c r="J76" t="s">
        <v>377</v>
      </c>
      <c r="K76">
        <f>16+207.2</f>
        <v>223.2</v>
      </c>
      <c r="L76">
        <v>207.2</v>
      </c>
      <c r="M76" t="s">
        <v>123</v>
      </c>
      <c r="N76" t="s">
        <v>282</v>
      </c>
      <c r="O76" s="13">
        <v>0.9283</v>
      </c>
      <c r="P76" s="17">
        <f t="shared" si="10"/>
        <v>0.9999833976833977</v>
      </c>
    </row>
    <row r="77" spans="1:16" ht="15">
      <c r="A77" s="3">
        <v>27253287</v>
      </c>
      <c r="B77" t="s">
        <v>436</v>
      </c>
      <c r="C77" s="13">
        <f t="shared" si="11"/>
        <v>0.37729664766829946</v>
      </c>
      <c r="D77">
        <v>7439921</v>
      </c>
      <c r="E77" t="s">
        <v>468</v>
      </c>
      <c r="I77" t="s">
        <v>437</v>
      </c>
      <c r="J77" t="s">
        <v>125</v>
      </c>
      <c r="K77">
        <v>549.17</v>
      </c>
      <c r="L77">
        <v>207.2</v>
      </c>
      <c r="M77" t="s">
        <v>126</v>
      </c>
      <c r="N77" t="s">
        <v>282</v>
      </c>
      <c r="O77" s="13">
        <v>0.3769</v>
      </c>
      <c r="P77" s="17">
        <f t="shared" si="10"/>
        <v>0.9989487113899613</v>
      </c>
    </row>
    <row r="78" spans="1:16" ht="15">
      <c r="A78" s="3">
        <v>598630</v>
      </c>
      <c r="B78" t="s">
        <v>454</v>
      </c>
      <c r="C78" s="13">
        <f t="shared" si="11"/>
        <v>0.7696021988634252</v>
      </c>
      <c r="D78">
        <v>7439921</v>
      </c>
      <c r="E78" t="s">
        <v>468</v>
      </c>
      <c r="I78" t="s">
        <v>455</v>
      </c>
      <c r="J78" t="s">
        <v>127</v>
      </c>
      <c r="K78">
        <v>269.23</v>
      </c>
      <c r="L78">
        <v>207.2</v>
      </c>
      <c r="M78" t="s">
        <v>128</v>
      </c>
      <c r="N78" t="s">
        <v>282</v>
      </c>
      <c r="O78" s="13">
        <v>0.7754</v>
      </c>
      <c r="P78" s="17">
        <f t="shared" si="10"/>
        <v>1.007533503861004</v>
      </c>
    </row>
    <row r="79" spans="1:16" ht="15">
      <c r="A79" s="3">
        <v>1317368</v>
      </c>
      <c r="B79" t="s">
        <v>368</v>
      </c>
      <c r="C79" s="13">
        <f t="shared" si="11"/>
        <v>0.9283154121863799</v>
      </c>
      <c r="D79">
        <v>7439921</v>
      </c>
      <c r="E79" t="s">
        <v>468</v>
      </c>
      <c r="I79" t="s">
        <v>369</v>
      </c>
      <c r="J79" t="s">
        <v>129</v>
      </c>
      <c r="K79">
        <v>223.2</v>
      </c>
      <c r="L79">
        <v>207.2</v>
      </c>
      <c r="M79" t="s">
        <v>130</v>
      </c>
      <c r="N79" t="s">
        <v>282</v>
      </c>
      <c r="O79" s="13">
        <v>0.9283</v>
      </c>
      <c r="P79" s="17">
        <f t="shared" si="10"/>
        <v>0.9999833976833977</v>
      </c>
    </row>
    <row r="80" spans="1:16" ht="15">
      <c r="A80" s="3">
        <v>603</v>
      </c>
      <c r="B80" t="s">
        <v>459</v>
      </c>
      <c r="C80" s="13">
        <v>1</v>
      </c>
      <c r="D80">
        <v>7439921</v>
      </c>
      <c r="E80" t="s">
        <v>468</v>
      </c>
      <c r="I80" t="s">
        <v>534</v>
      </c>
      <c r="K80" t="s">
        <v>534</v>
      </c>
      <c r="L80" t="s">
        <v>534</v>
      </c>
      <c r="M80" t="s">
        <v>534</v>
      </c>
      <c r="N80" t="s">
        <v>282</v>
      </c>
      <c r="O80" s="13">
        <v>1</v>
      </c>
      <c r="P80" s="17">
        <f t="shared" si="10"/>
        <v>1</v>
      </c>
    </row>
    <row r="81" spans="1:16" ht="15">
      <c r="A81" s="3">
        <v>78002</v>
      </c>
      <c r="B81" t="s">
        <v>518</v>
      </c>
      <c r="C81" s="13">
        <f aca="true" t="shared" si="12" ref="C81:C86">L81/K81</f>
        <v>0.6405936002473335</v>
      </c>
      <c r="D81">
        <v>7439921</v>
      </c>
      <c r="E81" t="s">
        <v>468</v>
      </c>
      <c r="I81" t="s">
        <v>519</v>
      </c>
      <c r="J81" t="s">
        <v>131</v>
      </c>
      <c r="K81">
        <v>323.45</v>
      </c>
      <c r="L81">
        <v>207.2</v>
      </c>
      <c r="M81" t="s">
        <v>132</v>
      </c>
      <c r="N81" t="s">
        <v>282</v>
      </c>
      <c r="O81" s="13">
        <v>0.6407</v>
      </c>
      <c r="P81" s="17">
        <f t="shared" si="10"/>
        <v>1.0001660955598455</v>
      </c>
    </row>
    <row r="82" spans="1:16" ht="15">
      <c r="A82" s="4">
        <v>10031137</v>
      </c>
      <c r="B82" s="5" t="s">
        <v>299</v>
      </c>
      <c r="C82" s="14">
        <f t="shared" si="12"/>
        <v>0.4897844948222782</v>
      </c>
      <c r="D82" s="5">
        <v>7439921</v>
      </c>
      <c r="E82" s="5" t="s">
        <v>468</v>
      </c>
      <c r="I82" t="s">
        <v>300</v>
      </c>
      <c r="J82" t="s">
        <v>133</v>
      </c>
      <c r="K82">
        <f>74.9216+1+32+207.2/2</f>
        <v>211.52159999999998</v>
      </c>
      <c r="L82">
        <f>207.2/2</f>
        <v>103.6</v>
      </c>
      <c r="M82" t="s">
        <v>134</v>
      </c>
      <c r="N82" s="5" t="s">
        <v>282</v>
      </c>
      <c r="O82" s="14">
        <v>0.5299</v>
      </c>
      <c r="P82" s="17">
        <f t="shared" si="10"/>
        <v>1.0819044</v>
      </c>
    </row>
    <row r="83" spans="1:16" ht="15">
      <c r="A83" s="4">
        <v>10031137</v>
      </c>
      <c r="B83" s="5" t="s">
        <v>299</v>
      </c>
      <c r="C83" s="14">
        <f t="shared" si="12"/>
        <v>0.3542030695683089</v>
      </c>
      <c r="D83" s="5">
        <v>7440382</v>
      </c>
      <c r="E83" s="5" t="s">
        <v>472</v>
      </c>
      <c r="I83" t="s">
        <v>300</v>
      </c>
      <c r="J83" t="s">
        <v>133</v>
      </c>
      <c r="K83">
        <f>74.9216+1+32+207.2/2</f>
        <v>211.52159999999998</v>
      </c>
      <c r="L83">
        <v>74.9216</v>
      </c>
      <c r="M83" t="s">
        <v>134</v>
      </c>
      <c r="N83" s="5" t="s">
        <v>285</v>
      </c>
      <c r="O83" s="14">
        <v>0.3832</v>
      </c>
      <c r="P83" s="17">
        <f t="shared" si="10"/>
        <v>1.0818652714304018</v>
      </c>
    </row>
    <row r="84" spans="1:16" s="22" customFormat="1" ht="15">
      <c r="A84" s="21">
        <v>1314416</v>
      </c>
      <c r="B84" s="22" t="s">
        <v>363</v>
      </c>
      <c r="C84" s="23">
        <f t="shared" si="12"/>
        <v>0.9066511085180862</v>
      </c>
      <c r="D84" s="22">
        <v>7439921</v>
      </c>
      <c r="E84" s="22" t="s">
        <v>468</v>
      </c>
      <c r="F84" s="22" t="s">
        <v>557</v>
      </c>
      <c r="I84" s="22" t="s">
        <v>364</v>
      </c>
      <c r="J84" s="22" t="s">
        <v>135</v>
      </c>
      <c r="K84" s="22">
        <v>685.6</v>
      </c>
      <c r="L84" s="22">
        <f>207.2*3</f>
        <v>621.5999999999999</v>
      </c>
      <c r="M84" s="22" t="s">
        <v>136</v>
      </c>
      <c r="N84" s="22" t="s">
        <v>282</v>
      </c>
      <c r="O84" s="23">
        <v>0.3022</v>
      </c>
      <c r="P84" s="24">
        <f t="shared" si="10"/>
        <v>0.3333145431145432</v>
      </c>
    </row>
    <row r="85" spans="1:16" ht="15">
      <c r="A85" s="3">
        <v>10099748</v>
      </c>
      <c r="B85" t="s">
        <v>305</v>
      </c>
      <c r="C85" s="13">
        <f t="shared" si="12"/>
        <v>0.6218114158813995</v>
      </c>
      <c r="D85">
        <v>7439921</v>
      </c>
      <c r="E85" t="s">
        <v>468</v>
      </c>
      <c r="I85" t="s">
        <v>306</v>
      </c>
      <c r="J85" t="s">
        <v>137</v>
      </c>
      <c r="K85">
        <v>166.61</v>
      </c>
      <c r="L85">
        <f>207.2/2</f>
        <v>103.6</v>
      </c>
      <c r="M85" t="s">
        <v>138</v>
      </c>
      <c r="N85" t="s">
        <v>282</v>
      </c>
      <c r="O85" s="13">
        <v>0.6218</v>
      </c>
      <c r="P85" s="17">
        <f t="shared" si="10"/>
        <v>0.9999816409266412</v>
      </c>
    </row>
    <row r="86" spans="1:16" ht="15">
      <c r="A86" s="3">
        <v>1309600</v>
      </c>
      <c r="B86" t="s">
        <v>356</v>
      </c>
      <c r="C86" s="13">
        <f t="shared" si="12"/>
        <v>0.8662207357859532</v>
      </c>
      <c r="D86">
        <v>7439921</v>
      </c>
      <c r="E86" t="s">
        <v>468</v>
      </c>
      <c r="I86" t="s">
        <v>356</v>
      </c>
      <c r="J86" t="s">
        <v>139</v>
      </c>
      <c r="K86">
        <v>239.2</v>
      </c>
      <c r="L86">
        <v>207.2</v>
      </c>
      <c r="M86" t="s">
        <v>140</v>
      </c>
      <c r="N86" t="s">
        <v>282</v>
      </c>
      <c r="O86" s="13">
        <v>0.8662</v>
      </c>
      <c r="P86" s="17">
        <f t="shared" si="10"/>
        <v>0.9999760617760618</v>
      </c>
    </row>
    <row r="87" spans="1:16" ht="15">
      <c r="A87" s="3">
        <v>88</v>
      </c>
      <c r="B87" t="s">
        <v>523</v>
      </c>
      <c r="C87" s="13">
        <v>1</v>
      </c>
      <c r="D87">
        <v>7439921</v>
      </c>
      <c r="E87" t="s">
        <v>468</v>
      </c>
      <c r="I87" t="s">
        <v>523</v>
      </c>
      <c r="K87" t="s">
        <v>534</v>
      </c>
      <c r="L87">
        <v>207.2</v>
      </c>
      <c r="M87" t="s">
        <v>534</v>
      </c>
      <c r="N87" t="s">
        <v>282</v>
      </c>
      <c r="O87" s="13">
        <v>1</v>
      </c>
      <c r="P87" s="17">
        <f t="shared" si="10"/>
        <v>1</v>
      </c>
    </row>
    <row r="88" spans="1:16" ht="15">
      <c r="A88" s="3">
        <v>61790145</v>
      </c>
      <c r="B88" t="s">
        <v>463</v>
      </c>
      <c r="C88" s="13">
        <f>L88/K88</f>
        <v>0.3770357565280684</v>
      </c>
      <c r="D88">
        <v>7439921</v>
      </c>
      <c r="E88" t="s">
        <v>468</v>
      </c>
      <c r="I88" t="s">
        <v>463</v>
      </c>
      <c r="J88" t="s">
        <v>141</v>
      </c>
      <c r="K88">
        <v>549.55</v>
      </c>
      <c r="L88">
        <v>207.2</v>
      </c>
      <c r="M88" t="s">
        <v>142</v>
      </c>
      <c r="N88" t="s">
        <v>282</v>
      </c>
      <c r="O88" s="13">
        <v>0.3732</v>
      </c>
      <c r="P88" s="17">
        <f t="shared" si="10"/>
        <v>0.9898265444015444</v>
      </c>
    </row>
    <row r="89" spans="1:16" ht="15">
      <c r="A89" s="3">
        <v>12626812</v>
      </c>
      <c r="B89" t="s">
        <v>338</v>
      </c>
      <c r="C89" s="13">
        <f>L89/K89</f>
        <v>0.5719159460212923</v>
      </c>
      <c r="D89">
        <v>7439921</v>
      </c>
      <c r="E89" t="s">
        <v>468</v>
      </c>
      <c r="I89" t="s">
        <v>339</v>
      </c>
      <c r="J89" t="s">
        <v>339</v>
      </c>
      <c r="K89">
        <f>16+207.2+47.867+91.224</f>
        <v>362.291</v>
      </c>
      <c r="L89">
        <v>207.2</v>
      </c>
      <c r="M89" t="s">
        <v>144</v>
      </c>
      <c r="N89" t="s">
        <v>282</v>
      </c>
      <c r="O89" s="13">
        <v>0.5255</v>
      </c>
      <c r="P89" s="17">
        <f t="shared" si="10"/>
        <v>0.9188413151544401</v>
      </c>
    </row>
    <row r="90" spans="1:16" ht="15">
      <c r="A90" s="3">
        <v>12060003</v>
      </c>
      <c r="B90" t="s">
        <v>333</v>
      </c>
      <c r="C90" s="13">
        <f>L90/K90</f>
        <v>0.7643866645515683</v>
      </c>
      <c r="D90">
        <v>7439921</v>
      </c>
      <c r="E90" t="s">
        <v>468</v>
      </c>
      <c r="I90" t="s">
        <v>334</v>
      </c>
      <c r="J90" t="s">
        <v>334</v>
      </c>
      <c r="K90">
        <f>16+207.2+47.867</f>
        <v>271.067</v>
      </c>
      <c r="L90">
        <v>207.2</v>
      </c>
      <c r="M90" t="s">
        <v>145</v>
      </c>
      <c r="N90" t="s">
        <v>282</v>
      </c>
      <c r="O90" s="13">
        <v>0.6836</v>
      </c>
      <c r="P90" s="17">
        <f t="shared" si="10"/>
        <v>0.894311781853282</v>
      </c>
    </row>
    <row r="91" spans="1:16" ht="15">
      <c r="A91" s="3">
        <v>7428480</v>
      </c>
      <c r="B91" t="s">
        <v>467</v>
      </c>
      <c r="C91" s="13">
        <f>L91/K91</f>
        <v>0.42182410423452765</v>
      </c>
      <c r="D91">
        <v>7439921</v>
      </c>
      <c r="E91" t="s">
        <v>468</v>
      </c>
      <c r="I91" t="s">
        <v>467</v>
      </c>
      <c r="J91" t="s">
        <v>146</v>
      </c>
      <c r="K91">
        <f>18*12+36+32+207.2</f>
        <v>491.2</v>
      </c>
      <c r="L91">
        <v>207.2</v>
      </c>
      <c r="M91" t="s">
        <v>147</v>
      </c>
      <c r="N91" t="s">
        <v>282</v>
      </c>
      <c r="O91" s="13">
        <v>0.4218</v>
      </c>
      <c r="P91" s="17">
        <f t="shared" si="10"/>
        <v>0.9999428571428572</v>
      </c>
    </row>
    <row r="92" spans="1:16" ht="15">
      <c r="A92" s="3">
        <v>301042</v>
      </c>
      <c r="B92" t="s">
        <v>438</v>
      </c>
      <c r="C92" s="13">
        <f>L92/K92</f>
        <v>0.6330583562480904</v>
      </c>
      <c r="D92">
        <v>7439921</v>
      </c>
      <c r="E92" t="s">
        <v>468</v>
      </c>
      <c r="I92" t="s">
        <v>148</v>
      </c>
      <c r="J92" t="s">
        <v>149</v>
      </c>
      <c r="K92">
        <v>163.65</v>
      </c>
      <c r="L92">
        <f>207.2/2</f>
        <v>103.6</v>
      </c>
      <c r="M92" t="s">
        <v>150</v>
      </c>
      <c r="N92" t="s">
        <v>282</v>
      </c>
      <c r="O92" s="13">
        <v>0.637</v>
      </c>
      <c r="P92" s="17">
        <f t="shared" si="10"/>
        <v>1.0062263513513514</v>
      </c>
    </row>
    <row r="93" spans="1:16" ht="15">
      <c r="A93" s="3">
        <v>602</v>
      </c>
      <c r="B93" t="s">
        <v>458</v>
      </c>
      <c r="C93" s="13">
        <v>1</v>
      </c>
      <c r="D93">
        <v>7439921</v>
      </c>
      <c r="E93" t="s">
        <v>468</v>
      </c>
      <c r="K93" t="s">
        <v>534</v>
      </c>
      <c r="L93" t="s">
        <v>534</v>
      </c>
      <c r="M93" t="s">
        <v>534</v>
      </c>
      <c r="N93" t="s">
        <v>282</v>
      </c>
      <c r="O93" s="13">
        <v>1</v>
      </c>
      <c r="P93" s="17">
        <f t="shared" si="10"/>
        <v>1</v>
      </c>
    </row>
    <row r="94" spans="1:16" ht="15">
      <c r="A94" s="3">
        <v>198</v>
      </c>
      <c r="B94" t="s">
        <v>425</v>
      </c>
      <c r="C94" s="13">
        <v>1</v>
      </c>
      <c r="D94">
        <v>7439965</v>
      </c>
      <c r="E94" t="s">
        <v>469</v>
      </c>
      <c r="K94" t="s">
        <v>534</v>
      </c>
      <c r="L94" t="s">
        <v>534</v>
      </c>
      <c r="M94" t="s">
        <v>534</v>
      </c>
      <c r="N94" t="s">
        <v>283</v>
      </c>
      <c r="O94" s="13">
        <v>1</v>
      </c>
      <c r="P94" s="17">
        <f aca="true" t="shared" si="13" ref="P94:P105">O94/C94</f>
        <v>1</v>
      </c>
    </row>
    <row r="95" spans="1:16" ht="15">
      <c r="A95" s="3">
        <v>1336932</v>
      </c>
      <c r="B95" t="s">
        <v>380</v>
      </c>
      <c r="C95" s="13">
        <f aca="true" t="shared" si="14" ref="C95:C105">L95/K95</f>
        <v>0.13828198293438043</v>
      </c>
      <c r="D95">
        <v>7439965</v>
      </c>
      <c r="E95" t="s">
        <v>469</v>
      </c>
      <c r="I95" t="s">
        <v>380</v>
      </c>
      <c r="J95" t="s">
        <v>153</v>
      </c>
      <c r="K95">
        <v>397.29</v>
      </c>
      <c r="L95">
        <v>54.938049</v>
      </c>
      <c r="M95" t="s">
        <v>152</v>
      </c>
      <c r="N95" t="s">
        <v>283</v>
      </c>
      <c r="O95" s="13">
        <v>0.1776</v>
      </c>
      <c r="P95" s="17">
        <f t="shared" si="13"/>
        <v>1.2843321756839237</v>
      </c>
    </row>
    <row r="96" spans="1:16" ht="15">
      <c r="A96" s="3">
        <v>1317346</v>
      </c>
      <c r="B96" t="s">
        <v>365</v>
      </c>
      <c r="C96" s="13">
        <f t="shared" si="14"/>
        <v>0.6959909925888389</v>
      </c>
      <c r="D96">
        <v>7439965</v>
      </c>
      <c r="E96" t="s">
        <v>469</v>
      </c>
      <c r="I96" t="s">
        <v>366</v>
      </c>
      <c r="J96" t="s">
        <v>154</v>
      </c>
      <c r="K96">
        <v>157.87</v>
      </c>
      <c r="L96">
        <f>2*54.938049</f>
        <v>109.876098</v>
      </c>
      <c r="M96" t="s">
        <v>155</v>
      </c>
      <c r="N96" t="s">
        <v>283</v>
      </c>
      <c r="O96" s="13">
        <v>0.6955</v>
      </c>
      <c r="P96" s="17">
        <f t="shared" si="13"/>
        <v>0.9992945417482881</v>
      </c>
    </row>
    <row r="97" spans="1:16" ht="15">
      <c r="A97" s="3">
        <v>1313139</v>
      </c>
      <c r="B97" t="s">
        <v>358</v>
      </c>
      <c r="C97" s="13">
        <f t="shared" si="14"/>
        <v>0.6319076259489304</v>
      </c>
      <c r="D97">
        <v>7439965</v>
      </c>
      <c r="E97" t="s">
        <v>469</v>
      </c>
      <c r="I97" t="s">
        <v>358</v>
      </c>
      <c r="J97" t="s">
        <v>156</v>
      </c>
      <c r="K97">
        <v>86.94</v>
      </c>
      <c r="L97">
        <v>54.938049</v>
      </c>
      <c r="M97" t="s">
        <v>157</v>
      </c>
      <c r="N97" t="s">
        <v>283</v>
      </c>
      <c r="O97" s="13">
        <v>0.6319</v>
      </c>
      <c r="P97" s="17">
        <f t="shared" si="13"/>
        <v>0.9999879318612133</v>
      </c>
    </row>
    <row r="98" spans="1:16" ht="15">
      <c r="A98" s="3">
        <v>12079651</v>
      </c>
      <c r="B98" t="s">
        <v>335</v>
      </c>
      <c r="C98" s="13">
        <f t="shared" si="14"/>
        <v>0.2692249779476624</v>
      </c>
      <c r="D98">
        <v>7439965</v>
      </c>
      <c r="E98" t="s">
        <v>469</v>
      </c>
      <c r="I98" t="s">
        <v>336</v>
      </c>
      <c r="J98" t="s">
        <v>158</v>
      </c>
      <c r="K98">
        <v>204.06</v>
      </c>
      <c r="L98">
        <v>54.938049</v>
      </c>
      <c r="M98" t="s">
        <v>159</v>
      </c>
      <c r="N98" t="s">
        <v>283</v>
      </c>
      <c r="O98" s="13">
        <v>0.2692</v>
      </c>
      <c r="P98" s="17">
        <f t="shared" si="13"/>
        <v>0.9999072227701425</v>
      </c>
    </row>
    <row r="99" spans="1:16" ht="15">
      <c r="A99" s="3">
        <v>1317357</v>
      </c>
      <c r="B99" t="s">
        <v>367</v>
      </c>
      <c r="C99" s="13">
        <f t="shared" si="14"/>
        <v>0.7203100694899698</v>
      </c>
      <c r="D99">
        <v>7439965</v>
      </c>
      <c r="E99" t="s">
        <v>469</v>
      </c>
      <c r="I99" t="s">
        <v>367</v>
      </c>
      <c r="J99" t="s">
        <v>160</v>
      </c>
      <c r="K99">
        <v>228.81</v>
      </c>
      <c r="L99">
        <f>3*54.938049</f>
        <v>164.814147</v>
      </c>
      <c r="M99" t="s">
        <v>161</v>
      </c>
      <c r="N99" t="s">
        <v>283</v>
      </c>
      <c r="O99" s="13">
        <v>0.7203</v>
      </c>
      <c r="P99" s="17">
        <f t="shared" si="13"/>
        <v>0.9999860206175143</v>
      </c>
    </row>
    <row r="100" spans="1:16" ht="15">
      <c r="A100" s="3">
        <v>7722647</v>
      </c>
      <c r="B100" t="s">
        <v>487</v>
      </c>
      <c r="C100" s="13">
        <f t="shared" si="14"/>
        <v>0.34543541876257544</v>
      </c>
      <c r="D100">
        <v>7439965</v>
      </c>
      <c r="E100" t="s">
        <v>469</v>
      </c>
      <c r="I100" t="s">
        <v>487</v>
      </c>
      <c r="J100" t="s">
        <v>162</v>
      </c>
      <c r="K100">
        <v>159.04</v>
      </c>
      <c r="L100">
        <v>54.938049</v>
      </c>
      <c r="M100" t="s">
        <v>163</v>
      </c>
      <c r="N100" t="s">
        <v>283</v>
      </c>
      <c r="O100" s="13">
        <v>0.3474</v>
      </c>
      <c r="P100" s="17">
        <f t="shared" si="13"/>
        <v>1.0056872605723586</v>
      </c>
    </row>
    <row r="101" spans="1:16" ht="15">
      <c r="A101" s="3">
        <v>7785877</v>
      </c>
      <c r="B101" t="s">
        <v>503</v>
      </c>
      <c r="C101" s="13">
        <f t="shared" si="14"/>
        <v>0.3590252842765651</v>
      </c>
      <c r="D101">
        <v>7439965</v>
      </c>
      <c r="E101" t="s">
        <v>469</v>
      </c>
      <c r="I101" t="s">
        <v>504</v>
      </c>
      <c r="J101" t="s">
        <v>164</v>
      </c>
      <c r="K101">
        <v>153.02</v>
      </c>
      <c r="L101">
        <v>54.938049</v>
      </c>
      <c r="M101" t="s">
        <v>165</v>
      </c>
      <c r="N101" t="s">
        <v>283</v>
      </c>
      <c r="O101" s="13">
        <v>0.3638</v>
      </c>
      <c r="P101" s="17">
        <f t="shared" si="13"/>
        <v>1.0132991071452138</v>
      </c>
    </row>
    <row r="102" spans="1:16" ht="15">
      <c r="A102" s="3">
        <v>8030704</v>
      </c>
      <c r="B102" t="s">
        <v>522</v>
      </c>
      <c r="C102" s="13">
        <f t="shared" si="14"/>
        <v>0.1041084877771461</v>
      </c>
      <c r="D102">
        <v>7439965</v>
      </c>
      <c r="E102" t="s">
        <v>469</v>
      </c>
      <c r="I102" t="s">
        <v>522</v>
      </c>
      <c r="J102" t="s">
        <v>166</v>
      </c>
      <c r="K102">
        <v>527.7</v>
      </c>
      <c r="L102">
        <v>54.938049</v>
      </c>
      <c r="M102" t="s">
        <v>168</v>
      </c>
      <c r="N102" t="s">
        <v>283</v>
      </c>
      <c r="O102" s="13">
        <v>0.01</v>
      </c>
      <c r="P102" s="17">
        <f t="shared" si="13"/>
        <v>0.09605364762771246</v>
      </c>
    </row>
    <row r="103" spans="1:16" ht="15">
      <c r="A103" s="3">
        <v>10377669</v>
      </c>
      <c r="B103" t="s">
        <v>320</v>
      </c>
      <c r="C103" s="13">
        <f t="shared" si="14"/>
        <v>0.303592224801061</v>
      </c>
      <c r="D103">
        <v>7439965</v>
      </c>
      <c r="E103" t="s">
        <v>469</v>
      </c>
      <c r="I103" t="s">
        <v>321</v>
      </c>
      <c r="J103" t="s">
        <v>169</v>
      </c>
      <c r="K103">
        <v>90.48</v>
      </c>
      <c r="L103">
        <f>54.938049/2</f>
        <v>27.4690245</v>
      </c>
      <c r="M103" t="s">
        <v>170</v>
      </c>
      <c r="N103" t="s">
        <v>283</v>
      </c>
      <c r="O103" s="13">
        <v>0.3036</v>
      </c>
      <c r="P103" s="17">
        <f t="shared" si="13"/>
        <v>1.0000256106655698</v>
      </c>
    </row>
    <row r="104" spans="1:16" ht="15">
      <c r="A104" s="3">
        <v>7783166</v>
      </c>
      <c r="B104" t="s">
        <v>498</v>
      </c>
      <c r="C104" s="13">
        <f t="shared" si="14"/>
        <v>0.2762093966817496</v>
      </c>
      <c r="D104">
        <v>7439965</v>
      </c>
      <c r="E104" t="s">
        <v>469</v>
      </c>
      <c r="I104" t="s">
        <v>499</v>
      </c>
      <c r="J104" t="s">
        <v>171</v>
      </c>
      <c r="K104">
        <v>198.9</v>
      </c>
      <c r="L104">
        <v>54.938049</v>
      </c>
      <c r="M104" t="s">
        <v>262</v>
      </c>
      <c r="N104" t="s">
        <v>283</v>
      </c>
      <c r="O104" s="13">
        <v>0.2706</v>
      </c>
      <c r="P104" s="17">
        <f t="shared" si="13"/>
        <v>0.9796915067005748</v>
      </c>
    </row>
    <row r="105" spans="1:16" ht="15">
      <c r="A105" s="3">
        <v>10101505</v>
      </c>
      <c r="B105" t="s">
        <v>307</v>
      </c>
      <c r="C105" s="13">
        <f t="shared" si="14"/>
        <v>0.38437031413978867</v>
      </c>
      <c r="D105">
        <v>7439965</v>
      </c>
      <c r="E105" t="s">
        <v>469</v>
      </c>
      <c r="I105" t="s">
        <v>308</v>
      </c>
      <c r="J105" t="s">
        <v>172</v>
      </c>
      <c r="K105">
        <v>142.93</v>
      </c>
      <c r="L105">
        <v>54.938049</v>
      </c>
      <c r="M105" t="s">
        <v>173</v>
      </c>
      <c r="N105" t="s">
        <v>283</v>
      </c>
      <c r="O105" s="13">
        <v>0.3841</v>
      </c>
      <c r="P105" s="17">
        <f t="shared" si="13"/>
        <v>0.9992967351279621</v>
      </c>
    </row>
    <row r="106" spans="1:16" ht="15">
      <c r="A106" s="3">
        <v>1345046</v>
      </c>
      <c r="B106" t="s">
        <v>381</v>
      </c>
      <c r="C106" s="13">
        <f>L106/K106</f>
        <v>0.7168256210997291</v>
      </c>
      <c r="D106">
        <v>7440360</v>
      </c>
      <c r="E106" t="s">
        <v>471</v>
      </c>
      <c r="I106" t="s">
        <v>381</v>
      </c>
      <c r="J106" t="s">
        <v>176</v>
      </c>
      <c r="K106">
        <v>339.72</v>
      </c>
      <c r="L106">
        <f>2*121.76</f>
        <v>243.52</v>
      </c>
      <c r="M106" t="s">
        <v>177</v>
      </c>
      <c r="N106" t="s">
        <v>284</v>
      </c>
      <c r="O106" s="13">
        <v>0.7618</v>
      </c>
      <c r="P106" s="17">
        <f aca="true" t="shared" si="15" ref="P106:P112">O106/C106</f>
        <v>1.0627410315374508</v>
      </c>
    </row>
    <row r="107" spans="1:16" ht="15">
      <c r="A107" s="3">
        <v>92</v>
      </c>
      <c r="B107" t="s">
        <v>524</v>
      </c>
      <c r="C107" s="13">
        <v>1</v>
      </c>
      <c r="D107">
        <v>7440360</v>
      </c>
      <c r="E107" t="s">
        <v>471</v>
      </c>
      <c r="K107" t="s">
        <v>534</v>
      </c>
      <c r="L107" t="s">
        <v>534</v>
      </c>
      <c r="M107" t="s">
        <v>534</v>
      </c>
      <c r="N107" t="s">
        <v>284</v>
      </c>
      <c r="O107" s="13">
        <v>1</v>
      </c>
      <c r="P107" s="17">
        <f t="shared" si="15"/>
        <v>1</v>
      </c>
    </row>
    <row r="108" spans="1:16" ht="15">
      <c r="A108" s="3">
        <v>1327339</v>
      </c>
      <c r="B108" t="s">
        <v>371</v>
      </c>
      <c r="C108" s="13">
        <f aca="true" t="shared" si="16" ref="C108:C116">L108/K108</f>
        <v>0.8353457738748629</v>
      </c>
      <c r="D108">
        <v>7440360</v>
      </c>
      <c r="E108" t="s">
        <v>471</v>
      </c>
      <c r="I108" t="s">
        <v>372</v>
      </c>
      <c r="J108" t="s">
        <v>371</v>
      </c>
      <c r="K108">
        <f>2*121.76+16*3</f>
        <v>291.52</v>
      </c>
      <c r="L108">
        <f>2*121.76</f>
        <v>243.52</v>
      </c>
      <c r="M108" t="s">
        <v>178</v>
      </c>
      <c r="N108" t="s">
        <v>284</v>
      </c>
      <c r="O108" s="13">
        <v>0.7933</v>
      </c>
      <c r="P108" s="17">
        <f t="shared" si="15"/>
        <v>0.9496666228646516</v>
      </c>
    </row>
    <row r="109" spans="1:16" ht="15">
      <c r="A109" s="3">
        <v>10025919</v>
      </c>
      <c r="B109" t="s">
        <v>298</v>
      </c>
      <c r="C109" s="13">
        <f t="shared" si="16"/>
        <v>0.5337541644748378</v>
      </c>
      <c r="D109">
        <v>7440360</v>
      </c>
      <c r="E109" t="s">
        <v>471</v>
      </c>
      <c r="I109" t="s">
        <v>298</v>
      </c>
      <c r="J109" t="s">
        <v>179</v>
      </c>
      <c r="K109">
        <v>228.12</v>
      </c>
      <c r="L109">
        <v>121.76</v>
      </c>
      <c r="M109" t="s">
        <v>180</v>
      </c>
      <c r="N109" t="s">
        <v>284</v>
      </c>
      <c r="O109" s="13">
        <v>0.5337</v>
      </c>
      <c r="P109" s="17">
        <f t="shared" si="15"/>
        <v>0.9998985216819972</v>
      </c>
    </row>
    <row r="110" spans="1:16" ht="15">
      <c r="A110" s="3">
        <v>7783702</v>
      </c>
      <c r="B110" t="s">
        <v>464</v>
      </c>
      <c r="C110" s="13">
        <f t="shared" si="16"/>
        <v>0.5617531718569782</v>
      </c>
      <c r="D110">
        <v>7440360</v>
      </c>
      <c r="E110" t="s">
        <v>471</v>
      </c>
      <c r="I110" t="s">
        <v>464</v>
      </c>
      <c r="J110" t="s">
        <v>181</v>
      </c>
      <c r="K110">
        <v>216.75</v>
      </c>
      <c r="L110">
        <v>121.76</v>
      </c>
      <c r="M110" t="s">
        <v>182</v>
      </c>
      <c r="N110" t="s">
        <v>284</v>
      </c>
      <c r="O110" s="13">
        <v>0.5618</v>
      </c>
      <c r="P110" s="17">
        <f t="shared" si="15"/>
        <v>1.0000833607095925</v>
      </c>
    </row>
    <row r="111" spans="1:16" ht="15">
      <c r="A111" s="3">
        <v>16925250</v>
      </c>
      <c r="B111" t="s">
        <v>419</v>
      </c>
      <c r="C111" s="13">
        <f t="shared" si="16"/>
        <v>0.47058823529411764</v>
      </c>
      <c r="D111">
        <v>7440360</v>
      </c>
      <c r="E111" t="s">
        <v>471</v>
      </c>
      <c r="I111" t="s">
        <v>420</v>
      </c>
      <c r="J111" t="s">
        <v>183</v>
      </c>
      <c r="K111">
        <v>258.74</v>
      </c>
      <c r="L111">
        <v>121.76</v>
      </c>
      <c r="M111" t="s">
        <v>184</v>
      </c>
      <c r="N111" t="s">
        <v>284</v>
      </c>
      <c r="O111" s="13">
        <v>0.4706</v>
      </c>
      <c r="P111" s="17">
        <f t="shared" si="15"/>
        <v>1.000025</v>
      </c>
    </row>
    <row r="112" spans="1:16" ht="15">
      <c r="A112" s="3">
        <v>1309644</v>
      </c>
      <c r="B112" t="s">
        <v>357</v>
      </c>
      <c r="C112" s="13">
        <f t="shared" si="16"/>
        <v>0.8353457738748629</v>
      </c>
      <c r="D112">
        <v>7440360</v>
      </c>
      <c r="E112" t="s">
        <v>471</v>
      </c>
      <c r="I112" t="s">
        <v>357</v>
      </c>
      <c r="J112" t="s">
        <v>185</v>
      </c>
      <c r="K112">
        <v>291.52</v>
      </c>
      <c r="L112">
        <f>2*121.76</f>
        <v>243.52</v>
      </c>
      <c r="M112" t="s">
        <v>186</v>
      </c>
      <c r="N112" t="s">
        <v>284</v>
      </c>
      <c r="O112" s="13">
        <v>0.8353</v>
      </c>
      <c r="P112" s="17">
        <f t="shared" si="15"/>
        <v>0.9999452036793692</v>
      </c>
    </row>
    <row r="113" spans="1:16" ht="15">
      <c r="A113" s="3">
        <v>7778394</v>
      </c>
      <c r="B113" t="s">
        <v>373</v>
      </c>
      <c r="C113" s="13">
        <f t="shared" si="16"/>
        <v>0.5278399323657883</v>
      </c>
      <c r="D113">
        <v>7440382</v>
      </c>
      <c r="E113" t="s">
        <v>472</v>
      </c>
      <c r="I113" t="s">
        <v>373</v>
      </c>
      <c r="J113" t="s">
        <v>187</v>
      </c>
      <c r="K113">
        <v>141.94</v>
      </c>
      <c r="L113">
        <v>74.9216</v>
      </c>
      <c r="M113" t="s">
        <v>188</v>
      </c>
      <c r="N113" t="s">
        <v>285</v>
      </c>
      <c r="O113" s="13">
        <v>0.5278</v>
      </c>
      <c r="P113" s="17">
        <f aca="true" t="shared" si="17" ref="P113:P118">O113/C113</f>
        <v>0.9999243475846754</v>
      </c>
    </row>
    <row r="114" spans="1:16" s="9" customFormat="1" ht="15">
      <c r="A114" s="8">
        <v>7784421</v>
      </c>
      <c r="B114" s="9" t="s">
        <v>287</v>
      </c>
      <c r="C114" s="15">
        <f t="shared" si="16"/>
        <v>0.9611494547787043</v>
      </c>
      <c r="D114" s="9">
        <v>7440382</v>
      </c>
      <c r="E114" s="9" t="s">
        <v>472</v>
      </c>
      <c r="I114" s="9" t="s">
        <v>287</v>
      </c>
      <c r="J114" s="9" t="s">
        <v>287</v>
      </c>
      <c r="K114" s="9">
        <v>77.95</v>
      </c>
      <c r="L114" s="9">
        <v>74.9216</v>
      </c>
      <c r="M114" s="9" t="s">
        <v>191</v>
      </c>
      <c r="N114" s="9" t="s">
        <v>286</v>
      </c>
      <c r="O114" s="15">
        <v>1</v>
      </c>
      <c r="P114" s="17">
        <f t="shared" si="17"/>
        <v>1.0404209200017085</v>
      </c>
    </row>
    <row r="115" spans="1:16" ht="15">
      <c r="A115" s="3">
        <v>1327533</v>
      </c>
      <c r="B115" t="s">
        <v>374</v>
      </c>
      <c r="C115" s="13">
        <f t="shared" si="16"/>
        <v>0.757395875454913</v>
      </c>
      <c r="D115">
        <v>7440382</v>
      </c>
      <c r="E115" t="s">
        <v>472</v>
      </c>
      <c r="I115" t="s">
        <v>375</v>
      </c>
      <c r="J115" t="s">
        <v>190</v>
      </c>
      <c r="K115">
        <v>197.84</v>
      </c>
      <c r="L115">
        <f>2*74.9216</f>
        <v>149.8432</v>
      </c>
      <c r="M115" t="s">
        <v>189</v>
      </c>
      <c r="N115" t="s">
        <v>285</v>
      </c>
      <c r="O115" s="13">
        <v>0.7574</v>
      </c>
      <c r="P115" s="17">
        <f t="shared" si="17"/>
        <v>1.000005445692564</v>
      </c>
    </row>
    <row r="116" spans="1:16" ht="15">
      <c r="A116" s="3">
        <v>3141126</v>
      </c>
      <c r="B116" t="s">
        <v>439</v>
      </c>
      <c r="C116" s="13">
        <f t="shared" si="16"/>
        <v>0.35659971442170396</v>
      </c>
      <c r="D116">
        <v>7440382</v>
      </c>
      <c r="E116" t="s">
        <v>472</v>
      </c>
      <c r="I116" t="s">
        <v>440</v>
      </c>
      <c r="J116" t="s">
        <v>440</v>
      </c>
      <c r="K116">
        <v>210.1</v>
      </c>
      <c r="L116">
        <v>74.9216</v>
      </c>
      <c r="M116" t="s">
        <v>192</v>
      </c>
      <c r="N116" t="s">
        <v>285</v>
      </c>
      <c r="O116" s="13">
        <v>0.3566</v>
      </c>
      <c r="P116" s="17">
        <f t="shared" si="17"/>
        <v>1.0000008008371417</v>
      </c>
    </row>
    <row r="117" spans="1:16" ht="15">
      <c r="A117" s="3">
        <v>93</v>
      </c>
      <c r="B117" t="s">
        <v>525</v>
      </c>
      <c r="C117" s="13">
        <v>1</v>
      </c>
      <c r="D117">
        <v>7440382</v>
      </c>
      <c r="E117" t="s">
        <v>472</v>
      </c>
      <c r="I117" t="s">
        <v>534</v>
      </c>
      <c r="K117" t="s">
        <v>534</v>
      </c>
      <c r="L117" t="s">
        <v>534</v>
      </c>
      <c r="M117" t="s">
        <v>534</v>
      </c>
      <c r="N117" t="s">
        <v>285</v>
      </c>
      <c r="O117" s="13">
        <v>1</v>
      </c>
      <c r="P117" s="17">
        <f t="shared" si="17"/>
        <v>1</v>
      </c>
    </row>
    <row r="118" spans="1:16" ht="15">
      <c r="A118" s="3">
        <v>1303282</v>
      </c>
      <c r="B118" t="s">
        <v>343</v>
      </c>
      <c r="C118" s="13">
        <f>L118/K118</f>
        <v>0.651945701357466</v>
      </c>
      <c r="D118">
        <v>7440382</v>
      </c>
      <c r="E118" t="s">
        <v>472</v>
      </c>
      <c r="I118" t="s">
        <v>344</v>
      </c>
      <c r="J118" t="s">
        <v>194</v>
      </c>
      <c r="K118">
        <v>229.84</v>
      </c>
      <c r="L118">
        <f>2*74.9216</f>
        <v>149.8432</v>
      </c>
      <c r="M118" t="s">
        <v>193</v>
      </c>
      <c r="N118" t="s">
        <v>285</v>
      </c>
      <c r="O118" s="13">
        <v>0.6519</v>
      </c>
      <c r="P118" s="17">
        <f t="shared" si="17"/>
        <v>0.9999299000555248</v>
      </c>
    </row>
    <row r="119" spans="1:16" ht="15">
      <c r="A119" s="3">
        <v>7488564</v>
      </c>
      <c r="B119" t="s">
        <v>482</v>
      </c>
      <c r="C119" s="13">
        <f>L119/K119</f>
        <v>0.5518205325319728</v>
      </c>
      <c r="D119">
        <v>7782492</v>
      </c>
      <c r="E119" t="s">
        <v>494</v>
      </c>
      <c r="I119" t="s">
        <v>482</v>
      </c>
      <c r="J119" t="s">
        <v>174</v>
      </c>
      <c r="K119">
        <v>143.09</v>
      </c>
      <c r="L119">
        <v>78.96</v>
      </c>
      <c r="M119" t="s">
        <v>175</v>
      </c>
      <c r="N119" t="s">
        <v>288</v>
      </c>
      <c r="O119" s="13">
        <v>0.5518</v>
      </c>
      <c r="P119" s="17">
        <f aca="true" t="shared" si="18" ref="P119:P126">O119/C119</f>
        <v>0.9999627912867275</v>
      </c>
    </row>
    <row r="120" spans="1:16" ht="15">
      <c r="A120" s="3">
        <v>253</v>
      </c>
      <c r="B120" t="s">
        <v>435</v>
      </c>
      <c r="C120" s="13">
        <v>1</v>
      </c>
      <c r="D120">
        <v>7782492</v>
      </c>
      <c r="E120" t="s">
        <v>494</v>
      </c>
      <c r="I120" t="s">
        <v>435</v>
      </c>
      <c r="K120" t="s">
        <v>534</v>
      </c>
      <c r="L120" t="s">
        <v>534</v>
      </c>
      <c r="M120" t="s">
        <v>534</v>
      </c>
      <c r="N120" t="s">
        <v>288</v>
      </c>
      <c r="O120" s="13">
        <v>1</v>
      </c>
      <c r="P120" s="17">
        <f t="shared" si="18"/>
        <v>1</v>
      </c>
    </row>
    <row r="121" spans="1:16" ht="15">
      <c r="A121" s="3">
        <v>7446084</v>
      </c>
      <c r="B121" t="s">
        <v>475</v>
      </c>
      <c r="C121" s="13">
        <f aca="true" t="shared" si="19" ref="C121:C126">L121/K121</f>
        <v>0.7116077865897621</v>
      </c>
      <c r="D121">
        <v>7782492</v>
      </c>
      <c r="E121" t="s">
        <v>494</v>
      </c>
      <c r="I121" t="s">
        <v>475</v>
      </c>
      <c r="J121" t="s">
        <v>197</v>
      </c>
      <c r="K121">
        <v>110.96</v>
      </c>
      <c r="L121">
        <v>78.96</v>
      </c>
      <c r="M121" t="s">
        <v>198</v>
      </c>
      <c r="N121" t="s">
        <v>288</v>
      </c>
      <c r="O121" s="13">
        <v>0.7116</v>
      </c>
      <c r="P121" s="17">
        <f t="shared" si="18"/>
        <v>0.9999890577507599</v>
      </c>
    </row>
    <row r="122" spans="1:16" ht="15">
      <c r="A122" s="3">
        <v>7446346</v>
      </c>
      <c r="B122" t="s">
        <v>479</v>
      </c>
      <c r="C122" s="13">
        <f t="shared" si="19"/>
        <v>0.711159146176709</v>
      </c>
      <c r="D122">
        <v>7782492</v>
      </c>
      <c r="E122" t="s">
        <v>494</v>
      </c>
      <c r="I122" t="s">
        <v>479</v>
      </c>
      <c r="J122" t="s">
        <v>199</v>
      </c>
      <c r="K122">
        <v>111.03</v>
      </c>
      <c r="L122">
        <v>78.96</v>
      </c>
      <c r="M122" t="s">
        <v>200</v>
      </c>
      <c r="N122" t="s">
        <v>288</v>
      </c>
      <c r="O122" s="13">
        <v>0.7114</v>
      </c>
      <c r="P122" s="17">
        <f t="shared" si="18"/>
        <v>1.0003386778115502</v>
      </c>
    </row>
    <row r="123" spans="1:16" ht="15">
      <c r="A123" s="3">
        <v>7783791</v>
      </c>
      <c r="B123" t="s">
        <v>500</v>
      </c>
      <c r="C123" s="13">
        <f t="shared" si="19"/>
        <v>0.40922518787250584</v>
      </c>
      <c r="D123">
        <v>7782492</v>
      </c>
      <c r="E123" t="s">
        <v>494</v>
      </c>
      <c r="I123" t="s">
        <v>500</v>
      </c>
      <c r="J123" t="s">
        <v>201</v>
      </c>
      <c r="K123">
        <v>192.95</v>
      </c>
      <c r="L123">
        <v>78.96</v>
      </c>
      <c r="M123" t="s">
        <v>202</v>
      </c>
      <c r="N123" t="s">
        <v>288</v>
      </c>
      <c r="O123" s="13">
        <v>0.4092</v>
      </c>
      <c r="P123" s="17">
        <f t="shared" si="18"/>
        <v>0.9999384498480243</v>
      </c>
    </row>
    <row r="124" spans="1:16" ht="15">
      <c r="A124" s="3">
        <v>7783008</v>
      </c>
      <c r="B124" t="s">
        <v>495</v>
      </c>
      <c r="C124" s="13">
        <f t="shared" si="19"/>
        <v>0.6122354035822284</v>
      </c>
      <c r="D124">
        <v>7782492</v>
      </c>
      <c r="E124" t="s">
        <v>494</v>
      </c>
      <c r="I124" t="s">
        <v>203</v>
      </c>
      <c r="J124" t="s">
        <v>496</v>
      </c>
      <c r="K124">
        <v>128.97</v>
      </c>
      <c r="L124">
        <v>78.96</v>
      </c>
      <c r="M124" t="s">
        <v>204</v>
      </c>
      <c r="N124" t="s">
        <v>288</v>
      </c>
      <c r="O124" s="13">
        <v>0.6122</v>
      </c>
      <c r="P124" s="17">
        <f t="shared" si="18"/>
        <v>0.9999421732522796</v>
      </c>
    </row>
    <row r="125" spans="1:16" ht="15">
      <c r="A125" s="3">
        <v>12640890</v>
      </c>
      <c r="B125" t="s">
        <v>340</v>
      </c>
      <c r="C125" s="13">
        <f t="shared" si="19"/>
        <v>0.8315080033698399</v>
      </c>
      <c r="D125">
        <v>7782492</v>
      </c>
      <c r="E125" t="s">
        <v>494</v>
      </c>
      <c r="I125" t="s">
        <v>340</v>
      </c>
      <c r="J125" t="s">
        <v>340</v>
      </c>
      <c r="K125">
        <f>16+78.96</f>
        <v>94.96</v>
      </c>
      <c r="L125">
        <v>78.96</v>
      </c>
      <c r="M125" t="s">
        <v>205</v>
      </c>
      <c r="N125" t="s">
        <v>288</v>
      </c>
      <c r="O125" s="13">
        <v>0.8315</v>
      </c>
      <c r="P125" s="17">
        <f t="shared" si="18"/>
        <v>0.9999903748733537</v>
      </c>
    </row>
    <row r="126" spans="1:16" ht="15">
      <c r="A126" s="3">
        <v>7783075</v>
      </c>
      <c r="B126" t="s">
        <v>497</v>
      </c>
      <c r="C126" s="13">
        <f t="shared" si="19"/>
        <v>0.9750555692763644</v>
      </c>
      <c r="D126">
        <v>7782492</v>
      </c>
      <c r="E126" t="s">
        <v>494</v>
      </c>
      <c r="I126" t="s">
        <v>497</v>
      </c>
      <c r="J126" t="s">
        <v>206</v>
      </c>
      <c r="K126">
        <v>80.98</v>
      </c>
      <c r="L126">
        <v>78.96</v>
      </c>
      <c r="M126" t="s">
        <v>207</v>
      </c>
      <c r="N126" t="s">
        <v>288</v>
      </c>
      <c r="O126" s="13">
        <v>0.9751</v>
      </c>
      <c r="P126" s="17">
        <f t="shared" si="18"/>
        <v>1.0000455673758866</v>
      </c>
    </row>
    <row r="127" spans="1:16" ht="15">
      <c r="A127" s="3">
        <v>151508</v>
      </c>
      <c r="B127" t="s">
        <v>416</v>
      </c>
      <c r="C127" s="13">
        <f>L127/K127</f>
        <v>0.39957002457002455</v>
      </c>
      <c r="D127">
        <v>57125</v>
      </c>
      <c r="E127" t="s">
        <v>290</v>
      </c>
      <c r="F127" s="22" t="s">
        <v>566</v>
      </c>
      <c r="G127" s="22"/>
      <c r="H127" s="22"/>
      <c r="I127" s="22" t="s">
        <v>195</v>
      </c>
      <c r="K127">
        <v>65.12</v>
      </c>
      <c r="L127">
        <v>26.02</v>
      </c>
      <c r="M127" t="s">
        <v>196</v>
      </c>
      <c r="N127" t="s">
        <v>289</v>
      </c>
      <c r="O127" s="13">
        <v>0.415</v>
      </c>
      <c r="P127" s="17">
        <f aca="true" t="shared" si="20" ref="P127:P138">O127/C127</f>
        <v>1.0386164488854728</v>
      </c>
    </row>
    <row r="128" spans="1:16" ht="15">
      <c r="A128" s="3">
        <v>144</v>
      </c>
      <c r="B128" t="s">
        <v>413</v>
      </c>
      <c r="C128" s="13">
        <v>1</v>
      </c>
      <c r="D128">
        <v>57125</v>
      </c>
      <c r="E128" t="s">
        <v>290</v>
      </c>
      <c r="K128" t="s">
        <v>534</v>
      </c>
      <c r="L128" t="s">
        <v>534</v>
      </c>
      <c r="M128" t="s">
        <v>273</v>
      </c>
      <c r="N128" t="s">
        <v>289</v>
      </c>
      <c r="O128" s="13">
        <v>1</v>
      </c>
      <c r="P128" s="17">
        <f t="shared" si="20"/>
        <v>1</v>
      </c>
    </row>
    <row r="129" spans="1:16" s="22" customFormat="1" ht="15">
      <c r="A129" s="21">
        <v>143339</v>
      </c>
      <c r="B129" s="22" t="s">
        <v>410</v>
      </c>
      <c r="C129" s="23">
        <f aca="true" t="shared" si="21" ref="C129:C138">L129/K129</f>
        <v>0.5309120587635177</v>
      </c>
      <c r="D129" s="22">
        <v>57125</v>
      </c>
      <c r="E129" s="22" t="s">
        <v>290</v>
      </c>
      <c r="F129" s="22" t="s">
        <v>566</v>
      </c>
      <c r="I129" s="22" t="s">
        <v>410</v>
      </c>
      <c r="J129" s="22" t="s">
        <v>208</v>
      </c>
      <c r="K129" s="22">
        <v>49.01</v>
      </c>
      <c r="L129" s="22">
        <v>26.02</v>
      </c>
      <c r="M129" s="22" t="s">
        <v>209</v>
      </c>
      <c r="N129" s="22" t="s">
        <v>289</v>
      </c>
      <c r="O129" s="23">
        <v>0.5516</v>
      </c>
      <c r="P129" s="24">
        <f t="shared" si="20"/>
        <v>1.0389667947732513</v>
      </c>
    </row>
    <row r="130" spans="1:16" s="22" customFormat="1" ht="15">
      <c r="A130" s="21">
        <v>140294</v>
      </c>
      <c r="B130" s="22" t="s">
        <v>404</v>
      </c>
      <c r="C130" s="23">
        <f t="shared" si="21"/>
        <v>0.22210840802390097</v>
      </c>
      <c r="D130" s="22">
        <v>57125</v>
      </c>
      <c r="E130" s="22" t="s">
        <v>290</v>
      </c>
      <c r="F130" s="22" t="s">
        <v>566</v>
      </c>
      <c r="I130" s="22" t="s">
        <v>405</v>
      </c>
      <c r="J130" s="22" t="s">
        <v>405</v>
      </c>
      <c r="K130" s="22">
        <v>117.15</v>
      </c>
      <c r="L130" s="22">
        <v>26.02</v>
      </c>
      <c r="M130" s="22" t="s">
        <v>210</v>
      </c>
      <c r="N130" s="22" t="s">
        <v>289</v>
      </c>
      <c r="O130" s="23">
        <v>0.2307</v>
      </c>
      <c r="P130" s="24">
        <f t="shared" si="20"/>
        <v>1.0386819754035357</v>
      </c>
    </row>
    <row r="131" spans="1:16" s="22" customFormat="1" ht="15">
      <c r="A131" s="21">
        <v>13967505</v>
      </c>
      <c r="B131" s="22" t="s">
        <v>401</v>
      </c>
      <c r="C131" s="23">
        <f t="shared" si="21"/>
        <v>0.09031586254772647</v>
      </c>
      <c r="D131" s="22">
        <v>57125</v>
      </c>
      <c r="E131" s="22" t="s">
        <v>290</v>
      </c>
      <c r="F131" s="22" t="s">
        <v>566</v>
      </c>
      <c r="I131" s="22" t="s">
        <v>402</v>
      </c>
      <c r="J131" s="22" t="s">
        <v>402</v>
      </c>
      <c r="K131" s="22">
        <v>288.1</v>
      </c>
      <c r="L131" s="22">
        <v>26.02</v>
      </c>
      <c r="M131" s="22" t="s">
        <v>211</v>
      </c>
      <c r="N131" s="22" t="s">
        <v>289</v>
      </c>
      <c r="O131" s="23">
        <v>0.0938</v>
      </c>
      <c r="P131" s="24">
        <f t="shared" si="20"/>
        <v>1.038577248270561</v>
      </c>
    </row>
    <row r="132" spans="1:16" s="22" customFormat="1" ht="15">
      <c r="A132" s="21">
        <v>13943583</v>
      </c>
      <c r="B132" s="22" t="s">
        <v>400</v>
      </c>
      <c r="C132" s="23">
        <f t="shared" si="21"/>
        <v>0.42384753217136345</v>
      </c>
      <c r="D132" s="22">
        <v>57125</v>
      </c>
      <c r="E132" s="22" t="s">
        <v>290</v>
      </c>
      <c r="F132" s="22" t="s">
        <v>566</v>
      </c>
      <c r="I132" s="22" t="s">
        <v>400</v>
      </c>
      <c r="J132" s="22" t="s">
        <v>212</v>
      </c>
      <c r="K132" s="22">
        <v>368.34</v>
      </c>
      <c r="L132" s="22">
        <f>6*26.02</f>
        <v>156.12</v>
      </c>
      <c r="M132" s="22" t="s">
        <v>213</v>
      </c>
      <c r="N132" s="22" t="s">
        <v>289</v>
      </c>
      <c r="O132" s="23">
        <v>0.4402</v>
      </c>
      <c r="P132" s="24">
        <f t="shared" si="20"/>
        <v>1.0385810146041505</v>
      </c>
    </row>
    <row r="133" spans="1:16" s="22" customFormat="1" ht="15">
      <c r="A133" s="21">
        <v>14220178</v>
      </c>
      <c r="B133" s="22" t="s">
        <v>406</v>
      </c>
      <c r="C133" s="23">
        <f t="shared" si="21"/>
        <v>0.43193891102257637</v>
      </c>
      <c r="D133" s="22">
        <v>57125</v>
      </c>
      <c r="E133" s="22" t="s">
        <v>290</v>
      </c>
      <c r="F133" s="22" t="s">
        <v>566</v>
      </c>
      <c r="I133" s="22" t="s">
        <v>214</v>
      </c>
      <c r="J133" s="22" t="s">
        <v>215</v>
      </c>
      <c r="K133" s="22">
        <v>240.96</v>
      </c>
      <c r="L133" s="22">
        <f>4*26.02</f>
        <v>104.08</v>
      </c>
      <c r="M133" s="22" t="s">
        <v>82</v>
      </c>
      <c r="N133" s="22" t="s">
        <v>289</v>
      </c>
      <c r="O133" s="23">
        <v>0.4486</v>
      </c>
      <c r="P133" s="24">
        <f t="shared" si="20"/>
        <v>1.0385727901614143</v>
      </c>
    </row>
    <row r="134" spans="1:16" s="22" customFormat="1" ht="15">
      <c r="A134" s="21">
        <v>506649</v>
      </c>
      <c r="B134" s="22" t="s">
        <v>446</v>
      </c>
      <c r="C134" s="23">
        <f t="shared" si="21"/>
        <v>0.19433863619389052</v>
      </c>
      <c r="D134" s="22">
        <v>57125</v>
      </c>
      <c r="E134" s="22" t="s">
        <v>290</v>
      </c>
      <c r="F134" s="22" t="s">
        <v>566</v>
      </c>
      <c r="I134" s="22" t="s">
        <v>446</v>
      </c>
      <c r="J134" s="22" t="s">
        <v>216</v>
      </c>
      <c r="K134" s="22">
        <v>133.89</v>
      </c>
      <c r="L134" s="22">
        <v>26.02</v>
      </c>
      <c r="M134" s="22" t="s">
        <v>217</v>
      </c>
      <c r="N134" s="22" t="s">
        <v>289</v>
      </c>
      <c r="O134" s="23">
        <v>0.2018</v>
      </c>
      <c r="P134" s="24">
        <f t="shared" si="20"/>
        <v>1.038393620292083</v>
      </c>
    </row>
    <row r="135" spans="1:16" s="22" customFormat="1" ht="15">
      <c r="A135" s="21">
        <v>37187647</v>
      </c>
      <c r="B135" s="22" t="s">
        <v>443</v>
      </c>
      <c r="C135" s="23">
        <f t="shared" si="21"/>
        <v>0.11666822104726991</v>
      </c>
      <c r="D135" s="22">
        <v>57125</v>
      </c>
      <c r="E135" s="22" t="s">
        <v>290</v>
      </c>
      <c r="F135" s="22" t="s">
        <v>566</v>
      </c>
      <c r="I135" s="22" t="s">
        <v>443</v>
      </c>
      <c r="J135" s="22" t="s">
        <v>443</v>
      </c>
      <c r="K135" s="22">
        <f>27.0256-1+197</f>
        <v>223.0256</v>
      </c>
      <c r="L135" s="22">
        <v>26.02</v>
      </c>
      <c r="M135" s="22" t="s">
        <v>218</v>
      </c>
      <c r="N135" s="22" t="s">
        <v>289</v>
      </c>
      <c r="O135" s="23">
        <v>0.1212</v>
      </c>
      <c r="P135" s="24">
        <f t="shared" si="20"/>
        <v>1.0388433020753267</v>
      </c>
    </row>
    <row r="136" spans="1:16" s="22" customFormat="1" ht="15">
      <c r="A136" s="21">
        <v>78820</v>
      </c>
      <c r="B136" s="22" t="s">
        <v>520</v>
      </c>
      <c r="C136" s="23">
        <f t="shared" si="21"/>
        <v>0.37650122992331064</v>
      </c>
      <c r="D136" s="22">
        <v>57125</v>
      </c>
      <c r="E136" s="22" t="s">
        <v>290</v>
      </c>
      <c r="F136" s="22" t="s">
        <v>566</v>
      </c>
      <c r="I136" s="22" t="s">
        <v>521</v>
      </c>
      <c r="J136" s="22" t="s">
        <v>219</v>
      </c>
      <c r="K136" s="22">
        <v>69.11</v>
      </c>
      <c r="L136" s="22">
        <v>26.02</v>
      </c>
      <c r="M136" s="22" t="s">
        <v>220</v>
      </c>
      <c r="N136" s="22" t="s">
        <v>289</v>
      </c>
      <c r="O136" s="23">
        <v>0.3911</v>
      </c>
      <c r="P136" s="24">
        <f t="shared" si="20"/>
        <v>1.0387748270561108</v>
      </c>
    </row>
    <row r="137" spans="1:16" s="22" customFormat="1" ht="15">
      <c r="A137" s="21">
        <v>544923</v>
      </c>
      <c r="B137" s="22" t="s">
        <v>450</v>
      </c>
      <c r="C137" s="23">
        <f t="shared" si="21"/>
        <v>0.2905314872711032</v>
      </c>
      <c r="D137" s="22">
        <v>57125</v>
      </c>
      <c r="E137" s="22" t="s">
        <v>290</v>
      </c>
      <c r="F137" s="22" t="s">
        <v>566</v>
      </c>
      <c r="I137" s="22" t="s">
        <v>451</v>
      </c>
      <c r="J137" s="22" t="s">
        <v>221</v>
      </c>
      <c r="K137" s="22">
        <v>89.56</v>
      </c>
      <c r="L137" s="22">
        <v>26.02</v>
      </c>
      <c r="M137" s="22" t="s">
        <v>222</v>
      </c>
      <c r="N137" s="22" t="s">
        <v>289</v>
      </c>
      <c r="O137" s="23">
        <v>0.3021</v>
      </c>
      <c r="P137" s="24">
        <f t="shared" si="20"/>
        <v>1.0398184473481937</v>
      </c>
    </row>
    <row r="138" spans="1:16" s="22" customFormat="1" ht="15">
      <c r="A138" s="21">
        <v>557211</v>
      </c>
      <c r="B138" s="22" t="s">
        <v>452</v>
      </c>
      <c r="C138" s="23">
        <f t="shared" si="21"/>
        <v>0.4431576258196372</v>
      </c>
      <c r="D138" s="22">
        <v>57125</v>
      </c>
      <c r="E138" s="22" t="s">
        <v>290</v>
      </c>
      <c r="F138" s="22" t="s">
        <v>566</v>
      </c>
      <c r="I138" s="22" t="s">
        <v>452</v>
      </c>
      <c r="J138" s="22" t="s">
        <v>226</v>
      </c>
      <c r="K138" s="22">
        <v>117.43</v>
      </c>
      <c r="L138" s="22">
        <f>2*26.02</f>
        <v>52.04</v>
      </c>
      <c r="M138" s="22" t="s">
        <v>227</v>
      </c>
      <c r="N138" s="22" t="s">
        <v>289</v>
      </c>
      <c r="O138" s="23">
        <v>0.4601</v>
      </c>
      <c r="P138" s="24">
        <f t="shared" si="20"/>
        <v>1.0382310338201384</v>
      </c>
    </row>
    <row r="139" spans="1:16" ht="15">
      <c r="A139" s="3">
        <v>139</v>
      </c>
      <c r="B139" t="s">
        <v>399</v>
      </c>
      <c r="C139" s="13">
        <v>1</v>
      </c>
      <c r="D139">
        <v>7440484</v>
      </c>
      <c r="E139" t="s">
        <v>292</v>
      </c>
      <c r="K139" t="s">
        <v>534</v>
      </c>
      <c r="L139" t="s">
        <v>534</v>
      </c>
      <c r="M139" t="s">
        <v>534</v>
      </c>
      <c r="N139" t="s">
        <v>291</v>
      </c>
      <c r="O139" s="13">
        <v>1</v>
      </c>
      <c r="P139" s="17">
        <f aca="true" t="shared" si="22" ref="P139:P149">O139/C139</f>
        <v>1</v>
      </c>
    </row>
    <row r="140" spans="1:16" ht="15">
      <c r="A140" s="3">
        <v>1317426</v>
      </c>
      <c r="B140" t="s">
        <v>370</v>
      </c>
      <c r="C140" s="13">
        <f aca="true" t="shared" si="23" ref="C140:C149">L140/K140</f>
        <v>0.6476175824175824</v>
      </c>
      <c r="D140">
        <v>7440484</v>
      </c>
      <c r="E140" t="s">
        <v>292</v>
      </c>
      <c r="I140" t="s">
        <v>229</v>
      </c>
      <c r="J140" t="s">
        <v>228</v>
      </c>
      <c r="K140">
        <v>91</v>
      </c>
      <c r="L140">
        <v>58.9332</v>
      </c>
      <c r="M140" t="s">
        <v>230</v>
      </c>
      <c r="N140" t="s">
        <v>291</v>
      </c>
      <c r="O140" s="13">
        <v>0.6477</v>
      </c>
      <c r="P140" s="17">
        <f t="shared" si="22"/>
        <v>1.0001272627313638</v>
      </c>
    </row>
    <row r="141" spans="1:16" ht="15">
      <c r="A141" s="3">
        <v>7542098</v>
      </c>
      <c r="B141" t="s">
        <v>484</v>
      </c>
      <c r="C141" s="13">
        <f t="shared" si="23"/>
        <v>0.4873202726794627</v>
      </c>
      <c r="D141">
        <v>7440484</v>
      </c>
      <c r="E141" t="s">
        <v>292</v>
      </c>
      <c r="I141" t="s">
        <v>484</v>
      </c>
      <c r="J141" t="s">
        <v>232</v>
      </c>
      <c r="K141">
        <f>58.9332+14+48</f>
        <v>120.9332</v>
      </c>
      <c r="L141">
        <v>58.9332</v>
      </c>
      <c r="M141" t="s">
        <v>233</v>
      </c>
      <c r="N141" t="s">
        <v>291</v>
      </c>
      <c r="O141" s="13">
        <v>0.4873</v>
      </c>
      <c r="P141" s="17">
        <f t="shared" si="22"/>
        <v>0.9999583996796373</v>
      </c>
    </row>
    <row r="142" spans="1:16" ht="15">
      <c r="A142" s="3">
        <v>1307966</v>
      </c>
      <c r="B142" t="s">
        <v>348</v>
      </c>
      <c r="C142" s="13">
        <f t="shared" si="23"/>
        <v>0.7865100760709995</v>
      </c>
      <c r="D142">
        <v>7440484</v>
      </c>
      <c r="E142" t="s">
        <v>292</v>
      </c>
      <c r="I142" t="s">
        <v>349</v>
      </c>
      <c r="J142" t="s">
        <v>234</v>
      </c>
      <c r="K142">
        <v>74.93</v>
      </c>
      <c r="L142">
        <v>58.9332</v>
      </c>
      <c r="M142" t="s">
        <v>235</v>
      </c>
      <c r="N142" t="s">
        <v>291</v>
      </c>
      <c r="O142" s="13">
        <v>0.7865</v>
      </c>
      <c r="P142" s="17">
        <f t="shared" si="22"/>
        <v>0.9999871888850428</v>
      </c>
    </row>
    <row r="143" spans="1:16" s="22" customFormat="1" ht="15">
      <c r="A143" s="21">
        <v>1308061</v>
      </c>
      <c r="B143" s="22" t="s">
        <v>350</v>
      </c>
      <c r="C143" s="23">
        <f t="shared" si="23"/>
        <v>0.7342176079734218</v>
      </c>
      <c r="D143" s="22">
        <v>7440484</v>
      </c>
      <c r="E143" s="22" t="s">
        <v>292</v>
      </c>
      <c r="F143" s="22" t="s">
        <v>556</v>
      </c>
      <c r="I143" s="22" t="s">
        <v>351</v>
      </c>
      <c r="J143" s="22" t="s">
        <v>236</v>
      </c>
      <c r="K143" s="22">
        <v>240.8</v>
      </c>
      <c r="L143" s="22">
        <f>58.9332*3</f>
        <v>176.7996</v>
      </c>
      <c r="M143" s="22" t="s">
        <v>237</v>
      </c>
      <c r="N143" s="22" t="s">
        <v>291</v>
      </c>
      <c r="O143" s="23">
        <v>0.2447</v>
      </c>
      <c r="P143" s="24">
        <f t="shared" si="22"/>
        <v>0.33327993954737456</v>
      </c>
    </row>
    <row r="144" spans="1:16" ht="15">
      <c r="A144" s="3">
        <v>16842038</v>
      </c>
      <c r="B144" t="s">
        <v>418</v>
      </c>
      <c r="C144" s="13">
        <f t="shared" si="23"/>
        <v>0.34267472961972323</v>
      </c>
      <c r="D144">
        <v>7440484</v>
      </c>
      <c r="E144" t="s">
        <v>292</v>
      </c>
      <c r="I144" t="s">
        <v>418</v>
      </c>
      <c r="J144" t="s">
        <v>238</v>
      </c>
      <c r="K144">
        <v>171.98</v>
      </c>
      <c r="L144">
        <v>58.9332</v>
      </c>
      <c r="M144" t="s">
        <v>239</v>
      </c>
      <c r="N144" t="s">
        <v>291</v>
      </c>
      <c r="O144" s="13">
        <v>0.3471</v>
      </c>
      <c r="P144" s="17">
        <f t="shared" si="22"/>
        <v>1.0129139093074873</v>
      </c>
    </row>
    <row r="145" spans="1:16" ht="15">
      <c r="A145" s="3">
        <v>13586828</v>
      </c>
      <c r="B145" t="s">
        <v>389</v>
      </c>
      <c r="C145" s="13">
        <f t="shared" si="23"/>
        <v>0.1706526901025077</v>
      </c>
      <c r="D145">
        <v>7440484</v>
      </c>
      <c r="E145" t="s">
        <v>292</v>
      </c>
      <c r="I145" t="s">
        <v>390</v>
      </c>
      <c r="J145" t="s">
        <v>240</v>
      </c>
      <c r="K145">
        <v>345.34</v>
      </c>
      <c r="L145">
        <v>58.9332</v>
      </c>
      <c r="M145" t="s">
        <v>241</v>
      </c>
      <c r="N145" t="s">
        <v>291</v>
      </c>
      <c r="O145" s="13">
        <v>0.2056</v>
      </c>
      <c r="P145" s="17">
        <f t="shared" si="22"/>
        <v>1.2047861646745806</v>
      </c>
    </row>
    <row r="146" spans="1:16" ht="15">
      <c r="A146" s="3">
        <v>1345160</v>
      </c>
      <c r="B146" t="s">
        <v>382</v>
      </c>
      <c r="C146" s="13">
        <f t="shared" si="23"/>
        <v>0.33315695572243587</v>
      </c>
      <c r="D146">
        <v>7440484</v>
      </c>
      <c r="E146" t="s">
        <v>292</v>
      </c>
      <c r="I146" t="s">
        <v>383</v>
      </c>
      <c r="J146" t="s">
        <v>383</v>
      </c>
      <c r="K146">
        <f>58.9332+64+2*26.98</f>
        <v>176.8932</v>
      </c>
      <c r="L146">
        <v>58.9332</v>
      </c>
      <c r="M146" t="s">
        <v>242</v>
      </c>
      <c r="N146" t="s">
        <v>291</v>
      </c>
      <c r="O146" s="13">
        <v>0.3332</v>
      </c>
      <c r="P146" s="17">
        <f t="shared" si="22"/>
        <v>1.000129201197288</v>
      </c>
    </row>
    <row r="147" spans="1:16" ht="15">
      <c r="A147" s="3">
        <v>136527</v>
      </c>
      <c r="B147" t="s">
        <v>394</v>
      </c>
      <c r="C147" s="13">
        <f t="shared" si="23"/>
        <v>0.1706526901025077</v>
      </c>
      <c r="D147">
        <v>7440484</v>
      </c>
      <c r="E147" t="s">
        <v>292</v>
      </c>
      <c r="I147" t="s">
        <v>394</v>
      </c>
      <c r="J147" t="s">
        <v>246</v>
      </c>
      <c r="K147">
        <v>345.34</v>
      </c>
      <c r="L147">
        <v>58.9332</v>
      </c>
      <c r="M147" t="s">
        <v>247</v>
      </c>
      <c r="N147" t="s">
        <v>291</v>
      </c>
      <c r="O147" s="13">
        <v>0.2056</v>
      </c>
      <c r="P147" s="17">
        <f t="shared" si="22"/>
        <v>1.2047861646745806</v>
      </c>
    </row>
    <row r="148" spans="1:16" ht="15">
      <c r="A148" s="3">
        <v>61789513</v>
      </c>
      <c r="B148" t="s">
        <v>461</v>
      </c>
      <c r="C148" s="13">
        <f t="shared" si="23"/>
        <v>0.18813471667996806</v>
      </c>
      <c r="D148">
        <v>7440484</v>
      </c>
      <c r="E148" t="s">
        <v>292</v>
      </c>
      <c r="I148" t="s">
        <v>462</v>
      </c>
      <c r="J148" t="s">
        <v>245</v>
      </c>
      <c r="K148">
        <v>313.25</v>
      </c>
      <c r="L148">
        <v>58.9332</v>
      </c>
      <c r="M148" t="s">
        <v>248</v>
      </c>
      <c r="N148" t="s">
        <v>291</v>
      </c>
      <c r="O148" s="13">
        <v>0.1448</v>
      </c>
      <c r="P148" s="17">
        <f t="shared" si="22"/>
        <v>0.7696612435774742</v>
      </c>
    </row>
    <row r="149" spans="1:16" ht="15">
      <c r="A149" s="3">
        <v>10124433</v>
      </c>
      <c r="B149" t="s">
        <v>316</v>
      </c>
      <c r="C149" s="13">
        <f t="shared" si="23"/>
        <v>0.3753467931978855</v>
      </c>
      <c r="D149">
        <v>7440484</v>
      </c>
      <c r="E149" t="s">
        <v>292</v>
      </c>
      <c r="I149" t="s">
        <v>317</v>
      </c>
      <c r="J149" t="s">
        <v>250</v>
      </c>
      <c r="K149">
        <v>157.01</v>
      </c>
      <c r="L149">
        <v>58.9332</v>
      </c>
      <c r="M149" t="s">
        <v>251</v>
      </c>
      <c r="N149" t="s">
        <v>291</v>
      </c>
      <c r="O149" s="13">
        <v>0.3753</v>
      </c>
      <c r="P149" s="17">
        <f t="shared" si="22"/>
        <v>0.9998753334283562</v>
      </c>
    </row>
    <row r="150" spans="1:16" ht="15">
      <c r="A150" s="3">
        <v>22967926</v>
      </c>
      <c r="B150" t="s">
        <v>433</v>
      </c>
      <c r="C150" s="13">
        <f>L150/K150</f>
        <v>0.9302940358037288</v>
      </c>
      <c r="D150">
        <v>7439976</v>
      </c>
      <c r="E150" t="s">
        <v>295</v>
      </c>
      <c r="I150" t="s">
        <v>434</v>
      </c>
      <c r="J150" t="s">
        <v>252</v>
      </c>
      <c r="K150">
        <v>215.62</v>
      </c>
      <c r="L150">
        <v>200.59</v>
      </c>
      <c r="M150" t="s">
        <v>253</v>
      </c>
      <c r="N150" t="s">
        <v>293</v>
      </c>
      <c r="O150" s="13">
        <v>1</v>
      </c>
      <c r="P150" s="17">
        <f>O150/C150</f>
        <v>1.0749289595692706</v>
      </c>
    </row>
    <row r="151" spans="1:16" ht="15">
      <c r="A151" s="3">
        <v>62384</v>
      </c>
      <c r="B151" t="s">
        <v>465</v>
      </c>
      <c r="C151" s="13">
        <f>L151/K151</f>
        <v>0.5956821286452456</v>
      </c>
      <c r="D151">
        <v>7439976</v>
      </c>
      <c r="E151" t="s">
        <v>295</v>
      </c>
      <c r="I151" t="s">
        <v>466</v>
      </c>
      <c r="J151" t="s">
        <v>254</v>
      </c>
      <c r="K151">
        <v>336.74</v>
      </c>
      <c r="L151">
        <v>200.59</v>
      </c>
      <c r="M151" t="s">
        <v>255</v>
      </c>
      <c r="N151" t="s">
        <v>293</v>
      </c>
      <c r="O151" s="13">
        <v>0.5957</v>
      </c>
      <c r="P151" s="17">
        <f>O151/C151</f>
        <v>1.000030001495588</v>
      </c>
    </row>
    <row r="152" spans="1:16" s="22" customFormat="1" ht="15">
      <c r="A152" s="21">
        <v>7487947</v>
      </c>
      <c r="B152" s="22" t="s">
        <v>480</v>
      </c>
      <c r="C152" s="23">
        <f>L152/K152</f>
        <v>0.7388213627992634</v>
      </c>
      <c r="D152" s="22">
        <v>7439976</v>
      </c>
      <c r="E152" s="22" t="s">
        <v>295</v>
      </c>
      <c r="F152" s="22" t="s">
        <v>555</v>
      </c>
      <c r="I152" s="22" t="s">
        <v>481</v>
      </c>
      <c r="J152" s="22" t="s">
        <v>258</v>
      </c>
      <c r="K152" s="22">
        <v>271.5</v>
      </c>
      <c r="L152" s="22">
        <v>200.59</v>
      </c>
      <c r="M152" s="22" t="s">
        <v>294</v>
      </c>
      <c r="N152" s="22" t="s">
        <v>296</v>
      </c>
      <c r="O152" s="23">
        <v>0.7388</v>
      </c>
      <c r="P152" s="24">
        <f>O152/C152</f>
        <v>0.9999710852983699</v>
      </c>
    </row>
    <row r="153" spans="1:16" ht="15">
      <c r="A153" s="3">
        <v>199</v>
      </c>
      <c r="B153" t="s">
        <v>426</v>
      </c>
      <c r="C153" s="13">
        <v>1</v>
      </c>
      <c r="D153">
        <v>7439976</v>
      </c>
      <c r="E153" t="s">
        <v>295</v>
      </c>
      <c r="F153" s="26" t="s">
        <v>534</v>
      </c>
      <c r="K153" t="s">
        <v>534</v>
      </c>
      <c r="L153" t="s">
        <v>534</v>
      </c>
      <c r="M153" t="s">
        <v>534</v>
      </c>
      <c r="N153" t="s">
        <v>293</v>
      </c>
      <c r="O153" s="13">
        <v>1</v>
      </c>
      <c r="P153" s="17">
        <f>O153/C153</f>
        <v>1</v>
      </c>
    </row>
    <row r="154" spans="1:16" s="22" customFormat="1" ht="15">
      <c r="A154" s="22">
        <v>201</v>
      </c>
      <c r="B154" s="22" t="s">
        <v>428</v>
      </c>
      <c r="C154" s="23">
        <v>1</v>
      </c>
      <c r="D154" s="22">
        <v>7439976</v>
      </c>
      <c r="E154" s="22" t="s">
        <v>295</v>
      </c>
      <c r="F154" s="22" t="s">
        <v>555</v>
      </c>
      <c r="O154" s="23"/>
      <c r="P154" s="24"/>
    </row>
    <row r="155" spans="1:16" s="22" customFormat="1" ht="15">
      <c r="A155" s="21">
        <v>202</v>
      </c>
      <c r="B155" s="22" t="s">
        <v>558</v>
      </c>
      <c r="C155" s="23">
        <v>1</v>
      </c>
      <c r="D155" s="22">
        <v>7439976</v>
      </c>
      <c r="E155" s="22" t="s">
        <v>295</v>
      </c>
      <c r="F155" s="22" t="s">
        <v>559</v>
      </c>
      <c r="O155" s="23"/>
      <c r="P155" s="24"/>
    </row>
    <row r="156" spans="1:16" s="22" customFormat="1" ht="15">
      <c r="A156" s="21">
        <v>200</v>
      </c>
      <c r="B156" s="22" t="s">
        <v>560</v>
      </c>
      <c r="C156" s="23">
        <v>1</v>
      </c>
      <c r="D156" s="22">
        <v>7439976</v>
      </c>
      <c r="E156" s="22" t="s">
        <v>295</v>
      </c>
      <c r="F156" s="22" t="s">
        <v>561</v>
      </c>
      <c r="O156" s="23"/>
      <c r="P156" s="24"/>
    </row>
    <row r="159" spans="1:5" ht="15">
      <c r="A159" s="32"/>
      <c r="B159" s="33" t="s">
        <v>577</v>
      </c>
      <c r="C159" s="34"/>
      <c r="D159" s="33"/>
      <c r="E159" s="33"/>
    </row>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sheetData>
  <sheetProtection/>
  <autoFilter ref="A1:F156"/>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
      <pane ySplit="2" topLeftCell="A3" activePane="bottomLeft" state="frozen"/>
      <selection pane="topLeft" activeCell="A1" sqref="A1"/>
      <selection pane="bottomLeft" activeCell="D8" sqref="D8"/>
    </sheetView>
  </sheetViews>
  <sheetFormatPr defaultColWidth="9.140625" defaultRowHeight="15"/>
  <cols>
    <col min="1" max="1" width="17.00390625" style="0" customWidth="1"/>
    <col min="2" max="2" width="36.140625" style="0" customWidth="1"/>
  </cols>
  <sheetData>
    <row r="1" ht="15">
      <c r="A1" s="3" t="s">
        <v>76</v>
      </c>
    </row>
    <row r="2" spans="1:2" ht="30">
      <c r="A2" s="6" t="s">
        <v>257</v>
      </c>
      <c r="B2" s="7" t="s">
        <v>256</v>
      </c>
    </row>
    <row r="3" spans="1:2" ht="15">
      <c r="A3" s="3">
        <v>7440473</v>
      </c>
      <c r="B3" t="s">
        <v>275</v>
      </c>
    </row>
    <row r="4" spans="1:2" ht="15">
      <c r="A4" s="3">
        <v>12035722</v>
      </c>
      <c r="B4" t="s">
        <v>330</v>
      </c>
    </row>
    <row r="5" spans="1:2" ht="15">
      <c r="A5" s="3">
        <v>604</v>
      </c>
      <c r="B5" t="s">
        <v>460</v>
      </c>
    </row>
    <row r="6" spans="1:2" ht="15">
      <c r="A6" s="3">
        <v>7440417</v>
      </c>
      <c r="B6" t="s">
        <v>473</v>
      </c>
    </row>
    <row r="7" spans="1:2" ht="15">
      <c r="A7" s="3">
        <v>7440439</v>
      </c>
      <c r="B7" t="s">
        <v>474</v>
      </c>
    </row>
    <row r="8" spans="1:2" ht="15">
      <c r="A8" s="3">
        <v>7439921</v>
      </c>
      <c r="B8" t="s">
        <v>468</v>
      </c>
    </row>
    <row r="9" spans="1:2" ht="15">
      <c r="A9" s="3">
        <v>7439965</v>
      </c>
      <c r="B9" t="s">
        <v>469</v>
      </c>
    </row>
    <row r="10" spans="1:2" ht="15">
      <c r="A10" s="3">
        <v>7440360</v>
      </c>
      <c r="B10" t="s">
        <v>471</v>
      </c>
    </row>
    <row r="11" spans="1:2" ht="15">
      <c r="A11" s="3">
        <v>7782492</v>
      </c>
      <c r="B11" t="s">
        <v>494</v>
      </c>
    </row>
    <row r="12" spans="1:2" ht="15">
      <c r="A12" s="3">
        <v>7440382</v>
      </c>
      <c r="B12" t="s">
        <v>472</v>
      </c>
    </row>
    <row r="13" spans="1:2" ht="15">
      <c r="A13" s="3">
        <v>74908</v>
      </c>
      <c r="B13" t="s">
        <v>483</v>
      </c>
    </row>
    <row r="14" spans="1:2" ht="15">
      <c r="A14" s="3">
        <v>7440484</v>
      </c>
      <c r="B14" t="s">
        <v>292</v>
      </c>
    </row>
    <row r="15" spans="1:2" ht="15">
      <c r="A15" s="3">
        <v>57125</v>
      </c>
      <c r="B15" t="s">
        <v>290</v>
      </c>
    </row>
    <row r="16" spans="1:2" ht="15">
      <c r="A16" s="3">
        <v>7439976</v>
      </c>
      <c r="B16" t="s">
        <v>295</v>
      </c>
    </row>
    <row r="17" spans="1:3" s="22" customFormat="1" ht="15">
      <c r="A17" s="27">
        <v>202</v>
      </c>
      <c r="B17" s="28" t="s">
        <v>429</v>
      </c>
      <c r="C17" s="22" t="s">
        <v>562</v>
      </c>
    </row>
    <row r="18" spans="1:3" s="22" customFormat="1" ht="15">
      <c r="A18" s="27">
        <v>201</v>
      </c>
      <c r="B18" s="28" t="s">
        <v>428</v>
      </c>
      <c r="C18" s="22" t="s">
        <v>562</v>
      </c>
    </row>
    <row r="19" spans="1:3" s="22" customFormat="1" ht="15">
      <c r="A19" s="27">
        <v>200</v>
      </c>
      <c r="B19" s="28" t="s">
        <v>427</v>
      </c>
      <c r="C19" s="22" t="s">
        <v>562</v>
      </c>
    </row>
    <row r="20" spans="1:14" ht="15">
      <c r="A20" s="3">
        <v>7440020</v>
      </c>
      <c r="B20" t="s">
        <v>470</v>
      </c>
      <c r="K20" t="s">
        <v>534</v>
      </c>
      <c r="L20" t="s">
        <v>534</v>
      </c>
      <c r="M20" t="s">
        <v>279</v>
      </c>
      <c r="N20" t="s">
        <v>276</v>
      </c>
    </row>
    <row r="21" spans="1:2" ht="15">
      <c r="A21" s="2">
        <v>7738945</v>
      </c>
      <c r="B21" s="1" t="s">
        <v>488</v>
      </c>
    </row>
    <row r="22" spans="1:2" ht="15">
      <c r="A22" s="2">
        <v>18540299</v>
      </c>
      <c r="B22" s="1" t="s">
        <v>423</v>
      </c>
    </row>
    <row r="23" spans="1:2" ht="15">
      <c r="A23" s="3">
        <v>16065831</v>
      </c>
      <c r="B23" t="s">
        <v>417</v>
      </c>
    </row>
    <row r="24" spans="1:2" ht="15">
      <c r="A24" s="3">
        <v>1333820</v>
      </c>
      <c r="B24" t="s">
        <v>376</v>
      </c>
    </row>
    <row r="25" spans="1:2" ht="15">
      <c r="A25" s="3">
        <v>1313991</v>
      </c>
      <c r="B25" t="s">
        <v>361</v>
      </c>
    </row>
    <row r="26" spans="1:2" ht="15">
      <c r="A26" s="3">
        <v>593748</v>
      </c>
      <c r="B26" t="s">
        <v>453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9"/>
  <sheetViews>
    <sheetView zoomScalePageLayoutView="0" workbookViewId="0" topLeftCell="A1">
      <selection activeCell="B13" sqref="B13"/>
    </sheetView>
  </sheetViews>
  <sheetFormatPr defaultColWidth="9.140625" defaultRowHeight="15"/>
  <cols>
    <col min="1" max="1" width="59.00390625" style="0" customWidth="1"/>
  </cols>
  <sheetData>
    <row r="1" ht="15">
      <c r="A1" s="20" t="s">
        <v>541</v>
      </c>
    </row>
    <row r="2" ht="15">
      <c r="A2" t="s">
        <v>542</v>
      </c>
    </row>
    <row r="3" ht="15">
      <c r="A3" t="s">
        <v>549</v>
      </c>
    </row>
    <row r="4" ht="15">
      <c r="A4" t="s">
        <v>550</v>
      </c>
    </row>
    <row r="5" ht="15">
      <c r="A5" t="s">
        <v>224</v>
      </c>
    </row>
    <row r="6" ht="15">
      <c r="A6" t="s">
        <v>1</v>
      </c>
    </row>
    <row r="7" ht="15">
      <c r="A7" t="s">
        <v>223</v>
      </c>
    </row>
    <row r="8" ht="15">
      <c r="A8" t="s">
        <v>567</v>
      </c>
    </row>
    <row r="9" s="22" customFormat="1" ht="15">
      <c r="A9" s="22" t="s">
        <v>565</v>
      </c>
    </row>
    <row r="10" ht="15">
      <c r="A10" s="30" t="s">
        <v>270</v>
      </c>
    </row>
    <row r="11" ht="15">
      <c r="A11" t="s">
        <v>244</v>
      </c>
    </row>
    <row r="16" ht="15">
      <c r="A16" s="20" t="s">
        <v>271</v>
      </c>
    </row>
    <row r="17" ht="15">
      <c r="A17" t="s">
        <v>71</v>
      </c>
    </row>
    <row r="18" ht="15">
      <c r="A18" t="s">
        <v>75</v>
      </c>
    </row>
    <row r="19" ht="15">
      <c r="A19" t="s">
        <v>225</v>
      </c>
    </row>
    <row r="20" ht="15">
      <c r="A20" t="s">
        <v>124</v>
      </c>
    </row>
    <row r="21" ht="15">
      <c r="A21" t="s">
        <v>143</v>
      </c>
    </row>
    <row r="22" ht="15">
      <c r="A22" t="s">
        <v>151</v>
      </c>
    </row>
    <row r="23" ht="15">
      <c r="A23" t="s">
        <v>167</v>
      </c>
    </row>
    <row r="24" ht="15">
      <c r="A24" t="s">
        <v>243</v>
      </c>
    </row>
    <row r="25" ht="15">
      <c r="A25" t="s">
        <v>249</v>
      </c>
    </row>
    <row r="26" ht="15">
      <c r="A26" t="s">
        <v>263</v>
      </c>
    </row>
    <row r="27" ht="15">
      <c r="A27" t="s">
        <v>264</v>
      </c>
    </row>
    <row r="28" ht="15">
      <c r="A28" t="s">
        <v>265</v>
      </c>
    </row>
    <row r="29" ht="15">
      <c r="A29" t="s">
        <v>266</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Madeleine Strum</cp:lastModifiedBy>
  <dcterms:created xsi:type="dcterms:W3CDTF">2010-03-12T22:03:26Z</dcterms:created>
  <dcterms:modified xsi:type="dcterms:W3CDTF">2012-05-01T21:01:08Z</dcterms:modified>
  <cp:category/>
  <cp:version/>
  <cp:contentType/>
  <cp:contentStatus/>
</cp:coreProperties>
</file>