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ims\Documents\Rate to Mass Conversion\"/>
    </mc:Choice>
  </mc:AlternateContent>
  <bookViews>
    <workbookView xWindow="0" yWindow="0" windowWidth="19200" windowHeight="12225"/>
  </bookViews>
  <sheets>
    <sheet name="Mass Equivalents - States, Opt1" sheetId="1" r:id="rId1"/>
    <sheet name="Mass Equivalents - States, Opt2" sheetId="7" r:id="rId2"/>
    <sheet name="Mass Equivalents - AoIC, PR, GU" sheetId="8" r:id="rId3"/>
    <sheet name="EE Avoided Generation" sheetId="6" r:id="rId4"/>
    <sheet name="RE Generation" sheetId="4" r:id="rId5"/>
    <sheet name="Under Construction Nuclear" sheetId="5" r:id="rId6"/>
    <sheet name="Incremental Demand for New Gen" sheetId="3" r:id="rId7"/>
  </sheets>
  <externalReferences>
    <externalReference r:id="rId8"/>
  </externalReferences>
  <definedNames>
    <definedName name="_xlnm._FilterDatabase" localSheetId="0" hidden="1">'Mass Equivalents - States, Opt1'!$A$1:$BB$56</definedName>
    <definedName name="_xlnm._FilterDatabase" localSheetId="1" hidden="1">'Mass Equivalents - States, Opt2'!$A$7:$AM$7</definedName>
    <definedName name="cFtMojaveSales">'[1]App 1 - Info'!$B$32</definedName>
    <definedName name="cGuamSales">'[1]App 1 - Info'!$B$29</definedName>
    <definedName name="cHours">'[1]App 1 - Info'!$B$11</definedName>
    <definedName name="cMT2LB">'[1]App 1 - Info'!$B$25</definedName>
    <definedName name="cNavajoSales">'[1]App 1 - Info'!$B$30</definedName>
    <definedName name="cOpt1NGCC">'[1]App 1 - Info'!$B$26</definedName>
    <definedName name="cOpt2NGCC">'[1]App 1 - Info'!$B$27</definedName>
    <definedName name="cPRSales">'[1]App 1 - Info'!$B$28</definedName>
    <definedName name="cTDLoss">'[1]App 1 - Info'!$B$33</definedName>
    <definedName name="IncrRE">'RE Generation'!$A$4:$M$52</definedName>
    <definedName name="Nuclear">'Under Construction Nuclear'!$B$5:$D$53</definedName>
    <definedName name="Opt1EE">'EE Avoided Generation'!$A$4:$K$52</definedName>
    <definedName name="Opt1NewGen">'Incremental Demand for New Gen'!$AG$5:$AQ$53</definedName>
    <definedName name="Opt2EE">'EE Avoided Generation'!$N$4:$S$52</definedName>
    <definedName name="Opt2NewGen">'Incremental Demand for New Gen'!$AG$66:$AL$114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9" i="1" l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8" i="1"/>
  <c r="BE49" i="1"/>
  <c r="BE50" i="1"/>
  <c r="BE51" i="1"/>
  <c r="BE52" i="1"/>
  <c r="BE53" i="1"/>
  <c r="BE54" i="1"/>
  <c r="BE55" i="1"/>
  <c r="BE56" i="1"/>
  <c r="D5" i="4" l="1"/>
  <c r="E5" i="4"/>
  <c r="F5" i="4"/>
  <c r="G5" i="4"/>
  <c r="H5" i="4"/>
  <c r="I5" i="4"/>
  <c r="J5" i="4"/>
  <c r="K5" i="4"/>
  <c r="L5" i="4"/>
  <c r="M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D8" i="4"/>
  <c r="E8" i="4"/>
  <c r="F8" i="4"/>
  <c r="G8" i="4"/>
  <c r="H8" i="4"/>
  <c r="I8" i="4"/>
  <c r="J8" i="4"/>
  <c r="K8" i="4"/>
  <c r="L8" i="4"/>
  <c r="M8" i="4"/>
  <c r="D9" i="4"/>
  <c r="E9" i="4"/>
  <c r="F9" i="4"/>
  <c r="G9" i="4"/>
  <c r="H9" i="4"/>
  <c r="I9" i="4"/>
  <c r="J9" i="4"/>
  <c r="K9" i="4"/>
  <c r="L9" i="4"/>
  <c r="M9" i="4"/>
  <c r="D10" i="4"/>
  <c r="E10" i="4"/>
  <c r="F10" i="4"/>
  <c r="G10" i="4"/>
  <c r="H10" i="4"/>
  <c r="I10" i="4"/>
  <c r="J10" i="4"/>
  <c r="K10" i="4"/>
  <c r="L10" i="4"/>
  <c r="M10" i="4"/>
  <c r="D11" i="4"/>
  <c r="E11" i="4"/>
  <c r="F11" i="4"/>
  <c r="G11" i="4"/>
  <c r="H11" i="4"/>
  <c r="I11" i="4"/>
  <c r="J11" i="4"/>
  <c r="K11" i="4"/>
  <c r="L11" i="4"/>
  <c r="M11" i="4"/>
  <c r="D12" i="4"/>
  <c r="E12" i="4"/>
  <c r="F12" i="4"/>
  <c r="G12" i="4"/>
  <c r="H12" i="4"/>
  <c r="I12" i="4"/>
  <c r="J12" i="4"/>
  <c r="K12" i="4"/>
  <c r="L12" i="4"/>
  <c r="M12" i="4"/>
  <c r="D13" i="4"/>
  <c r="E13" i="4"/>
  <c r="F13" i="4"/>
  <c r="G13" i="4"/>
  <c r="H13" i="4"/>
  <c r="I13" i="4"/>
  <c r="J13" i="4"/>
  <c r="K13" i="4"/>
  <c r="L13" i="4"/>
  <c r="M13" i="4"/>
  <c r="D14" i="4"/>
  <c r="E14" i="4"/>
  <c r="F14" i="4"/>
  <c r="G14" i="4"/>
  <c r="H14" i="4"/>
  <c r="I14" i="4"/>
  <c r="J14" i="4"/>
  <c r="K14" i="4"/>
  <c r="L14" i="4"/>
  <c r="M14" i="4"/>
  <c r="D15" i="4"/>
  <c r="E15" i="4"/>
  <c r="F15" i="4"/>
  <c r="G15" i="4"/>
  <c r="H15" i="4"/>
  <c r="I15" i="4"/>
  <c r="J15" i="4"/>
  <c r="K15" i="4"/>
  <c r="L15" i="4"/>
  <c r="M15" i="4"/>
  <c r="D16" i="4"/>
  <c r="E16" i="4"/>
  <c r="F16" i="4"/>
  <c r="G16" i="4"/>
  <c r="H16" i="4"/>
  <c r="I16" i="4"/>
  <c r="J16" i="4"/>
  <c r="K16" i="4"/>
  <c r="L16" i="4"/>
  <c r="M16" i="4"/>
  <c r="D17" i="4"/>
  <c r="E17" i="4"/>
  <c r="F17" i="4"/>
  <c r="G17" i="4"/>
  <c r="H17" i="4"/>
  <c r="I17" i="4"/>
  <c r="J17" i="4"/>
  <c r="K17" i="4"/>
  <c r="L17" i="4"/>
  <c r="M17" i="4"/>
  <c r="D18" i="4"/>
  <c r="E18" i="4"/>
  <c r="F18" i="4"/>
  <c r="G18" i="4"/>
  <c r="H18" i="4"/>
  <c r="I18" i="4"/>
  <c r="J18" i="4"/>
  <c r="K18" i="4"/>
  <c r="L18" i="4"/>
  <c r="M18" i="4"/>
  <c r="D19" i="4"/>
  <c r="E19" i="4"/>
  <c r="F19" i="4"/>
  <c r="G19" i="4"/>
  <c r="H19" i="4"/>
  <c r="I19" i="4"/>
  <c r="J19" i="4"/>
  <c r="K19" i="4"/>
  <c r="L19" i="4"/>
  <c r="M19" i="4"/>
  <c r="D20" i="4"/>
  <c r="E20" i="4"/>
  <c r="F20" i="4"/>
  <c r="G20" i="4"/>
  <c r="H20" i="4"/>
  <c r="I20" i="4"/>
  <c r="J20" i="4"/>
  <c r="K20" i="4"/>
  <c r="L20" i="4"/>
  <c r="M20" i="4"/>
  <c r="D21" i="4"/>
  <c r="E21" i="4"/>
  <c r="F21" i="4"/>
  <c r="G21" i="4"/>
  <c r="H21" i="4"/>
  <c r="I21" i="4"/>
  <c r="J21" i="4"/>
  <c r="K21" i="4"/>
  <c r="L21" i="4"/>
  <c r="M21" i="4"/>
  <c r="D22" i="4"/>
  <c r="E22" i="4"/>
  <c r="F22" i="4"/>
  <c r="G22" i="4"/>
  <c r="H22" i="4"/>
  <c r="I22" i="4"/>
  <c r="J22" i="4"/>
  <c r="K22" i="4"/>
  <c r="L22" i="4"/>
  <c r="M22" i="4"/>
  <c r="D23" i="4"/>
  <c r="E23" i="4"/>
  <c r="F23" i="4"/>
  <c r="G23" i="4"/>
  <c r="H23" i="4"/>
  <c r="I23" i="4"/>
  <c r="J23" i="4"/>
  <c r="K23" i="4"/>
  <c r="L23" i="4"/>
  <c r="M23" i="4"/>
  <c r="D24" i="4"/>
  <c r="E24" i="4"/>
  <c r="F24" i="4"/>
  <c r="G24" i="4"/>
  <c r="H24" i="4"/>
  <c r="I24" i="4"/>
  <c r="J24" i="4"/>
  <c r="K24" i="4"/>
  <c r="L24" i="4"/>
  <c r="M24" i="4"/>
  <c r="D25" i="4"/>
  <c r="E25" i="4"/>
  <c r="F25" i="4"/>
  <c r="G25" i="4"/>
  <c r="H25" i="4"/>
  <c r="I25" i="4"/>
  <c r="J25" i="4"/>
  <c r="K25" i="4"/>
  <c r="L25" i="4"/>
  <c r="M25" i="4"/>
  <c r="D26" i="4"/>
  <c r="E26" i="4"/>
  <c r="F26" i="4"/>
  <c r="G26" i="4"/>
  <c r="H26" i="4"/>
  <c r="I26" i="4"/>
  <c r="J26" i="4"/>
  <c r="K26" i="4"/>
  <c r="L26" i="4"/>
  <c r="M26" i="4"/>
  <c r="D27" i="4"/>
  <c r="E27" i="4"/>
  <c r="F27" i="4"/>
  <c r="G27" i="4"/>
  <c r="H27" i="4"/>
  <c r="I27" i="4"/>
  <c r="J27" i="4"/>
  <c r="K27" i="4"/>
  <c r="L27" i="4"/>
  <c r="M27" i="4"/>
  <c r="D28" i="4"/>
  <c r="E28" i="4"/>
  <c r="F28" i="4"/>
  <c r="G28" i="4"/>
  <c r="H28" i="4"/>
  <c r="I28" i="4"/>
  <c r="J28" i="4"/>
  <c r="K28" i="4"/>
  <c r="L28" i="4"/>
  <c r="M28" i="4"/>
  <c r="D29" i="4"/>
  <c r="E29" i="4"/>
  <c r="F29" i="4"/>
  <c r="G29" i="4"/>
  <c r="H29" i="4"/>
  <c r="I29" i="4"/>
  <c r="J29" i="4"/>
  <c r="K29" i="4"/>
  <c r="L29" i="4"/>
  <c r="M29" i="4"/>
  <c r="D30" i="4"/>
  <c r="E30" i="4"/>
  <c r="F30" i="4"/>
  <c r="G30" i="4"/>
  <c r="H30" i="4"/>
  <c r="I30" i="4"/>
  <c r="J30" i="4"/>
  <c r="K30" i="4"/>
  <c r="L30" i="4"/>
  <c r="M30" i="4"/>
  <c r="D31" i="4"/>
  <c r="E31" i="4"/>
  <c r="F31" i="4"/>
  <c r="G31" i="4"/>
  <c r="H31" i="4"/>
  <c r="I31" i="4"/>
  <c r="J31" i="4"/>
  <c r="K31" i="4"/>
  <c r="L31" i="4"/>
  <c r="M31" i="4"/>
  <c r="D32" i="4"/>
  <c r="E32" i="4"/>
  <c r="F32" i="4"/>
  <c r="G32" i="4"/>
  <c r="H32" i="4"/>
  <c r="I32" i="4"/>
  <c r="J32" i="4"/>
  <c r="K32" i="4"/>
  <c r="L32" i="4"/>
  <c r="M32" i="4"/>
  <c r="D33" i="4"/>
  <c r="E33" i="4"/>
  <c r="F33" i="4"/>
  <c r="G33" i="4"/>
  <c r="H33" i="4"/>
  <c r="I33" i="4"/>
  <c r="J33" i="4"/>
  <c r="K33" i="4"/>
  <c r="L33" i="4"/>
  <c r="M33" i="4"/>
  <c r="D34" i="4"/>
  <c r="E34" i="4"/>
  <c r="F34" i="4"/>
  <c r="G34" i="4"/>
  <c r="H34" i="4"/>
  <c r="I34" i="4"/>
  <c r="J34" i="4"/>
  <c r="K34" i="4"/>
  <c r="L34" i="4"/>
  <c r="M34" i="4"/>
  <c r="D35" i="4"/>
  <c r="E35" i="4"/>
  <c r="F35" i="4"/>
  <c r="G35" i="4"/>
  <c r="H35" i="4"/>
  <c r="I35" i="4"/>
  <c r="J35" i="4"/>
  <c r="K35" i="4"/>
  <c r="L35" i="4"/>
  <c r="M35" i="4"/>
  <c r="D36" i="4"/>
  <c r="E36" i="4"/>
  <c r="F36" i="4"/>
  <c r="G36" i="4"/>
  <c r="H36" i="4"/>
  <c r="I36" i="4"/>
  <c r="J36" i="4"/>
  <c r="K36" i="4"/>
  <c r="L36" i="4"/>
  <c r="M36" i="4"/>
  <c r="D37" i="4"/>
  <c r="E37" i="4"/>
  <c r="F37" i="4"/>
  <c r="G37" i="4"/>
  <c r="H37" i="4"/>
  <c r="I37" i="4"/>
  <c r="J37" i="4"/>
  <c r="K37" i="4"/>
  <c r="L37" i="4"/>
  <c r="M37" i="4"/>
  <c r="D38" i="4"/>
  <c r="E38" i="4"/>
  <c r="F38" i="4"/>
  <c r="G38" i="4"/>
  <c r="H38" i="4"/>
  <c r="I38" i="4"/>
  <c r="J38" i="4"/>
  <c r="K38" i="4"/>
  <c r="L38" i="4"/>
  <c r="M38" i="4"/>
  <c r="D39" i="4"/>
  <c r="E39" i="4"/>
  <c r="F39" i="4"/>
  <c r="G39" i="4"/>
  <c r="H39" i="4"/>
  <c r="I39" i="4"/>
  <c r="J39" i="4"/>
  <c r="K39" i="4"/>
  <c r="L39" i="4"/>
  <c r="M39" i="4"/>
  <c r="D40" i="4"/>
  <c r="E40" i="4"/>
  <c r="F40" i="4"/>
  <c r="G40" i="4"/>
  <c r="H40" i="4"/>
  <c r="I40" i="4"/>
  <c r="J40" i="4"/>
  <c r="K40" i="4"/>
  <c r="L40" i="4"/>
  <c r="M40" i="4"/>
  <c r="D41" i="4"/>
  <c r="E41" i="4"/>
  <c r="F41" i="4"/>
  <c r="G41" i="4"/>
  <c r="H41" i="4"/>
  <c r="I41" i="4"/>
  <c r="J41" i="4"/>
  <c r="K41" i="4"/>
  <c r="L41" i="4"/>
  <c r="M41" i="4"/>
  <c r="D42" i="4"/>
  <c r="E42" i="4"/>
  <c r="F42" i="4"/>
  <c r="G42" i="4"/>
  <c r="H42" i="4"/>
  <c r="I42" i="4"/>
  <c r="J42" i="4"/>
  <c r="K42" i="4"/>
  <c r="L42" i="4"/>
  <c r="M42" i="4"/>
  <c r="D43" i="4"/>
  <c r="E43" i="4"/>
  <c r="F43" i="4"/>
  <c r="G43" i="4"/>
  <c r="H43" i="4"/>
  <c r="I43" i="4"/>
  <c r="J43" i="4"/>
  <c r="K43" i="4"/>
  <c r="L43" i="4"/>
  <c r="M43" i="4"/>
  <c r="D44" i="4"/>
  <c r="E44" i="4"/>
  <c r="F44" i="4"/>
  <c r="G44" i="4"/>
  <c r="H44" i="4"/>
  <c r="I44" i="4"/>
  <c r="J44" i="4"/>
  <c r="K44" i="4"/>
  <c r="L44" i="4"/>
  <c r="M44" i="4"/>
  <c r="D45" i="4"/>
  <c r="E45" i="4"/>
  <c r="F45" i="4"/>
  <c r="G45" i="4"/>
  <c r="H45" i="4"/>
  <c r="I45" i="4"/>
  <c r="J45" i="4"/>
  <c r="K45" i="4"/>
  <c r="L45" i="4"/>
  <c r="M45" i="4"/>
  <c r="D46" i="4"/>
  <c r="E46" i="4"/>
  <c r="F46" i="4"/>
  <c r="G46" i="4"/>
  <c r="H46" i="4"/>
  <c r="I46" i="4"/>
  <c r="J46" i="4"/>
  <c r="K46" i="4"/>
  <c r="L46" i="4"/>
  <c r="M46" i="4"/>
  <c r="D47" i="4"/>
  <c r="E47" i="4"/>
  <c r="F47" i="4"/>
  <c r="G47" i="4"/>
  <c r="H47" i="4"/>
  <c r="I47" i="4"/>
  <c r="J47" i="4"/>
  <c r="K47" i="4"/>
  <c r="L47" i="4"/>
  <c r="M47" i="4"/>
  <c r="D48" i="4"/>
  <c r="E48" i="4"/>
  <c r="F48" i="4"/>
  <c r="G48" i="4"/>
  <c r="H48" i="4"/>
  <c r="I48" i="4"/>
  <c r="J48" i="4"/>
  <c r="K48" i="4"/>
  <c r="L48" i="4"/>
  <c r="M48" i="4"/>
  <c r="D49" i="4"/>
  <c r="E49" i="4"/>
  <c r="F49" i="4"/>
  <c r="G49" i="4"/>
  <c r="H49" i="4"/>
  <c r="I49" i="4"/>
  <c r="J49" i="4"/>
  <c r="K49" i="4"/>
  <c r="L49" i="4"/>
  <c r="M49" i="4"/>
  <c r="D50" i="4"/>
  <c r="E50" i="4"/>
  <c r="F50" i="4"/>
  <c r="G50" i="4"/>
  <c r="H50" i="4"/>
  <c r="I50" i="4"/>
  <c r="J50" i="4"/>
  <c r="K50" i="4"/>
  <c r="L50" i="4"/>
  <c r="M50" i="4"/>
  <c r="D51" i="4"/>
  <c r="E51" i="4"/>
  <c r="F51" i="4"/>
  <c r="G51" i="4"/>
  <c r="H51" i="4"/>
  <c r="I51" i="4"/>
  <c r="J51" i="4"/>
  <c r="K51" i="4"/>
  <c r="L51" i="4"/>
  <c r="M51" i="4"/>
  <c r="D52" i="4"/>
  <c r="E52" i="4"/>
  <c r="F52" i="4"/>
  <c r="G52" i="4"/>
  <c r="H52" i="4"/>
  <c r="I52" i="4"/>
  <c r="J52" i="4"/>
  <c r="K52" i="4"/>
  <c r="L52" i="4"/>
  <c r="M52" i="4"/>
  <c r="M4" i="4"/>
  <c r="L4" i="4"/>
  <c r="K4" i="4"/>
  <c r="J4" i="4"/>
  <c r="I4" i="4"/>
  <c r="H4" i="4"/>
  <c r="G4" i="4"/>
  <c r="F4" i="4"/>
  <c r="E4" i="4"/>
  <c r="D4" i="4"/>
  <c r="BF43" i="8" l="1"/>
  <c r="BE43" i="8"/>
  <c r="BF42" i="8"/>
  <c r="BE42" i="8"/>
  <c r="BF37" i="8"/>
  <c r="BE37" i="8"/>
  <c r="BF36" i="8"/>
  <c r="BE36" i="8"/>
  <c r="BF35" i="8"/>
  <c r="BE35" i="8"/>
  <c r="BF33" i="8"/>
  <c r="BE33" i="8"/>
  <c r="BF32" i="8"/>
  <c r="BE32" i="8"/>
  <c r="BF25" i="8"/>
  <c r="BE25" i="8"/>
  <c r="BE20" i="8"/>
  <c r="BF20" i="8"/>
  <c r="BF19" i="8"/>
  <c r="BE19" i="8"/>
  <c r="BF10" i="8"/>
  <c r="BF12" i="8"/>
  <c r="BF13" i="8"/>
  <c r="BF14" i="8"/>
  <c r="BE10" i="8"/>
  <c r="BE12" i="8"/>
  <c r="BE13" i="8"/>
  <c r="BE14" i="8"/>
  <c r="BE9" i="8"/>
  <c r="BF9" i="8"/>
  <c r="AD119" i="3"/>
  <c r="AE119" i="3" s="1"/>
  <c r="AD118" i="3"/>
  <c r="AE118" i="3" s="1"/>
  <c r="AD117" i="3"/>
  <c r="AE117" i="3" s="1"/>
  <c r="AD116" i="3"/>
  <c r="AE116" i="3" s="1"/>
  <c r="AK116" i="3" s="1"/>
  <c r="AD115" i="3"/>
  <c r="AE115" i="3" s="1"/>
  <c r="AD55" i="3"/>
  <c r="AE55" i="3" s="1"/>
  <c r="AD56" i="3"/>
  <c r="AE56" i="3" s="1"/>
  <c r="AD57" i="3"/>
  <c r="AE57" i="3" s="1"/>
  <c r="AD58" i="3"/>
  <c r="AE58" i="3" s="1"/>
  <c r="AD54" i="3"/>
  <c r="AE54" i="3" s="1"/>
  <c r="K115" i="3"/>
  <c r="L115" i="3" s="1"/>
  <c r="M115" i="3" s="1"/>
  <c r="N115" i="3" s="1"/>
  <c r="O115" i="3" s="1"/>
  <c r="P115" i="3" s="1"/>
  <c r="Q115" i="3" s="1"/>
  <c r="R115" i="3" s="1"/>
  <c r="S115" i="3" s="1"/>
  <c r="T115" i="3" s="1"/>
  <c r="U115" i="3" s="1"/>
  <c r="V115" i="3" s="1"/>
  <c r="W115" i="3" s="1"/>
  <c r="K116" i="3"/>
  <c r="L116" i="3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K117" i="3"/>
  <c r="L117" i="3" s="1"/>
  <c r="M117" i="3" s="1"/>
  <c r="N117" i="3" s="1"/>
  <c r="O117" i="3" s="1"/>
  <c r="P117" i="3" s="1"/>
  <c r="Q117" i="3" s="1"/>
  <c r="R117" i="3" s="1"/>
  <c r="S117" i="3" s="1"/>
  <c r="T117" i="3" s="1"/>
  <c r="U117" i="3" s="1"/>
  <c r="V117" i="3" s="1"/>
  <c r="W117" i="3" s="1"/>
  <c r="K118" i="3"/>
  <c r="L118" i="3"/>
  <c r="M118" i="3" s="1"/>
  <c r="N118" i="3" s="1"/>
  <c r="O118" i="3" s="1"/>
  <c r="P118" i="3" s="1"/>
  <c r="Q118" i="3" s="1"/>
  <c r="R118" i="3" s="1"/>
  <c r="S118" i="3" s="1"/>
  <c r="T118" i="3" s="1"/>
  <c r="U118" i="3" s="1"/>
  <c r="V118" i="3" s="1"/>
  <c r="W118" i="3" s="1"/>
  <c r="K119" i="3"/>
  <c r="L119" i="3" s="1"/>
  <c r="M119" i="3" s="1"/>
  <c r="N119" i="3" s="1"/>
  <c r="O119" i="3" s="1"/>
  <c r="P119" i="3" s="1"/>
  <c r="Q119" i="3" s="1"/>
  <c r="R119" i="3" s="1"/>
  <c r="S119" i="3" s="1"/>
  <c r="T119" i="3" s="1"/>
  <c r="U119" i="3" s="1"/>
  <c r="V119" i="3" s="1"/>
  <c r="W119" i="3" s="1"/>
  <c r="K54" i="3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K55" i="3"/>
  <c r="L55" i="3"/>
  <c r="M55" i="3"/>
  <c r="N55" i="3"/>
  <c r="O55" i="3" s="1"/>
  <c r="P55" i="3" s="1"/>
  <c r="Q55" i="3" s="1"/>
  <c r="R55" i="3" s="1"/>
  <c r="S55" i="3" s="1"/>
  <c r="T55" i="3" s="1"/>
  <c r="U55" i="3" s="1"/>
  <c r="V55" i="3" s="1"/>
  <c r="W55" i="3" s="1"/>
  <c r="X55" i="3" s="1"/>
  <c r="Y55" i="3" s="1"/>
  <c r="Z55" i="3" s="1"/>
  <c r="AA55" i="3" s="1"/>
  <c r="AB55" i="3" s="1"/>
  <c r="K56" i="3"/>
  <c r="L56" i="3"/>
  <c r="M56" i="3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Y56" i="3" s="1"/>
  <c r="Z56" i="3" s="1"/>
  <c r="AA56" i="3" s="1"/>
  <c r="AB56" i="3" s="1"/>
  <c r="K57" i="3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K58" i="3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I115" i="3" l="1"/>
  <c r="AJ115" i="3"/>
  <c r="AK115" i="3"/>
  <c r="AL115" i="3"/>
  <c r="AH115" i="3"/>
  <c r="AI117" i="3"/>
  <c r="AJ117" i="3"/>
  <c r="AK117" i="3"/>
  <c r="AL117" i="3"/>
  <c r="AH117" i="3"/>
  <c r="AJ118" i="3"/>
  <c r="AK118" i="3"/>
  <c r="AL118" i="3"/>
  <c r="AH118" i="3"/>
  <c r="AI118" i="3"/>
  <c r="AH119" i="3"/>
  <c r="AI119" i="3"/>
  <c r="AJ119" i="3"/>
  <c r="AK119" i="3"/>
  <c r="AL119" i="3"/>
  <c r="AJ116" i="3"/>
  <c r="AI116" i="3"/>
  <c r="AH116" i="3"/>
  <c r="AL116" i="3"/>
  <c r="AH58" i="3"/>
  <c r="AP58" i="3"/>
  <c r="AI58" i="3"/>
  <c r="AQ58" i="3"/>
  <c r="AK58" i="3"/>
  <c r="AO58" i="3"/>
  <c r="AJ58" i="3"/>
  <c r="AL58" i="3"/>
  <c r="AM58" i="3"/>
  <c r="AN58" i="3"/>
  <c r="AJ57" i="3"/>
  <c r="AK57" i="3"/>
  <c r="AN57" i="3"/>
  <c r="AO57" i="3"/>
  <c r="AH57" i="3"/>
  <c r="AI57" i="3"/>
  <c r="AL57" i="3"/>
  <c r="AM57" i="3"/>
  <c r="AP57" i="3"/>
  <c r="AQ57" i="3"/>
  <c r="AL56" i="3"/>
  <c r="AM56" i="3"/>
  <c r="AN56" i="3"/>
  <c r="AO56" i="3"/>
  <c r="AH56" i="3"/>
  <c r="AP56" i="3"/>
  <c r="AI56" i="3"/>
  <c r="AQ56" i="3"/>
  <c r="AJ56" i="3"/>
  <c r="AK56" i="3"/>
  <c r="AN55" i="3"/>
  <c r="AO55" i="3"/>
  <c r="AQ55" i="3"/>
  <c r="AJ55" i="3"/>
  <c r="AK55" i="3"/>
  <c r="AM55" i="3"/>
  <c r="AH55" i="3"/>
  <c r="AP55" i="3"/>
  <c r="AI55" i="3"/>
  <c r="AL55" i="3"/>
  <c r="AL54" i="3"/>
  <c r="AP54" i="3"/>
  <c r="AQ54" i="3"/>
  <c r="AH54" i="3"/>
  <c r="AI54" i="3"/>
  <c r="AO54" i="3"/>
  <c r="AJ54" i="3"/>
  <c r="AK54" i="3"/>
  <c r="AN54" i="3"/>
  <c r="AM54" i="3"/>
  <c r="D54" i="5" l="1"/>
  <c r="D55" i="5"/>
  <c r="D56" i="5"/>
  <c r="D57" i="5"/>
  <c r="D58" i="5"/>
  <c r="O54" i="6"/>
  <c r="P54" i="6"/>
  <c r="Q54" i="6"/>
  <c r="R54" i="6"/>
  <c r="S54" i="6"/>
  <c r="O55" i="6"/>
  <c r="BH35" i="8" s="1"/>
  <c r="P55" i="6"/>
  <c r="BI35" i="8" s="1"/>
  <c r="Q55" i="6"/>
  <c r="BJ35" i="8" s="1"/>
  <c r="R55" i="6"/>
  <c r="BK35" i="8" s="1"/>
  <c r="S55" i="6"/>
  <c r="BL35" i="8" s="1"/>
  <c r="O56" i="6"/>
  <c r="BH36" i="8" s="1"/>
  <c r="P56" i="6"/>
  <c r="BI36" i="8" s="1"/>
  <c r="Q56" i="6"/>
  <c r="BJ36" i="8" s="1"/>
  <c r="R56" i="6"/>
  <c r="BK36" i="8" s="1"/>
  <c r="S56" i="6"/>
  <c r="BL36" i="8" s="1"/>
  <c r="O57" i="6"/>
  <c r="BH37" i="8" s="1"/>
  <c r="P57" i="6"/>
  <c r="BI37" i="8" s="1"/>
  <c r="Q57" i="6"/>
  <c r="BJ37" i="8" s="1"/>
  <c r="R57" i="6"/>
  <c r="BK37" i="8" s="1"/>
  <c r="S57" i="6"/>
  <c r="BL37" i="8" s="1"/>
  <c r="S53" i="6"/>
  <c r="R53" i="6"/>
  <c r="Q53" i="6"/>
  <c r="P53" i="6"/>
  <c r="O53" i="6"/>
  <c r="B54" i="6"/>
  <c r="C54" i="6"/>
  <c r="D54" i="6"/>
  <c r="E54" i="6"/>
  <c r="F54" i="6"/>
  <c r="G54" i="6"/>
  <c r="H54" i="6"/>
  <c r="I54" i="6"/>
  <c r="J54" i="6"/>
  <c r="K54" i="6"/>
  <c r="B55" i="6"/>
  <c r="BH12" i="8" s="1"/>
  <c r="C55" i="6"/>
  <c r="BI12" i="8" s="1"/>
  <c r="D55" i="6"/>
  <c r="BJ12" i="8" s="1"/>
  <c r="E55" i="6"/>
  <c r="BK12" i="8" s="1"/>
  <c r="F55" i="6"/>
  <c r="BL12" i="8" s="1"/>
  <c r="G55" i="6"/>
  <c r="BM12" i="8" s="1"/>
  <c r="H55" i="6"/>
  <c r="BN12" i="8" s="1"/>
  <c r="I55" i="6"/>
  <c r="BO12" i="8" s="1"/>
  <c r="J55" i="6"/>
  <c r="BP12" i="8" s="1"/>
  <c r="K55" i="6"/>
  <c r="BQ12" i="8" s="1"/>
  <c r="B56" i="6"/>
  <c r="BH13" i="8" s="1"/>
  <c r="C56" i="6"/>
  <c r="BI13" i="8" s="1"/>
  <c r="D56" i="6"/>
  <c r="BJ13" i="8" s="1"/>
  <c r="E56" i="6"/>
  <c r="BK13" i="8" s="1"/>
  <c r="F56" i="6"/>
  <c r="BL13" i="8" s="1"/>
  <c r="G56" i="6"/>
  <c r="BM13" i="8" s="1"/>
  <c r="H56" i="6"/>
  <c r="BN13" i="8" s="1"/>
  <c r="I56" i="6"/>
  <c r="BO13" i="8" s="1"/>
  <c r="J56" i="6"/>
  <c r="BP13" i="8" s="1"/>
  <c r="K56" i="6"/>
  <c r="BQ13" i="8" s="1"/>
  <c r="B57" i="6"/>
  <c r="BH14" i="8" s="1"/>
  <c r="C57" i="6"/>
  <c r="BI14" i="8" s="1"/>
  <c r="D57" i="6"/>
  <c r="BJ14" i="8" s="1"/>
  <c r="E57" i="6"/>
  <c r="BK14" i="8" s="1"/>
  <c r="F57" i="6"/>
  <c r="BL14" i="8" s="1"/>
  <c r="G57" i="6"/>
  <c r="BM14" i="8" s="1"/>
  <c r="H57" i="6"/>
  <c r="BN14" i="8" s="1"/>
  <c r="I57" i="6"/>
  <c r="BO14" i="8" s="1"/>
  <c r="J57" i="6"/>
  <c r="BP14" i="8" s="1"/>
  <c r="K57" i="6"/>
  <c r="BQ14" i="8" s="1"/>
  <c r="K53" i="6"/>
  <c r="J53" i="6"/>
  <c r="I53" i="6"/>
  <c r="H53" i="6"/>
  <c r="G53" i="6"/>
  <c r="F53" i="6"/>
  <c r="E53" i="6"/>
  <c r="D53" i="6"/>
  <c r="C53" i="6"/>
  <c r="B53" i="6"/>
  <c r="BZ35" i="8" l="1"/>
  <c r="CF35" i="8" s="1"/>
  <c r="BQ35" i="8"/>
  <c r="CI14" i="8"/>
  <c r="CK13" i="8"/>
  <c r="CM12" i="8"/>
  <c r="BY37" i="8"/>
  <c r="CE37" i="8" s="1"/>
  <c r="BP37" i="8"/>
  <c r="CA35" i="8"/>
  <c r="CG35" i="8" s="1"/>
  <c r="CI35" i="8" s="1"/>
  <c r="BR35" i="8"/>
  <c r="BT35" i="8" s="1"/>
  <c r="BI33" i="8"/>
  <c r="BI43" i="8"/>
  <c r="CL12" i="8"/>
  <c r="CO14" i="8"/>
  <c r="CG14" i="8"/>
  <c r="CI13" i="8"/>
  <c r="CK12" i="8"/>
  <c r="BI32" i="8"/>
  <c r="BI42" i="8"/>
  <c r="BW37" i="8"/>
  <c r="CC37" i="8" s="1"/>
  <c r="BN37" i="8"/>
  <c r="BY35" i="8"/>
  <c r="CE35" i="8" s="1"/>
  <c r="BP35" i="8"/>
  <c r="CH14" i="8"/>
  <c r="CN14" i="8"/>
  <c r="CP13" i="8"/>
  <c r="CH13" i="8"/>
  <c r="CJ12" i="8"/>
  <c r="BJ32" i="8"/>
  <c r="BJ42" i="8"/>
  <c r="CA36" i="8"/>
  <c r="CG36" i="8" s="1"/>
  <c r="CI36" i="8" s="1"/>
  <c r="BR36" i="8"/>
  <c r="BT36" i="8" s="1"/>
  <c r="BX35" i="8"/>
  <c r="CD35" i="8" s="1"/>
  <c r="BO35" i="8"/>
  <c r="CJ13" i="8"/>
  <c r="CM14" i="8"/>
  <c r="CO13" i="8"/>
  <c r="CG13" i="8"/>
  <c r="CI12" i="8"/>
  <c r="BK42" i="8"/>
  <c r="BK32" i="8"/>
  <c r="BQ36" i="8"/>
  <c r="BZ36" i="8"/>
  <c r="CF36" i="8" s="1"/>
  <c r="BN35" i="8"/>
  <c r="BS35" i="8" s="1"/>
  <c r="BW35" i="8"/>
  <c r="CC35" i="8" s="1"/>
  <c r="CH35" i="8" s="1"/>
  <c r="BX37" i="8"/>
  <c r="CD37" i="8" s="1"/>
  <c r="BO37" i="8"/>
  <c r="CN13" i="8"/>
  <c r="CP12" i="8"/>
  <c r="CH12" i="8"/>
  <c r="BL32" i="8"/>
  <c r="BL42" i="8"/>
  <c r="BP36" i="8"/>
  <c r="BY36" i="8"/>
  <c r="CE36" i="8" s="1"/>
  <c r="BL43" i="8"/>
  <c r="BL33" i="8"/>
  <c r="CP14" i="8"/>
  <c r="BH42" i="8"/>
  <c r="BH32" i="8"/>
  <c r="CL14" i="8"/>
  <c r="CK14" i="8"/>
  <c r="CM13" i="8"/>
  <c r="CO12" i="8"/>
  <c r="CG12" i="8"/>
  <c r="BR37" i="8"/>
  <c r="BT37" i="8" s="1"/>
  <c r="CA37" i="8"/>
  <c r="CG37" i="8" s="1"/>
  <c r="CI37" i="8" s="1"/>
  <c r="BO36" i="8"/>
  <c r="BX36" i="8"/>
  <c r="CD36" i="8" s="1"/>
  <c r="BK43" i="8"/>
  <c r="BK33" i="8"/>
  <c r="BH43" i="8"/>
  <c r="BH33" i="8"/>
  <c r="CJ14" i="8"/>
  <c r="CL13" i="8"/>
  <c r="CN12" i="8"/>
  <c r="BZ37" i="8"/>
  <c r="CF37" i="8" s="1"/>
  <c r="BQ37" i="8"/>
  <c r="BW36" i="8"/>
  <c r="CC36" i="8" s="1"/>
  <c r="BN36" i="8"/>
  <c r="BS36" i="8" s="1"/>
  <c r="BJ43" i="8"/>
  <c r="BJ33" i="8"/>
  <c r="BJ10" i="8"/>
  <c r="BJ20" i="8"/>
  <c r="BH25" i="8"/>
  <c r="BH19" i="8"/>
  <c r="BH9" i="8"/>
  <c r="BP25" i="8"/>
  <c r="BP19" i="8"/>
  <c r="BP9" i="8"/>
  <c r="BQ20" i="8"/>
  <c r="BQ10" i="8"/>
  <c r="BI20" i="8"/>
  <c r="BI10" i="8"/>
  <c r="BI25" i="8"/>
  <c r="BI19" i="8"/>
  <c r="BI9" i="8"/>
  <c r="BQ25" i="8"/>
  <c r="BQ19" i="8"/>
  <c r="BQ9" i="8"/>
  <c r="BP20" i="8"/>
  <c r="BP10" i="8"/>
  <c r="BH20" i="8"/>
  <c r="BH10" i="8"/>
  <c r="BO25" i="8"/>
  <c r="BO9" i="8"/>
  <c r="BO19" i="8"/>
  <c r="BO20" i="8"/>
  <c r="BO10" i="8"/>
  <c r="BJ19" i="8"/>
  <c r="BJ25" i="8"/>
  <c r="BJ9" i="8"/>
  <c r="BN10" i="8"/>
  <c r="BN20" i="8"/>
  <c r="BK9" i="8"/>
  <c r="BK19" i="8"/>
  <c r="BK25" i="8"/>
  <c r="BM10" i="8"/>
  <c r="BM20" i="8"/>
  <c r="BL19" i="8"/>
  <c r="BL9" i="8"/>
  <c r="BL25" i="8"/>
  <c r="BM19" i="8"/>
  <c r="BM9" i="8"/>
  <c r="BM25" i="8"/>
  <c r="BL10" i="8"/>
  <c r="BL20" i="8"/>
  <c r="BN25" i="8"/>
  <c r="BN9" i="8"/>
  <c r="BN19" i="8"/>
  <c r="BK20" i="8"/>
  <c r="BK10" i="8"/>
  <c r="CK9" i="8" l="1"/>
  <c r="CK10" i="8"/>
  <c r="CM9" i="8"/>
  <c r="CK25" i="8"/>
  <c r="CM20" i="8"/>
  <c r="CN19" i="8"/>
  <c r="CP19" i="8"/>
  <c r="CP20" i="8"/>
  <c r="CI10" i="8"/>
  <c r="BQ33" i="8"/>
  <c r="BZ33" i="8"/>
  <c r="CF33" i="8" s="1"/>
  <c r="BN32" i="8"/>
  <c r="BS32" i="8" s="1"/>
  <c r="BW32" i="8"/>
  <c r="CC32" i="8" s="1"/>
  <c r="CA42" i="8"/>
  <c r="CG42" i="8" s="1"/>
  <c r="CI42" i="8" s="1"/>
  <c r="BR42" i="8"/>
  <c r="BT42" i="8" s="1"/>
  <c r="CN9" i="8"/>
  <c r="CK19" i="8"/>
  <c r="CN25" i="8"/>
  <c r="CH9" i="8"/>
  <c r="CO19" i="8"/>
  <c r="BY33" i="8"/>
  <c r="CE33" i="8" s="1"/>
  <c r="BP33" i="8"/>
  <c r="BX43" i="8"/>
  <c r="CD43" i="8" s="1"/>
  <c r="BO43" i="8"/>
  <c r="BQ43" i="8"/>
  <c r="BZ43" i="8"/>
  <c r="CF43" i="8" s="1"/>
  <c r="CL20" i="8"/>
  <c r="CI9" i="8"/>
  <c r="CG10" i="8"/>
  <c r="CH19" i="8"/>
  <c r="CO25" i="8"/>
  <c r="BP43" i="8"/>
  <c r="BY43" i="8"/>
  <c r="CE43" i="8" s="1"/>
  <c r="BX33" i="8"/>
  <c r="CD33" i="8" s="1"/>
  <c r="BO33" i="8"/>
  <c r="CM10" i="8"/>
  <c r="BR32" i="8"/>
  <c r="BT32" i="8" s="1"/>
  <c r="CA32" i="8"/>
  <c r="CG32" i="8" s="1"/>
  <c r="CI32" i="8" s="1"/>
  <c r="CH25" i="8"/>
  <c r="CG9" i="8"/>
  <c r="BR33" i="8"/>
  <c r="BT33" i="8" s="1"/>
  <c r="CA33" i="8"/>
  <c r="CG33" i="8" s="1"/>
  <c r="CI33" i="8" s="1"/>
  <c r="BS37" i="8"/>
  <c r="CP25" i="8"/>
  <c r="CI25" i="8"/>
  <c r="CJ25" i="8"/>
  <c r="CO10" i="8"/>
  <c r="CH10" i="8"/>
  <c r="CG19" i="8"/>
  <c r="CH36" i="8"/>
  <c r="BR43" i="8"/>
  <c r="BT43" i="8" s="1"/>
  <c r="CA43" i="8"/>
  <c r="CG43" i="8" s="1"/>
  <c r="CI43" i="8" s="1"/>
  <c r="CH37" i="8"/>
  <c r="CO9" i="8"/>
  <c r="CG20" i="8"/>
  <c r="CL25" i="8"/>
  <c r="CI19" i="8"/>
  <c r="CJ20" i="8"/>
  <c r="CL9" i="8"/>
  <c r="CJ19" i="8"/>
  <c r="CN10" i="8"/>
  <c r="CO20" i="8"/>
  <c r="CH20" i="8"/>
  <c r="CG25" i="8"/>
  <c r="BW33" i="8"/>
  <c r="CC33" i="8" s="1"/>
  <c r="CH33" i="8" s="1"/>
  <c r="BN33" i="8"/>
  <c r="BQ32" i="8"/>
  <c r="BZ32" i="8"/>
  <c r="CF32" i="8" s="1"/>
  <c r="BY42" i="8"/>
  <c r="CE42" i="8" s="1"/>
  <c r="BP42" i="8"/>
  <c r="BO42" i="8"/>
  <c r="BX42" i="8"/>
  <c r="CD42" i="8" s="1"/>
  <c r="CM25" i="8"/>
  <c r="BN42" i="8"/>
  <c r="BW42" i="8"/>
  <c r="CC42" i="8" s="1"/>
  <c r="CK20" i="8"/>
  <c r="CL10" i="8"/>
  <c r="CJ10" i="8"/>
  <c r="CM19" i="8"/>
  <c r="CL19" i="8"/>
  <c r="CJ9" i="8"/>
  <c r="CN20" i="8"/>
  <c r="CP9" i="8"/>
  <c r="CP10" i="8"/>
  <c r="CI20" i="8"/>
  <c r="BW43" i="8"/>
  <c r="CC43" i="8" s="1"/>
  <c r="CH43" i="8" s="1"/>
  <c r="BN43" i="8"/>
  <c r="BS43" i="8" s="1"/>
  <c r="BZ42" i="8"/>
  <c r="CF42" i="8" s="1"/>
  <c r="BQ42" i="8"/>
  <c r="BP32" i="8"/>
  <c r="BY32" i="8"/>
  <c r="CE32" i="8" s="1"/>
  <c r="BO32" i="8"/>
  <c r="BX32" i="8"/>
  <c r="CD32" i="8" s="1"/>
  <c r="BS42" i="8" l="1"/>
  <c r="CH32" i="8"/>
  <c r="CH42" i="8"/>
  <c r="BS33" i="8"/>
  <c r="AX19" i="8"/>
  <c r="BZ19" i="8" s="1"/>
  <c r="AQ19" i="8"/>
  <c r="BS19" i="8" s="1"/>
  <c r="AT14" i="8"/>
  <c r="AU14" i="8"/>
  <c r="AY9" i="8"/>
  <c r="CA9" i="8" s="1"/>
  <c r="CR19" i="8" l="1"/>
  <c r="BW14" i="8"/>
  <c r="CV14" i="8"/>
  <c r="CZ9" i="8"/>
  <c r="CY19" i="8"/>
  <c r="BV14" i="8"/>
  <c r="CU14" i="8"/>
  <c r="AR9" i="8"/>
  <c r="AQ9" i="8"/>
  <c r="AW10" i="8"/>
  <c r="AV10" i="8"/>
  <c r="AU10" i="8"/>
  <c r="AT10" i="8"/>
  <c r="AS14" i="8"/>
  <c r="AS9" i="8"/>
  <c r="AZ10" i="8"/>
  <c r="AY10" i="8"/>
  <c r="AR10" i="8"/>
  <c r="AT12" i="8"/>
  <c r="AW19" i="8"/>
  <c r="AV19" i="8"/>
  <c r="AU19" i="8"/>
  <c r="AT19" i="8"/>
  <c r="AS19" i="8"/>
  <c r="AZ19" i="8"/>
  <c r="AR19" i="8"/>
  <c r="AY19" i="8"/>
  <c r="AS10" i="8"/>
  <c r="AX9" i="8"/>
  <c r="AW9" i="8"/>
  <c r="AV9" i="8"/>
  <c r="AU9" i="8"/>
  <c r="AT9" i="8"/>
  <c r="AZ9" i="8"/>
  <c r="AX13" i="8"/>
  <c r="AW13" i="8"/>
  <c r="AU13" i="8"/>
  <c r="AQ12" i="8"/>
  <c r="AX12" i="8"/>
  <c r="AW12" i="8"/>
  <c r="AV12" i="8"/>
  <c r="AU12" i="8"/>
  <c r="AR12" i="8"/>
  <c r="AQ13" i="8"/>
  <c r="AV14" i="8"/>
  <c r="AW14" i="8"/>
  <c r="AX14" i="8"/>
  <c r="AZ12" i="8"/>
  <c r="AQ14" i="8"/>
  <c r="AY14" i="8"/>
  <c r="AX10" i="8"/>
  <c r="AR14" i="8"/>
  <c r="AZ14" i="8"/>
  <c r="AQ10" i="8"/>
  <c r="BS10" i="8" l="1"/>
  <c r="CR10" i="8"/>
  <c r="BZ14" i="8"/>
  <c r="CY14" i="8"/>
  <c r="BZ12" i="8"/>
  <c r="CY12" i="8"/>
  <c r="BX9" i="8"/>
  <c r="CW9" i="8"/>
  <c r="BV19" i="8"/>
  <c r="CU19" i="8"/>
  <c r="BU9" i="8"/>
  <c r="CT9" i="8"/>
  <c r="BY14" i="8"/>
  <c r="CX14" i="8"/>
  <c r="BB14" i="8"/>
  <c r="CB14" i="8"/>
  <c r="CD14" i="8" s="1"/>
  <c r="DA14" i="8"/>
  <c r="DC14" i="8" s="1"/>
  <c r="BW13" i="8"/>
  <c r="CV13" i="8"/>
  <c r="BY13" i="8"/>
  <c r="CX13" i="8"/>
  <c r="BU10" i="8"/>
  <c r="CT10" i="8"/>
  <c r="BY19" i="8"/>
  <c r="CX19" i="8"/>
  <c r="BW10" i="8"/>
  <c r="CV10" i="8"/>
  <c r="BU14" i="8"/>
  <c r="CT14" i="8"/>
  <c r="BZ9" i="8"/>
  <c r="CY9" i="8"/>
  <c r="BZ10" i="8"/>
  <c r="CY10" i="8"/>
  <c r="CA19" i="8"/>
  <c r="CZ19" i="8"/>
  <c r="BV12" i="8"/>
  <c r="CU12" i="8"/>
  <c r="BX10" i="8"/>
  <c r="CW10" i="8"/>
  <c r="BS12" i="8"/>
  <c r="CR12" i="8"/>
  <c r="BX14" i="8"/>
  <c r="CW14" i="8"/>
  <c r="BZ13" i="8"/>
  <c r="CY13" i="8"/>
  <c r="BW12" i="8"/>
  <c r="CV12" i="8"/>
  <c r="BB9" i="8"/>
  <c r="CB9" i="8"/>
  <c r="CD9" i="8" s="1"/>
  <c r="DA9" i="8"/>
  <c r="DC9" i="8" s="1"/>
  <c r="BA19" i="8"/>
  <c r="BT19" i="8"/>
  <c r="CS19" i="8"/>
  <c r="BT10" i="8"/>
  <c r="CS10" i="8"/>
  <c r="BY10" i="8"/>
  <c r="CX10" i="8"/>
  <c r="BY9" i="8"/>
  <c r="CX9" i="8"/>
  <c r="BV10" i="8"/>
  <c r="CU10" i="8"/>
  <c r="BT14" i="8"/>
  <c r="CS14" i="8"/>
  <c r="BT12" i="8"/>
  <c r="CS12" i="8"/>
  <c r="BS14" i="8"/>
  <c r="CR14" i="8"/>
  <c r="BX12" i="8"/>
  <c r="CW12" i="8"/>
  <c r="BV9" i="8"/>
  <c r="CU9" i="8"/>
  <c r="BB19" i="8"/>
  <c r="CB19" i="8"/>
  <c r="CD19" i="8" s="1"/>
  <c r="DA19" i="8"/>
  <c r="DC19" i="8" s="1"/>
  <c r="CA10" i="8"/>
  <c r="CZ10" i="8"/>
  <c r="BS9" i="8"/>
  <c r="CR9" i="8"/>
  <c r="BW19" i="8"/>
  <c r="CV19" i="8"/>
  <c r="BX19" i="8"/>
  <c r="CW19" i="8"/>
  <c r="BS13" i="8"/>
  <c r="CR13" i="8"/>
  <c r="CA14" i="8"/>
  <c r="CZ14" i="8"/>
  <c r="BB12" i="8"/>
  <c r="CB12" i="8"/>
  <c r="CD12" i="8" s="1"/>
  <c r="DA12" i="8"/>
  <c r="DC12" i="8" s="1"/>
  <c r="BY12" i="8"/>
  <c r="CX12" i="8"/>
  <c r="BW9" i="8"/>
  <c r="CV9" i="8"/>
  <c r="BU19" i="8"/>
  <c r="CT19" i="8"/>
  <c r="DB19" i="8" s="1"/>
  <c r="BB10" i="8"/>
  <c r="CB10" i="8"/>
  <c r="CD10" i="8" s="1"/>
  <c r="DA10" i="8"/>
  <c r="DC10" i="8" s="1"/>
  <c r="BT9" i="8"/>
  <c r="CS9" i="8"/>
  <c r="AV13" i="8"/>
  <c r="BA14" i="8"/>
  <c r="BA10" i="8"/>
  <c r="AS13" i="8"/>
  <c r="AY13" i="8"/>
  <c r="BA9" i="8"/>
  <c r="AS12" i="8"/>
  <c r="AY12" i="8"/>
  <c r="AR13" i="8"/>
  <c r="AW25" i="8"/>
  <c r="AT13" i="8"/>
  <c r="AZ13" i="8"/>
  <c r="BX13" i="8" l="1"/>
  <c r="CW13" i="8"/>
  <c r="CC9" i="8"/>
  <c r="BY25" i="8"/>
  <c r="CX25" i="8"/>
  <c r="DB9" i="8"/>
  <c r="CC19" i="8"/>
  <c r="CA12" i="8"/>
  <c r="CZ12" i="8"/>
  <c r="BU12" i="8"/>
  <c r="CC12" i="8" s="1"/>
  <c r="CT12" i="8"/>
  <c r="CA13" i="8"/>
  <c r="CZ13" i="8"/>
  <c r="CC13" i="8"/>
  <c r="DB14" i="8"/>
  <c r="BA12" i="8"/>
  <c r="CC14" i="8"/>
  <c r="DB10" i="8"/>
  <c r="BA13" i="8"/>
  <c r="BT13" i="8"/>
  <c r="CS13" i="8"/>
  <c r="DB13" i="8" s="1"/>
  <c r="BB13" i="8"/>
  <c r="CB13" i="8"/>
  <c r="CD13" i="8" s="1"/>
  <c r="DA13" i="8"/>
  <c r="DC13" i="8" s="1"/>
  <c r="BV13" i="8"/>
  <c r="CU13" i="8"/>
  <c r="BU13" i="8"/>
  <c r="CT13" i="8"/>
  <c r="DB12" i="8"/>
  <c r="CC10" i="8"/>
  <c r="AV20" i="8"/>
  <c r="AU20" i="8"/>
  <c r="AT20" i="8"/>
  <c r="AS20" i="8"/>
  <c r="AZ20" i="8"/>
  <c r="AY20" i="8"/>
  <c r="AR20" i="8"/>
  <c r="AQ20" i="8"/>
  <c r="AX20" i="8"/>
  <c r="AW20" i="8"/>
  <c r="AY25" i="8"/>
  <c r="AS25" i="8"/>
  <c r="AU25" i="8"/>
  <c r="AT25" i="8"/>
  <c r="AV25" i="8"/>
  <c r="AX25" i="8"/>
  <c r="AR25" i="8"/>
  <c r="AZ25" i="8"/>
  <c r="AQ25" i="8"/>
  <c r="BW25" i="8" l="1"/>
  <c r="CV25" i="8"/>
  <c r="BB20" i="8"/>
  <c r="CB20" i="8"/>
  <c r="CD20" i="8" s="1"/>
  <c r="DA20" i="8"/>
  <c r="DC20" i="8" s="1"/>
  <c r="BS20" i="8"/>
  <c r="CR20" i="8"/>
  <c r="DB20" i="8" s="1"/>
  <c r="CA20" i="8"/>
  <c r="CZ20" i="8"/>
  <c r="BU25" i="8"/>
  <c r="CT25" i="8"/>
  <c r="BU20" i="8"/>
  <c r="CT20" i="8"/>
  <c r="BT20" i="8"/>
  <c r="CS20" i="8"/>
  <c r="BV20" i="8"/>
  <c r="CU20" i="8"/>
  <c r="BX25" i="8"/>
  <c r="CW25" i="8"/>
  <c r="CA25" i="8"/>
  <c r="CZ25" i="8"/>
  <c r="BB25" i="8"/>
  <c r="CB25" i="8"/>
  <c r="CD25" i="8" s="1"/>
  <c r="DA25" i="8"/>
  <c r="DC25" i="8" s="1"/>
  <c r="BW20" i="8"/>
  <c r="CV20" i="8"/>
  <c r="BZ25" i="8"/>
  <c r="CY25" i="8"/>
  <c r="BV25" i="8"/>
  <c r="CU25" i="8"/>
  <c r="BS25" i="8"/>
  <c r="CC25" i="8" s="1"/>
  <c r="CR25" i="8"/>
  <c r="DB25" i="8" s="1"/>
  <c r="BY20" i="8"/>
  <c r="CX20" i="8"/>
  <c r="BT25" i="8"/>
  <c r="CS25" i="8"/>
  <c r="BZ20" i="8"/>
  <c r="CY20" i="8"/>
  <c r="BX20" i="8"/>
  <c r="CW20" i="8"/>
  <c r="BA25" i="8"/>
  <c r="BA20" i="8"/>
  <c r="CC20" i="8" l="1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66" i="3"/>
  <c r="AD114" i="3" l="1"/>
  <c r="AE114" i="3" s="1"/>
  <c r="K114" i="3"/>
  <c r="L114" i="3"/>
  <c r="M114" i="3" s="1"/>
  <c r="N114" i="3" s="1"/>
  <c r="O114" i="3" s="1"/>
  <c r="P114" i="3" s="1"/>
  <c r="Q114" i="3" s="1"/>
  <c r="R114" i="3" s="1"/>
  <c r="S114" i="3" s="1"/>
  <c r="AD113" i="3"/>
  <c r="AE113" i="3" s="1"/>
  <c r="L113" i="3"/>
  <c r="M113" i="3" s="1"/>
  <c r="N113" i="3" s="1"/>
  <c r="O113" i="3" s="1"/>
  <c r="P113" i="3" s="1"/>
  <c r="Q113" i="3" s="1"/>
  <c r="R113" i="3" s="1"/>
  <c r="S113" i="3" s="1"/>
  <c r="K113" i="3"/>
  <c r="AD112" i="3"/>
  <c r="AE112" i="3" s="1"/>
  <c r="K112" i="3"/>
  <c r="L112" i="3" s="1"/>
  <c r="M112" i="3" s="1"/>
  <c r="N112" i="3" s="1"/>
  <c r="O112" i="3" s="1"/>
  <c r="P112" i="3" s="1"/>
  <c r="Q112" i="3" s="1"/>
  <c r="R112" i="3" s="1"/>
  <c r="S112" i="3" s="1"/>
  <c r="AD111" i="3"/>
  <c r="AE111" i="3" s="1"/>
  <c r="L111" i="3"/>
  <c r="M111" i="3" s="1"/>
  <c r="N111" i="3" s="1"/>
  <c r="O111" i="3" s="1"/>
  <c r="P111" i="3" s="1"/>
  <c r="Q111" i="3" s="1"/>
  <c r="R111" i="3" s="1"/>
  <c r="S111" i="3" s="1"/>
  <c r="K111" i="3"/>
  <c r="AE110" i="3"/>
  <c r="AD110" i="3"/>
  <c r="K110" i="3"/>
  <c r="L110" i="3" s="1"/>
  <c r="M110" i="3" s="1"/>
  <c r="N110" i="3" s="1"/>
  <c r="O110" i="3" s="1"/>
  <c r="P110" i="3" s="1"/>
  <c r="Q110" i="3" s="1"/>
  <c r="R110" i="3" s="1"/>
  <c r="S110" i="3" s="1"/>
  <c r="AD109" i="3"/>
  <c r="AE109" i="3" s="1"/>
  <c r="K109" i="3"/>
  <c r="L109" i="3" s="1"/>
  <c r="M109" i="3" s="1"/>
  <c r="N109" i="3" s="1"/>
  <c r="O109" i="3" s="1"/>
  <c r="P109" i="3" s="1"/>
  <c r="Q109" i="3" s="1"/>
  <c r="R109" i="3" s="1"/>
  <c r="S109" i="3" s="1"/>
  <c r="AD108" i="3"/>
  <c r="AE108" i="3" s="1"/>
  <c r="L108" i="3"/>
  <c r="M108" i="3" s="1"/>
  <c r="N108" i="3" s="1"/>
  <c r="O108" i="3" s="1"/>
  <c r="P108" i="3" s="1"/>
  <c r="Q108" i="3" s="1"/>
  <c r="R108" i="3" s="1"/>
  <c r="S108" i="3" s="1"/>
  <c r="T108" i="3" s="1"/>
  <c r="K108" i="3"/>
  <c r="AE107" i="3"/>
  <c r="AD107" i="3"/>
  <c r="K107" i="3"/>
  <c r="L107" i="3" s="1"/>
  <c r="M107" i="3" s="1"/>
  <c r="N107" i="3" s="1"/>
  <c r="O107" i="3" s="1"/>
  <c r="P107" i="3" s="1"/>
  <c r="Q107" i="3" s="1"/>
  <c r="R107" i="3" s="1"/>
  <c r="S107" i="3" s="1"/>
  <c r="AD106" i="3"/>
  <c r="AE106" i="3" s="1"/>
  <c r="K106" i="3"/>
  <c r="L106" i="3" s="1"/>
  <c r="M106" i="3" s="1"/>
  <c r="N106" i="3" s="1"/>
  <c r="O106" i="3" s="1"/>
  <c r="P106" i="3" s="1"/>
  <c r="Q106" i="3" s="1"/>
  <c r="R106" i="3" s="1"/>
  <c r="S106" i="3" s="1"/>
  <c r="AE105" i="3"/>
  <c r="AD105" i="3"/>
  <c r="L105" i="3"/>
  <c r="M105" i="3" s="1"/>
  <c r="N105" i="3" s="1"/>
  <c r="O105" i="3" s="1"/>
  <c r="P105" i="3" s="1"/>
  <c r="Q105" i="3" s="1"/>
  <c r="R105" i="3" s="1"/>
  <c r="S105" i="3" s="1"/>
  <c r="K105" i="3"/>
  <c r="AD104" i="3"/>
  <c r="AE104" i="3" s="1"/>
  <c r="K104" i="3"/>
  <c r="L104" i="3" s="1"/>
  <c r="M104" i="3" s="1"/>
  <c r="N104" i="3" s="1"/>
  <c r="O104" i="3" s="1"/>
  <c r="P104" i="3" s="1"/>
  <c r="Q104" i="3" s="1"/>
  <c r="R104" i="3" s="1"/>
  <c r="S104" i="3" s="1"/>
  <c r="AD103" i="3"/>
  <c r="AE103" i="3" s="1"/>
  <c r="K103" i="3"/>
  <c r="L103" i="3"/>
  <c r="M103" i="3" s="1"/>
  <c r="N103" i="3" s="1"/>
  <c r="O103" i="3" s="1"/>
  <c r="P103" i="3" s="1"/>
  <c r="Q103" i="3" s="1"/>
  <c r="R103" i="3" s="1"/>
  <c r="S103" i="3" s="1"/>
  <c r="AD102" i="3"/>
  <c r="AE102" i="3" s="1"/>
  <c r="K102" i="3"/>
  <c r="L102" i="3" s="1"/>
  <c r="M102" i="3" s="1"/>
  <c r="N102" i="3" s="1"/>
  <c r="O102" i="3" s="1"/>
  <c r="P102" i="3" s="1"/>
  <c r="Q102" i="3" s="1"/>
  <c r="R102" i="3" s="1"/>
  <c r="S102" i="3" s="1"/>
  <c r="AD101" i="3"/>
  <c r="AE101" i="3" s="1"/>
  <c r="K101" i="3"/>
  <c r="L101" i="3"/>
  <c r="M101" i="3" s="1"/>
  <c r="N101" i="3" s="1"/>
  <c r="O101" i="3" s="1"/>
  <c r="P101" i="3" s="1"/>
  <c r="Q101" i="3" s="1"/>
  <c r="R101" i="3" s="1"/>
  <c r="S101" i="3" s="1"/>
  <c r="AD100" i="3"/>
  <c r="AE100" i="3" s="1"/>
  <c r="L100" i="3"/>
  <c r="M100" i="3" s="1"/>
  <c r="N100" i="3" s="1"/>
  <c r="O100" i="3" s="1"/>
  <c r="P100" i="3" s="1"/>
  <c r="Q100" i="3" s="1"/>
  <c r="R100" i="3" s="1"/>
  <c r="S100" i="3" s="1"/>
  <c r="K100" i="3"/>
  <c r="AD99" i="3"/>
  <c r="AE99" i="3" s="1"/>
  <c r="K99" i="3"/>
  <c r="L99" i="3" s="1"/>
  <c r="M99" i="3" s="1"/>
  <c r="N99" i="3" s="1"/>
  <c r="O99" i="3" s="1"/>
  <c r="P99" i="3" s="1"/>
  <c r="Q99" i="3" s="1"/>
  <c r="R99" i="3" s="1"/>
  <c r="S99" i="3" s="1"/>
  <c r="AD98" i="3"/>
  <c r="AE98" i="3" s="1"/>
  <c r="K98" i="3"/>
  <c r="L98" i="3"/>
  <c r="M98" i="3" s="1"/>
  <c r="N98" i="3" s="1"/>
  <c r="O98" i="3" s="1"/>
  <c r="P98" i="3" s="1"/>
  <c r="Q98" i="3" s="1"/>
  <c r="R98" i="3" s="1"/>
  <c r="S98" i="3" s="1"/>
  <c r="AE97" i="3"/>
  <c r="AD97" i="3"/>
  <c r="L97" i="3"/>
  <c r="M97" i="3" s="1"/>
  <c r="N97" i="3" s="1"/>
  <c r="O97" i="3" s="1"/>
  <c r="P97" i="3" s="1"/>
  <c r="Q97" i="3" s="1"/>
  <c r="R97" i="3" s="1"/>
  <c r="S97" i="3" s="1"/>
  <c r="K97" i="3"/>
  <c r="AD96" i="3"/>
  <c r="AE96" i="3" s="1"/>
  <c r="K96" i="3"/>
  <c r="L96" i="3" s="1"/>
  <c r="M96" i="3" s="1"/>
  <c r="N96" i="3" s="1"/>
  <c r="O96" i="3" s="1"/>
  <c r="P96" i="3" s="1"/>
  <c r="Q96" i="3" s="1"/>
  <c r="R96" i="3" s="1"/>
  <c r="S96" i="3" s="1"/>
  <c r="AE95" i="3"/>
  <c r="AD95" i="3"/>
  <c r="L95" i="3"/>
  <c r="M95" i="3" s="1"/>
  <c r="N95" i="3" s="1"/>
  <c r="O95" i="3" s="1"/>
  <c r="P95" i="3" s="1"/>
  <c r="Q95" i="3" s="1"/>
  <c r="R95" i="3" s="1"/>
  <c r="S95" i="3" s="1"/>
  <c r="K95" i="3"/>
  <c r="AD94" i="3"/>
  <c r="AE94" i="3" s="1"/>
  <c r="K94" i="3"/>
  <c r="L94" i="3" s="1"/>
  <c r="M94" i="3" s="1"/>
  <c r="N94" i="3" s="1"/>
  <c r="O94" i="3" s="1"/>
  <c r="P94" i="3" s="1"/>
  <c r="Q94" i="3" s="1"/>
  <c r="R94" i="3" s="1"/>
  <c r="S94" i="3" s="1"/>
  <c r="AD93" i="3"/>
  <c r="AE93" i="3" s="1"/>
  <c r="K93" i="3"/>
  <c r="L93" i="3"/>
  <c r="M93" i="3" s="1"/>
  <c r="N93" i="3" s="1"/>
  <c r="O93" i="3" s="1"/>
  <c r="P93" i="3" s="1"/>
  <c r="Q93" i="3" s="1"/>
  <c r="R93" i="3" s="1"/>
  <c r="S93" i="3" s="1"/>
  <c r="AD92" i="3"/>
  <c r="AE92" i="3" s="1"/>
  <c r="K92" i="3"/>
  <c r="L92" i="3" s="1"/>
  <c r="M92" i="3" s="1"/>
  <c r="N92" i="3" s="1"/>
  <c r="O92" i="3" s="1"/>
  <c r="P92" i="3" s="1"/>
  <c r="Q92" i="3" s="1"/>
  <c r="R92" i="3" s="1"/>
  <c r="S92" i="3" s="1"/>
  <c r="AD91" i="3"/>
  <c r="AE91" i="3" s="1"/>
  <c r="K91" i="3"/>
  <c r="AE90" i="3"/>
  <c r="AD90" i="3"/>
  <c r="L90" i="3"/>
  <c r="M90" i="3" s="1"/>
  <c r="N90" i="3" s="1"/>
  <c r="O90" i="3" s="1"/>
  <c r="P90" i="3" s="1"/>
  <c r="Q90" i="3" s="1"/>
  <c r="R90" i="3" s="1"/>
  <c r="S90" i="3" s="1"/>
  <c r="AH90" i="3" s="1"/>
  <c r="K90" i="3"/>
  <c r="AD89" i="3"/>
  <c r="AE89" i="3" s="1"/>
  <c r="K89" i="3"/>
  <c r="L89" i="3" s="1"/>
  <c r="M89" i="3" s="1"/>
  <c r="N89" i="3" s="1"/>
  <c r="O89" i="3" s="1"/>
  <c r="P89" i="3" s="1"/>
  <c r="Q89" i="3" s="1"/>
  <c r="R89" i="3" s="1"/>
  <c r="S89" i="3" s="1"/>
  <c r="AD88" i="3"/>
  <c r="AE88" i="3" s="1"/>
  <c r="K88" i="3"/>
  <c r="L88" i="3"/>
  <c r="M88" i="3" s="1"/>
  <c r="N88" i="3" s="1"/>
  <c r="O88" i="3" s="1"/>
  <c r="P88" i="3" s="1"/>
  <c r="Q88" i="3" s="1"/>
  <c r="R88" i="3" s="1"/>
  <c r="S88" i="3" s="1"/>
  <c r="AD87" i="3"/>
  <c r="AE87" i="3" s="1"/>
  <c r="K87" i="3"/>
  <c r="L87" i="3" s="1"/>
  <c r="M87" i="3" s="1"/>
  <c r="N87" i="3" s="1"/>
  <c r="O87" i="3" s="1"/>
  <c r="P87" i="3" s="1"/>
  <c r="Q87" i="3" s="1"/>
  <c r="R87" i="3" s="1"/>
  <c r="S87" i="3" s="1"/>
  <c r="AD86" i="3"/>
  <c r="AE86" i="3" s="1"/>
  <c r="K86" i="3"/>
  <c r="L86" i="3"/>
  <c r="M86" i="3" s="1"/>
  <c r="N86" i="3" s="1"/>
  <c r="O86" i="3" s="1"/>
  <c r="P86" i="3" s="1"/>
  <c r="Q86" i="3" s="1"/>
  <c r="R86" i="3" s="1"/>
  <c r="S86" i="3" s="1"/>
  <c r="AD85" i="3"/>
  <c r="AE85" i="3" s="1"/>
  <c r="K85" i="3"/>
  <c r="AD84" i="3"/>
  <c r="AE84" i="3" s="1"/>
  <c r="K84" i="3"/>
  <c r="L84" i="3"/>
  <c r="M84" i="3" s="1"/>
  <c r="N84" i="3" s="1"/>
  <c r="O84" i="3" s="1"/>
  <c r="P84" i="3" s="1"/>
  <c r="Q84" i="3" s="1"/>
  <c r="R84" i="3" s="1"/>
  <c r="S84" i="3" s="1"/>
  <c r="AD83" i="3"/>
  <c r="AE83" i="3" s="1"/>
  <c r="K83" i="3"/>
  <c r="L83" i="3" s="1"/>
  <c r="M83" i="3" s="1"/>
  <c r="N83" i="3" s="1"/>
  <c r="O83" i="3" s="1"/>
  <c r="P83" i="3" s="1"/>
  <c r="Q83" i="3" s="1"/>
  <c r="R83" i="3" s="1"/>
  <c r="S83" i="3" s="1"/>
  <c r="AD82" i="3"/>
  <c r="AE82" i="3" s="1"/>
  <c r="L82" i="3"/>
  <c r="M82" i="3" s="1"/>
  <c r="N82" i="3" s="1"/>
  <c r="O82" i="3" s="1"/>
  <c r="P82" i="3" s="1"/>
  <c r="Q82" i="3" s="1"/>
  <c r="R82" i="3" s="1"/>
  <c r="S82" i="3" s="1"/>
  <c r="K82" i="3"/>
  <c r="AD81" i="3"/>
  <c r="AE81" i="3" s="1"/>
  <c r="K81" i="3"/>
  <c r="L81" i="3" s="1"/>
  <c r="M81" i="3" s="1"/>
  <c r="N81" i="3" s="1"/>
  <c r="O81" i="3" s="1"/>
  <c r="P81" i="3" s="1"/>
  <c r="Q81" i="3" s="1"/>
  <c r="R81" i="3" s="1"/>
  <c r="S81" i="3" s="1"/>
  <c r="T81" i="3" s="1"/>
  <c r="AD80" i="3"/>
  <c r="AE80" i="3" s="1"/>
  <c r="L80" i="3"/>
  <c r="M80" i="3" s="1"/>
  <c r="N80" i="3" s="1"/>
  <c r="O80" i="3" s="1"/>
  <c r="P80" i="3" s="1"/>
  <c r="Q80" i="3" s="1"/>
  <c r="R80" i="3" s="1"/>
  <c r="S80" i="3" s="1"/>
  <c r="T80" i="3" s="1"/>
  <c r="U80" i="3" s="1"/>
  <c r="K80" i="3"/>
  <c r="AD79" i="3"/>
  <c r="AE79" i="3" s="1"/>
  <c r="K79" i="3"/>
  <c r="L79" i="3" s="1"/>
  <c r="M79" i="3" s="1"/>
  <c r="N79" i="3" s="1"/>
  <c r="O79" i="3" s="1"/>
  <c r="P79" i="3" s="1"/>
  <c r="Q79" i="3" s="1"/>
  <c r="R79" i="3" s="1"/>
  <c r="S79" i="3" s="1"/>
  <c r="AE78" i="3"/>
  <c r="AD78" i="3"/>
  <c r="L78" i="3"/>
  <c r="M78" i="3" s="1"/>
  <c r="N78" i="3" s="1"/>
  <c r="O78" i="3" s="1"/>
  <c r="P78" i="3" s="1"/>
  <c r="Q78" i="3" s="1"/>
  <c r="R78" i="3" s="1"/>
  <c r="S78" i="3" s="1"/>
  <c r="K78" i="3"/>
  <c r="AD77" i="3"/>
  <c r="AE77" i="3" s="1"/>
  <c r="K77" i="3"/>
  <c r="L77" i="3" s="1"/>
  <c r="M77" i="3" s="1"/>
  <c r="N77" i="3" s="1"/>
  <c r="O77" i="3" s="1"/>
  <c r="P77" i="3" s="1"/>
  <c r="Q77" i="3" s="1"/>
  <c r="R77" i="3" s="1"/>
  <c r="S77" i="3" s="1"/>
  <c r="AE76" i="3"/>
  <c r="AD76" i="3"/>
  <c r="K76" i="3"/>
  <c r="L76" i="3"/>
  <c r="M76" i="3" s="1"/>
  <c r="N76" i="3" s="1"/>
  <c r="O76" i="3" s="1"/>
  <c r="P76" i="3" s="1"/>
  <c r="Q76" i="3" s="1"/>
  <c r="R76" i="3" s="1"/>
  <c r="S76" i="3" s="1"/>
  <c r="AD75" i="3"/>
  <c r="AE75" i="3" s="1"/>
  <c r="K75" i="3"/>
  <c r="L75" i="3" s="1"/>
  <c r="M75" i="3" s="1"/>
  <c r="N75" i="3" s="1"/>
  <c r="O75" i="3" s="1"/>
  <c r="P75" i="3" s="1"/>
  <c r="Q75" i="3" s="1"/>
  <c r="R75" i="3" s="1"/>
  <c r="S75" i="3" s="1"/>
  <c r="AD74" i="3"/>
  <c r="AE74" i="3" s="1"/>
  <c r="K74" i="3"/>
  <c r="L74" i="3"/>
  <c r="M74" i="3" s="1"/>
  <c r="N74" i="3" s="1"/>
  <c r="O74" i="3" s="1"/>
  <c r="P74" i="3" s="1"/>
  <c r="Q74" i="3" s="1"/>
  <c r="R74" i="3" s="1"/>
  <c r="S74" i="3" s="1"/>
  <c r="AD73" i="3"/>
  <c r="AE73" i="3" s="1"/>
  <c r="K73" i="3"/>
  <c r="L73" i="3" s="1"/>
  <c r="M73" i="3" s="1"/>
  <c r="N73" i="3" s="1"/>
  <c r="O73" i="3" s="1"/>
  <c r="P73" i="3" s="1"/>
  <c r="Q73" i="3" s="1"/>
  <c r="R73" i="3" s="1"/>
  <c r="S73" i="3" s="1"/>
  <c r="AD72" i="3"/>
  <c r="AE72" i="3" s="1"/>
  <c r="L72" i="3"/>
  <c r="M72" i="3" s="1"/>
  <c r="N72" i="3" s="1"/>
  <c r="O72" i="3" s="1"/>
  <c r="P72" i="3" s="1"/>
  <c r="Q72" i="3" s="1"/>
  <c r="R72" i="3" s="1"/>
  <c r="S72" i="3" s="1"/>
  <c r="K72" i="3"/>
  <c r="AD71" i="3"/>
  <c r="AE71" i="3" s="1"/>
  <c r="K71" i="3"/>
  <c r="L71" i="3" s="1"/>
  <c r="M71" i="3" s="1"/>
  <c r="N71" i="3" s="1"/>
  <c r="O71" i="3" s="1"/>
  <c r="P71" i="3" s="1"/>
  <c r="Q71" i="3" s="1"/>
  <c r="R71" i="3" s="1"/>
  <c r="S71" i="3" s="1"/>
  <c r="AE70" i="3"/>
  <c r="AD70" i="3"/>
  <c r="K70" i="3"/>
  <c r="L70" i="3"/>
  <c r="M70" i="3" s="1"/>
  <c r="N70" i="3" s="1"/>
  <c r="O70" i="3" s="1"/>
  <c r="P70" i="3" s="1"/>
  <c r="Q70" i="3" s="1"/>
  <c r="R70" i="3" s="1"/>
  <c r="S70" i="3" s="1"/>
  <c r="AD69" i="3"/>
  <c r="AE69" i="3" s="1"/>
  <c r="L69" i="3"/>
  <c r="M69" i="3" s="1"/>
  <c r="N69" i="3" s="1"/>
  <c r="O69" i="3" s="1"/>
  <c r="P69" i="3" s="1"/>
  <c r="Q69" i="3" s="1"/>
  <c r="R69" i="3" s="1"/>
  <c r="S69" i="3" s="1"/>
  <c r="K69" i="3"/>
  <c r="AD68" i="3"/>
  <c r="AE68" i="3" s="1"/>
  <c r="L68" i="3"/>
  <c r="M68" i="3" s="1"/>
  <c r="N68" i="3" s="1"/>
  <c r="O68" i="3" s="1"/>
  <c r="P68" i="3" s="1"/>
  <c r="Q68" i="3" s="1"/>
  <c r="R68" i="3" s="1"/>
  <c r="S68" i="3" s="1"/>
  <c r="K68" i="3"/>
  <c r="AD67" i="3"/>
  <c r="AE67" i="3" s="1"/>
  <c r="K67" i="3"/>
  <c r="L67" i="3" s="1"/>
  <c r="M67" i="3" s="1"/>
  <c r="N67" i="3" s="1"/>
  <c r="O67" i="3" s="1"/>
  <c r="P67" i="3" s="1"/>
  <c r="Q67" i="3" s="1"/>
  <c r="R67" i="3" s="1"/>
  <c r="S67" i="3" s="1"/>
  <c r="AD66" i="3"/>
  <c r="AE66" i="3" s="1"/>
  <c r="K66" i="3"/>
  <c r="L66" i="3"/>
  <c r="M66" i="3" s="1"/>
  <c r="N66" i="3" s="1"/>
  <c r="O66" i="3" s="1"/>
  <c r="P66" i="3" s="1"/>
  <c r="Q66" i="3" s="1"/>
  <c r="R66" i="3" s="1"/>
  <c r="S66" i="3" s="1"/>
  <c r="AH88" i="3" l="1"/>
  <c r="AH77" i="3"/>
  <c r="AH103" i="3"/>
  <c r="AH68" i="3"/>
  <c r="T88" i="3"/>
  <c r="T103" i="3"/>
  <c r="AH108" i="3"/>
  <c r="AH72" i="3"/>
  <c r="T72" i="3"/>
  <c r="AH70" i="3"/>
  <c r="T70" i="3"/>
  <c r="AH78" i="3"/>
  <c r="T78" i="3"/>
  <c r="T67" i="3"/>
  <c r="AH67" i="3"/>
  <c r="T71" i="3"/>
  <c r="AH71" i="3"/>
  <c r="AH75" i="3"/>
  <c r="T75" i="3"/>
  <c r="AH79" i="3"/>
  <c r="T79" i="3"/>
  <c r="T73" i="3"/>
  <c r="AH73" i="3"/>
  <c r="AH66" i="3"/>
  <c r="T66" i="3"/>
  <c r="AH69" i="3"/>
  <c r="T69" i="3"/>
  <c r="AH76" i="3"/>
  <c r="T76" i="3"/>
  <c r="T74" i="3"/>
  <c r="AH74" i="3"/>
  <c r="AJ80" i="3"/>
  <c r="V80" i="3"/>
  <c r="U88" i="3"/>
  <c r="AI88" i="3"/>
  <c r="T68" i="3"/>
  <c r="T95" i="3"/>
  <c r="AH95" i="3"/>
  <c r="AI80" i="3"/>
  <c r="AH81" i="3"/>
  <c r="T87" i="3"/>
  <c r="AH87" i="3"/>
  <c r="AH92" i="3"/>
  <c r="T92" i="3"/>
  <c r="AH89" i="3"/>
  <c r="T89" i="3"/>
  <c r="T94" i="3"/>
  <c r="AH94" i="3"/>
  <c r="AH101" i="3"/>
  <c r="T101" i="3"/>
  <c r="T77" i="3"/>
  <c r="AH84" i="3"/>
  <c r="T84" i="3"/>
  <c r="T86" i="3"/>
  <c r="AH86" i="3"/>
  <c r="AI81" i="3"/>
  <c r="U81" i="3"/>
  <c r="AH93" i="3"/>
  <c r="T93" i="3"/>
  <c r="T96" i="3"/>
  <c r="AH96" i="3"/>
  <c r="AH82" i="3"/>
  <c r="T82" i="3"/>
  <c r="AH80" i="3"/>
  <c r="T83" i="3"/>
  <c r="AH83" i="3"/>
  <c r="T100" i="3"/>
  <c r="AH100" i="3"/>
  <c r="U103" i="3"/>
  <c r="AI103" i="3"/>
  <c r="T106" i="3"/>
  <c r="AH106" i="3"/>
  <c r="AH109" i="3"/>
  <c r="T109" i="3"/>
  <c r="AH99" i="3"/>
  <c r="T99" i="3"/>
  <c r="AH113" i="3"/>
  <c r="T113" i="3"/>
  <c r="T90" i="3"/>
  <c r="T102" i="3"/>
  <c r="AH102" i="3"/>
  <c r="T98" i="3"/>
  <c r="AH98" i="3"/>
  <c r="AH105" i="3"/>
  <c r="T105" i="3"/>
  <c r="T110" i="3"/>
  <c r="AH110" i="3"/>
  <c r="L85" i="3"/>
  <c r="M85" i="3" s="1"/>
  <c r="N85" i="3" s="1"/>
  <c r="O85" i="3" s="1"/>
  <c r="P85" i="3" s="1"/>
  <c r="Q85" i="3" s="1"/>
  <c r="R85" i="3" s="1"/>
  <c r="S85" i="3" s="1"/>
  <c r="AH107" i="3"/>
  <c r="T107" i="3"/>
  <c r="T114" i="3"/>
  <c r="AH114" i="3"/>
  <c r="AH97" i="3"/>
  <c r="T97" i="3"/>
  <c r="T104" i="3"/>
  <c r="AH104" i="3"/>
  <c r="AI108" i="3"/>
  <c r="U108" i="3"/>
  <c r="T112" i="3"/>
  <c r="AH112" i="3"/>
  <c r="AH111" i="3"/>
  <c r="L91" i="3"/>
  <c r="M91" i="3" s="1"/>
  <c r="N91" i="3" s="1"/>
  <c r="O91" i="3" s="1"/>
  <c r="P91" i="3" s="1"/>
  <c r="Q91" i="3" s="1"/>
  <c r="R91" i="3" s="1"/>
  <c r="S91" i="3" s="1"/>
  <c r="T111" i="3"/>
  <c r="B5" i="6"/>
  <c r="C5" i="6"/>
  <c r="D5" i="6"/>
  <c r="E5" i="6"/>
  <c r="F5" i="6"/>
  <c r="G5" i="6"/>
  <c r="H5" i="6"/>
  <c r="I5" i="6"/>
  <c r="J5" i="6"/>
  <c r="K5" i="6"/>
  <c r="B6" i="6"/>
  <c r="C6" i="6"/>
  <c r="D6" i="6"/>
  <c r="E6" i="6"/>
  <c r="F6" i="6"/>
  <c r="G6" i="6"/>
  <c r="H6" i="6"/>
  <c r="I6" i="6"/>
  <c r="J6" i="6"/>
  <c r="K6" i="6"/>
  <c r="B7" i="6"/>
  <c r="C7" i="6"/>
  <c r="D7" i="6"/>
  <c r="E7" i="6"/>
  <c r="F7" i="6"/>
  <c r="G7" i="6"/>
  <c r="H7" i="6"/>
  <c r="I7" i="6"/>
  <c r="J7" i="6"/>
  <c r="K7" i="6"/>
  <c r="B8" i="6"/>
  <c r="C8" i="6"/>
  <c r="D8" i="6"/>
  <c r="E8" i="6"/>
  <c r="F8" i="6"/>
  <c r="G8" i="6"/>
  <c r="H8" i="6"/>
  <c r="I8" i="6"/>
  <c r="J8" i="6"/>
  <c r="K8" i="6"/>
  <c r="B9" i="6"/>
  <c r="C9" i="6"/>
  <c r="D9" i="6"/>
  <c r="E9" i="6"/>
  <c r="F9" i="6"/>
  <c r="G9" i="6"/>
  <c r="H9" i="6"/>
  <c r="I9" i="6"/>
  <c r="J9" i="6"/>
  <c r="K9" i="6"/>
  <c r="B10" i="6"/>
  <c r="C10" i="6"/>
  <c r="D10" i="6"/>
  <c r="E10" i="6"/>
  <c r="F10" i="6"/>
  <c r="G10" i="6"/>
  <c r="H10" i="6"/>
  <c r="I10" i="6"/>
  <c r="J10" i="6"/>
  <c r="K10" i="6"/>
  <c r="B11" i="6"/>
  <c r="C11" i="6"/>
  <c r="D11" i="6"/>
  <c r="E11" i="6"/>
  <c r="F11" i="6"/>
  <c r="G11" i="6"/>
  <c r="H11" i="6"/>
  <c r="I11" i="6"/>
  <c r="J11" i="6"/>
  <c r="K11" i="6"/>
  <c r="B12" i="6"/>
  <c r="C12" i="6"/>
  <c r="D12" i="6"/>
  <c r="E12" i="6"/>
  <c r="F12" i="6"/>
  <c r="G12" i="6"/>
  <c r="H12" i="6"/>
  <c r="I12" i="6"/>
  <c r="J12" i="6"/>
  <c r="K12" i="6"/>
  <c r="B13" i="6"/>
  <c r="C13" i="6"/>
  <c r="D13" i="6"/>
  <c r="E13" i="6"/>
  <c r="F13" i="6"/>
  <c r="G13" i="6"/>
  <c r="H13" i="6"/>
  <c r="I13" i="6"/>
  <c r="J13" i="6"/>
  <c r="K13" i="6"/>
  <c r="B14" i="6"/>
  <c r="C14" i="6"/>
  <c r="D14" i="6"/>
  <c r="E14" i="6"/>
  <c r="F14" i="6"/>
  <c r="G14" i="6"/>
  <c r="H14" i="6"/>
  <c r="I14" i="6"/>
  <c r="J14" i="6"/>
  <c r="K14" i="6"/>
  <c r="B15" i="6"/>
  <c r="C15" i="6"/>
  <c r="D15" i="6"/>
  <c r="E15" i="6"/>
  <c r="F15" i="6"/>
  <c r="G15" i="6"/>
  <c r="H15" i="6"/>
  <c r="I15" i="6"/>
  <c r="J15" i="6"/>
  <c r="K15" i="6"/>
  <c r="B16" i="6"/>
  <c r="C16" i="6"/>
  <c r="D16" i="6"/>
  <c r="E16" i="6"/>
  <c r="F16" i="6"/>
  <c r="G16" i="6"/>
  <c r="H16" i="6"/>
  <c r="I16" i="6"/>
  <c r="J16" i="6"/>
  <c r="K16" i="6"/>
  <c r="B17" i="6"/>
  <c r="C17" i="6"/>
  <c r="D17" i="6"/>
  <c r="E17" i="6"/>
  <c r="F17" i="6"/>
  <c r="G17" i="6"/>
  <c r="H17" i="6"/>
  <c r="I17" i="6"/>
  <c r="J17" i="6"/>
  <c r="K17" i="6"/>
  <c r="B18" i="6"/>
  <c r="C18" i="6"/>
  <c r="D18" i="6"/>
  <c r="E18" i="6"/>
  <c r="F18" i="6"/>
  <c r="G18" i="6"/>
  <c r="H18" i="6"/>
  <c r="I18" i="6"/>
  <c r="J18" i="6"/>
  <c r="K18" i="6"/>
  <c r="B19" i="6"/>
  <c r="C19" i="6"/>
  <c r="D19" i="6"/>
  <c r="E19" i="6"/>
  <c r="F19" i="6"/>
  <c r="G19" i="6"/>
  <c r="H19" i="6"/>
  <c r="I19" i="6"/>
  <c r="J19" i="6"/>
  <c r="K19" i="6"/>
  <c r="B20" i="6"/>
  <c r="C20" i="6"/>
  <c r="D20" i="6"/>
  <c r="E20" i="6"/>
  <c r="F20" i="6"/>
  <c r="G20" i="6"/>
  <c r="H20" i="6"/>
  <c r="I20" i="6"/>
  <c r="J20" i="6"/>
  <c r="K20" i="6"/>
  <c r="B21" i="6"/>
  <c r="C21" i="6"/>
  <c r="D21" i="6"/>
  <c r="E21" i="6"/>
  <c r="F21" i="6"/>
  <c r="G21" i="6"/>
  <c r="H21" i="6"/>
  <c r="I21" i="6"/>
  <c r="J21" i="6"/>
  <c r="K21" i="6"/>
  <c r="B22" i="6"/>
  <c r="C22" i="6"/>
  <c r="D22" i="6"/>
  <c r="E22" i="6"/>
  <c r="F22" i="6"/>
  <c r="G22" i="6"/>
  <c r="H22" i="6"/>
  <c r="I22" i="6"/>
  <c r="J22" i="6"/>
  <c r="K22" i="6"/>
  <c r="B23" i="6"/>
  <c r="C23" i="6"/>
  <c r="D23" i="6"/>
  <c r="E23" i="6"/>
  <c r="F23" i="6"/>
  <c r="G23" i="6"/>
  <c r="H23" i="6"/>
  <c r="I23" i="6"/>
  <c r="J23" i="6"/>
  <c r="K23" i="6"/>
  <c r="B24" i="6"/>
  <c r="C24" i="6"/>
  <c r="D24" i="6"/>
  <c r="E24" i="6"/>
  <c r="F24" i="6"/>
  <c r="G24" i="6"/>
  <c r="H24" i="6"/>
  <c r="I24" i="6"/>
  <c r="J24" i="6"/>
  <c r="K24" i="6"/>
  <c r="B25" i="6"/>
  <c r="C25" i="6"/>
  <c r="D25" i="6"/>
  <c r="E25" i="6"/>
  <c r="F25" i="6"/>
  <c r="G25" i="6"/>
  <c r="H25" i="6"/>
  <c r="I25" i="6"/>
  <c r="J25" i="6"/>
  <c r="K25" i="6"/>
  <c r="B26" i="6"/>
  <c r="C26" i="6"/>
  <c r="D26" i="6"/>
  <c r="E26" i="6"/>
  <c r="F26" i="6"/>
  <c r="G26" i="6"/>
  <c r="H26" i="6"/>
  <c r="I26" i="6"/>
  <c r="J26" i="6"/>
  <c r="K26" i="6"/>
  <c r="B27" i="6"/>
  <c r="C27" i="6"/>
  <c r="D27" i="6"/>
  <c r="E27" i="6"/>
  <c r="F27" i="6"/>
  <c r="G27" i="6"/>
  <c r="H27" i="6"/>
  <c r="I27" i="6"/>
  <c r="J27" i="6"/>
  <c r="K27" i="6"/>
  <c r="B28" i="6"/>
  <c r="C28" i="6"/>
  <c r="D28" i="6"/>
  <c r="E28" i="6"/>
  <c r="F28" i="6"/>
  <c r="G28" i="6"/>
  <c r="H28" i="6"/>
  <c r="I28" i="6"/>
  <c r="J28" i="6"/>
  <c r="K28" i="6"/>
  <c r="B29" i="6"/>
  <c r="C29" i="6"/>
  <c r="D29" i="6"/>
  <c r="E29" i="6"/>
  <c r="F29" i="6"/>
  <c r="G29" i="6"/>
  <c r="H29" i="6"/>
  <c r="I29" i="6"/>
  <c r="J29" i="6"/>
  <c r="K29" i="6"/>
  <c r="B30" i="6"/>
  <c r="C30" i="6"/>
  <c r="D30" i="6"/>
  <c r="E30" i="6"/>
  <c r="F30" i="6"/>
  <c r="G30" i="6"/>
  <c r="H30" i="6"/>
  <c r="I30" i="6"/>
  <c r="J30" i="6"/>
  <c r="K30" i="6"/>
  <c r="B31" i="6"/>
  <c r="C31" i="6"/>
  <c r="D31" i="6"/>
  <c r="E31" i="6"/>
  <c r="F31" i="6"/>
  <c r="G31" i="6"/>
  <c r="H31" i="6"/>
  <c r="I31" i="6"/>
  <c r="J31" i="6"/>
  <c r="K31" i="6"/>
  <c r="B32" i="6"/>
  <c r="C32" i="6"/>
  <c r="D32" i="6"/>
  <c r="E32" i="6"/>
  <c r="F32" i="6"/>
  <c r="G32" i="6"/>
  <c r="H32" i="6"/>
  <c r="I32" i="6"/>
  <c r="J32" i="6"/>
  <c r="K32" i="6"/>
  <c r="B33" i="6"/>
  <c r="C33" i="6"/>
  <c r="D33" i="6"/>
  <c r="E33" i="6"/>
  <c r="F33" i="6"/>
  <c r="G33" i="6"/>
  <c r="H33" i="6"/>
  <c r="I33" i="6"/>
  <c r="J33" i="6"/>
  <c r="K33" i="6"/>
  <c r="B34" i="6"/>
  <c r="C34" i="6"/>
  <c r="D34" i="6"/>
  <c r="E34" i="6"/>
  <c r="F34" i="6"/>
  <c r="G34" i="6"/>
  <c r="H34" i="6"/>
  <c r="I34" i="6"/>
  <c r="J34" i="6"/>
  <c r="K34" i="6"/>
  <c r="B35" i="6"/>
  <c r="C35" i="6"/>
  <c r="D35" i="6"/>
  <c r="E35" i="6"/>
  <c r="F35" i="6"/>
  <c r="G35" i="6"/>
  <c r="H35" i="6"/>
  <c r="I35" i="6"/>
  <c r="J35" i="6"/>
  <c r="K35" i="6"/>
  <c r="B36" i="6"/>
  <c r="C36" i="6"/>
  <c r="D36" i="6"/>
  <c r="E36" i="6"/>
  <c r="F36" i="6"/>
  <c r="G36" i="6"/>
  <c r="H36" i="6"/>
  <c r="I36" i="6"/>
  <c r="J36" i="6"/>
  <c r="K36" i="6"/>
  <c r="B37" i="6"/>
  <c r="C37" i="6"/>
  <c r="D37" i="6"/>
  <c r="E37" i="6"/>
  <c r="F37" i="6"/>
  <c r="G37" i="6"/>
  <c r="H37" i="6"/>
  <c r="I37" i="6"/>
  <c r="J37" i="6"/>
  <c r="K37" i="6"/>
  <c r="B38" i="6"/>
  <c r="C38" i="6"/>
  <c r="D38" i="6"/>
  <c r="E38" i="6"/>
  <c r="F38" i="6"/>
  <c r="G38" i="6"/>
  <c r="H38" i="6"/>
  <c r="I38" i="6"/>
  <c r="J38" i="6"/>
  <c r="K38" i="6"/>
  <c r="B39" i="6"/>
  <c r="C39" i="6"/>
  <c r="D39" i="6"/>
  <c r="E39" i="6"/>
  <c r="F39" i="6"/>
  <c r="G39" i="6"/>
  <c r="H39" i="6"/>
  <c r="I39" i="6"/>
  <c r="J39" i="6"/>
  <c r="K39" i="6"/>
  <c r="B40" i="6"/>
  <c r="C40" i="6"/>
  <c r="D40" i="6"/>
  <c r="E40" i="6"/>
  <c r="F40" i="6"/>
  <c r="G40" i="6"/>
  <c r="H40" i="6"/>
  <c r="I40" i="6"/>
  <c r="J40" i="6"/>
  <c r="K40" i="6"/>
  <c r="B41" i="6"/>
  <c r="C41" i="6"/>
  <c r="D41" i="6"/>
  <c r="E41" i="6"/>
  <c r="F41" i="6"/>
  <c r="G41" i="6"/>
  <c r="H41" i="6"/>
  <c r="I41" i="6"/>
  <c r="J41" i="6"/>
  <c r="K41" i="6"/>
  <c r="B42" i="6"/>
  <c r="C42" i="6"/>
  <c r="D42" i="6"/>
  <c r="E42" i="6"/>
  <c r="F42" i="6"/>
  <c r="G42" i="6"/>
  <c r="H42" i="6"/>
  <c r="I42" i="6"/>
  <c r="J42" i="6"/>
  <c r="K42" i="6"/>
  <c r="B43" i="6"/>
  <c r="C43" i="6"/>
  <c r="D43" i="6"/>
  <c r="E43" i="6"/>
  <c r="F43" i="6"/>
  <c r="G43" i="6"/>
  <c r="H43" i="6"/>
  <c r="I43" i="6"/>
  <c r="J43" i="6"/>
  <c r="K43" i="6"/>
  <c r="B44" i="6"/>
  <c r="C44" i="6"/>
  <c r="D44" i="6"/>
  <c r="E44" i="6"/>
  <c r="F44" i="6"/>
  <c r="G44" i="6"/>
  <c r="H44" i="6"/>
  <c r="I44" i="6"/>
  <c r="J44" i="6"/>
  <c r="K44" i="6"/>
  <c r="B45" i="6"/>
  <c r="C45" i="6"/>
  <c r="D45" i="6"/>
  <c r="E45" i="6"/>
  <c r="F45" i="6"/>
  <c r="G45" i="6"/>
  <c r="H45" i="6"/>
  <c r="I45" i="6"/>
  <c r="J45" i="6"/>
  <c r="K45" i="6"/>
  <c r="B46" i="6"/>
  <c r="C46" i="6"/>
  <c r="D46" i="6"/>
  <c r="E46" i="6"/>
  <c r="F46" i="6"/>
  <c r="G46" i="6"/>
  <c r="H46" i="6"/>
  <c r="I46" i="6"/>
  <c r="J46" i="6"/>
  <c r="K46" i="6"/>
  <c r="B47" i="6"/>
  <c r="C47" i="6"/>
  <c r="D47" i="6"/>
  <c r="E47" i="6"/>
  <c r="F47" i="6"/>
  <c r="G47" i="6"/>
  <c r="H47" i="6"/>
  <c r="I47" i="6"/>
  <c r="J47" i="6"/>
  <c r="K47" i="6"/>
  <c r="B48" i="6"/>
  <c r="C48" i="6"/>
  <c r="D48" i="6"/>
  <c r="E48" i="6"/>
  <c r="F48" i="6"/>
  <c r="G48" i="6"/>
  <c r="H48" i="6"/>
  <c r="I48" i="6"/>
  <c r="J48" i="6"/>
  <c r="K48" i="6"/>
  <c r="B49" i="6"/>
  <c r="C49" i="6"/>
  <c r="D49" i="6"/>
  <c r="E49" i="6"/>
  <c r="F49" i="6"/>
  <c r="G49" i="6"/>
  <c r="H49" i="6"/>
  <c r="I49" i="6"/>
  <c r="J49" i="6"/>
  <c r="K49" i="6"/>
  <c r="B50" i="6"/>
  <c r="C50" i="6"/>
  <c r="D50" i="6"/>
  <c r="E50" i="6"/>
  <c r="F50" i="6"/>
  <c r="G50" i="6"/>
  <c r="H50" i="6"/>
  <c r="I50" i="6"/>
  <c r="J50" i="6"/>
  <c r="K50" i="6"/>
  <c r="B51" i="6"/>
  <c r="C51" i="6"/>
  <c r="D51" i="6"/>
  <c r="E51" i="6"/>
  <c r="F51" i="6"/>
  <c r="G51" i="6"/>
  <c r="H51" i="6"/>
  <c r="I51" i="6"/>
  <c r="J51" i="6"/>
  <c r="K51" i="6"/>
  <c r="B52" i="6"/>
  <c r="C52" i="6"/>
  <c r="D52" i="6"/>
  <c r="E52" i="6"/>
  <c r="F52" i="6"/>
  <c r="G52" i="6"/>
  <c r="H52" i="6"/>
  <c r="I52" i="6"/>
  <c r="J52" i="6"/>
  <c r="K52" i="6"/>
  <c r="K4" i="6"/>
  <c r="J4" i="6"/>
  <c r="I4" i="6"/>
  <c r="H4" i="6"/>
  <c r="G4" i="6"/>
  <c r="F4" i="6"/>
  <c r="E4" i="6"/>
  <c r="D4" i="6"/>
  <c r="C4" i="6"/>
  <c r="B4" i="6"/>
  <c r="O5" i="6"/>
  <c r="P5" i="6"/>
  <c r="Q5" i="6"/>
  <c r="R5" i="6"/>
  <c r="S5" i="6"/>
  <c r="O6" i="6"/>
  <c r="P6" i="6"/>
  <c r="Q6" i="6"/>
  <c r="R6" i="6"/>
  <c r="S6" i="6"/>
  <c r="O7" i="6"/>
  <c r="P7" i="6"/>
  <c r="Q7" i="6"/>
  <c r="R7" i="6"/>
  <c r="S7" i="6"/>
  <c r="O8" i="6"/>
  <c r="P8" i="6"/>
  <c r="Q8" i="6"/>
  <c r="R8" i="6"/>
  <c r="S8" i="6"/>
  <c r="O9" i="6"/>
  <c r="P9" i="6"/>
  <c r="Q9" i="6"/>
  <c r="R9" i="6"/>
  <c r="S9" i="6"/>
  <c r="O10" i="6"/>
  <c r="P10" i="6"/>
  <c r="Q10" i="6"/>
  <c r="R10" i="6"/>
  <c r="S10" i="6"/>
  <c r="O11" i="6"/>
  <c r="P11" i="6"/>
  <c r="Q11" i="6"/>
  <c r="R11" i="6"/>
  <c r="S11" i="6"/>
  <c r="O12" i="6"/>
  <c r="P12" i="6"/>
  <c r="Q12" i="6"/>
  <c r="R12" i="6"/>
  <c r="S12" i="6"/>
  <c r="O13" i="6"/>
  <c r="P13" i="6"/>
  <c r="Q13" i="6"/>
  <c r="R13" i="6"/>
  <c r="S13" i="6"/>
  <c r="O14" i="6"/>
  <c r="P14" i="6"/>
  <c r="Q14" i="6"/>
  <c r="R14" i="6"/>
  <c r="S14" i="6"/>
  <c r="O15" i="6"/>
  <c r="P15" i="6"/>
  <c r="Q15" i="6"/>
  <c r="R15" i="6"/>
  <c r="S15" i="6"/>
  <c r="O16" i="6"/>
  <c r="P16" i="6"/>
  <c r="Q16" i="6"/>
  <c r="R16" i="6"/>
  <c r="S16" i="6"/>
  <c r="O17" i="6"/>
  <c r="P17" i="6"/>
  <c r="Q17" i="6"/>
  <c r="R17" i="6"/>
  <c r="S17" i="6"/>
  <c r="O18" i="6"/>
  <c r="P18" i="6"/>
  <c r="Q18" i="6"/>
  <c r="R18" i="6"/>
  <c r="S18" i="6"/>
  <c r="O19" i="6"/>
  <c r="P19" i="6"/>
  <c r="Q19" i="6"/>
  <c r="R19" i="6"/>
  <c r="S19" i="6"/>
  <c r="O20" i="6"/>
  <c r="P20" i="6"/>
  <c r="Q20" i="6"/>
  <c r="R20" i="6"/>
  <c r="S20" i="6"/>
  <c r="O21" i="6"/>
  <c r="P21" i="6"/>
  <c r="Q21" i="6"/>
  <c r="R21" i="6"/>
  <c r="S21" i="6"/>
  <c r="O22" i="6"/>
  <c r="P22" i="6"/>
  <c r="Q22" i="6"/>
  <c r="R22" i="6"/>
  <c r="S22" i="6"/>
  <c r="O23" i="6"/>
  <c r="P23" i="6"/>
  <c r="Q23" i="6"/>
  <c r="R23" i="6"/>
  <c r="S23" i="6"/>
  <c r="O24" i="6"/>
  <c r="P24" i="6"/>
  <c r="Q24" i="6"/>
  <c r="R24" i="6"/>
  <c r="S24" i="6"/>
  <c r="O25" i="6"/>
  <c r="P25" i="6"/>
  <c r="Q25" i="6"/>
  <c r="R25" i="6"/>
  <c r="S25" i="6"/>
  <c r="O26" i="6"/>
  <c r="P26" i="6"/>
  <c r="Q26" i="6"/>
  <c r="R26" i="6"/>
  <c r="S26" i="6"/>
  <c r="O27" i="6"/>
  <c r="P27" i="6"/>
  <c r="Q27" i="6"/>
  <c r="R27" i="6"/>
  <c r="S27" i="6"/>
  <c r="O28" i="6"/>
  <c r="P28" i="6"/>
  <c r="Q28" i="6"/>
  <c r="R28" i="6"/>
  <c r="S28" i="6"/>
  <c r="O29" i="6"/>
  <c r="P29" i="6"/>
  <c r="Q29" i="6"/>
  <c r="R29" i="6"/>
  <c r="S29" i="6"/>
  <c r="O30" i="6"/>
  <c r="P30" i="6"/>
  <c r="Q30" i="6"/>
  <c r="R30" i="6"/>
  <c r="S30" i="6"/>
  <c r="O31" i="6"/>
  <c r="P31" i="6"/>
  <c r="Q31" i="6"/>
  <c r="R31" i="6"/>
  <c r="S31" i="6"/>
  <c r="O32" i="6"/>
  <c r="P32" i="6"/>
  <c r="Q32" i="6"/>
  <c r="R32" i="6"/>
  <c r="S32" i="6"/>
  <c r="O33" i="6"/>
  <c r="P33" i="6"/>
  <c r="Q33" i="6"/>
  <c r="R33" i="6"/>
  <c r="S33" i="6"/>
  <c r="O34" i="6"/>
  <c r="P34" i="6"/>
  <c r="Q34" i="6"/>
  <c r="R34" i="6"/>
  <c r="S34" i="6"/>
  <c r="O35" i="6"/>
  <c r="P35" i="6"/>
  <c r="Q35" i="6"/>
  <c r="R35" i="6"/>
  <c r="S35" i="6"/>
  <c r="O36" i="6"/>
  <c r="P36" i="6"/>
  <c r="Q36" i="6"/>
  <c r="R36" i="6"/>
  <c r="S36" i="6"/>
  <c r="O37" i="6"/>
  <c r="P37" i="6"/>
  <c r="Q37" i="6"/>
  <c r="R37" i="6"/>
  <c r="S37" i="6"/>
  <c r="O38" i="6"/>
  <c r="P38" i="6"/>
  <c r="Q38" i="6"/>
  <c r="R38" i="6"/>
  <c r="S38" i="6"/>
  <c r="O39" i="6"/>
  <c r="P39" i="6"/>
  <c r="Q39" i="6"/>
  <c r="R39" i="6"/>
  <c r="S39" i="6"/>
  <c r="O40" i="6"/>
  <c r="P40" i="6"/>
  <c r="Q40" i="6"/>
  <c r="R40" i="6"/>
  <c r="S40" i="6"/>
  <c r="O41" i="6"/>
  <c r="P41" i="6"/>
  <c r="Q41" i="6"/>
  <c r="R41" i="6"/>
  <c r="S41" i="6"/>
  <c r="O42" i="6"/>
  <c r="P42" i="6"/>
  <c r="Q42" i="6"/>
  <c r="R42" i="6"/>
  <c r="S42" i="6"/>
  <c r="O43" i="6"/>
  <c r="P43" i="6"/>
  <c r="Q43" i="6"/>
  <c r="R43" i="6"/>
  <c r="S43" i="6"/>
  <c r="O44" i="6"/>
  <c r="P44" i="6"/>
  <c r="Q44" i="6"/>
  <c r="R44" i="6"/>
  <c r="S44" i="6"/>
  <c r="O45" i="6"/>
  <c r="P45" i="6"/>
  <c r="Q45" i="6"/>
  <c r="R45" i="6"/>
  <c r="S45" i="6"/>
  <c r="O46" i="6"/>
  <c r="P46" i="6"/>
  <c r="Q46" i="6"/>
  <c r="R46" i="6"/>
  <c r="S46" i="6"/>
  <c r="O47" i="6"/>
  <c r="P47" i="6"/>
  <c r="Q47" i="6"/>
  <c r="R47" i="6"/>
  <c r="S47" i="6"/>
  <c r="O48" i="6"/>
  <c r="P48" i="6"/>
  <c r="Q48" i="6"/>
  <c r="R48" i="6"/>
  <c r="S48" i="6"/>
  <c r="O49" i="6"/>
  <c r="P49" i="6"/>
  <c r="Q49" i="6"/>
  <c r="R49" i="6"/>
  <c r="S49" i="6"/>
  <c r="O50" i="6"/>
  <c r="P50" i="6"/>
  <c r="Q50" i="6"/>
  <c r="R50" i="6"/>
  <c r="S50" i="6"/>
  <c r="O51" i="6"/>
  <c r="P51" i="6"/>
  <c r="Q51" i="6"/>
  <c r="R51" i="6"/>
  <c r="S51" i="6"/>
  <c r="O52" i="6"/>
  <c r="P52" i="6"/>
  <c r="Q52" i="6"/>
  <c r="R52" i="6"/>
  <c r="S52" i="6"/>
  <c r="S4" i="6"/>
  <c r="R4" i="6"/>
  <c r="Q4" i="6"/>
  <c r="P4" i="6"/>
  <c r="O4" i="6"/>
  <c r="Q56" i="7"/>
  <c r="P56" i="7"/>
  <c r="O56" i="7"/>
  <c r="N56" i="7" s="1"/>
  <c r="L56" i="7"/>
  <c r="R55" i="7"/>
  <c r="Q55" i="7"/>
  <c r="P55" i="7"/>
  <c r="O55" i="7"/>
  <c r="M55" i="7" s="1"/>
  <c r="L55" i="7"/>
  <c r="Q54" i="7"/>
  <c r="P54" i="7"/>
  <c r="O54" i="7"/>
  <c r="N54" i="7" s="1"/>
  <c r="L54" i="7"/>
  <c r="R53" i="7"/>
  <c r="Q53" i="7"/>
  <c r="P53" i="7"/>
  <c r="O53" i="7"/>
  <c r="S53" i="7" s="1"/>
  <c r="L53" i="7"/>
  <c r="R52" i="7"/>
  <c r="Q52" i="7"/>
  <c r="P52" i="7"/>
  <c r="O52" i="7"/>
  <c r="N52" i="7" s="1"/>
  <c r="L52" i="7"/>
  <c r="R51" i="7"/>
  <c r="Q51" i="7"/>
  <c r="P51" i="7"/>
  <c r="O51" i="7"/>
  <c r="M51" i="7" s="1"/>
  <c r="L51" i="7"/>
  <c r="R50" i="7"/>
  <c r="Q50" i="7"/>
  <c r="P50" i="7"/>
  <c r="O50" i="7"/>
  <c r="M50" i="7" s="1"/>
  <c r="L50" i="7"/>
  <c r="R49" i="7"/>
  <c r="Q49" i="7"/>
  <c r="P49" i="7"/>
  <c r="O49" i="7"/>
  <c r="M49" i="7" s="1"/>
  <c r="L49" i="7"/>
  <c r="R48" i="7"/>
  <c r="Q48" i="7"/>
  <c r="P48" i="7"/>
  <c r="O48" i="7"/>
  <c r="N48" i="7" s="1"/>
  <c r="L48" i="7"/>
  <c r="R47" i="7"/>
  <c r="Q47" i="7"/>
  <c r="P47" i="7"/>
  <c r="O47" i="7"/>
  <c r="M47" i="7" s="1"/>
  <c r="L47" i="7"/>
  <c r="R46" i="7"/>
  <c r="Q46" i="7"/>
  <c r="P46" i="7"/>
  <c r="O46" i="7"/>
  <c r="R45" i="7"/>
  <c r="Q45" i="7"/>
  <c r="P45" i="7"/>
  <c r="O45" i="7"/>
  <c r="N45" i="7" s="1"/>
  <c r="L45" i="7"/>
  <c r="R44" i="7"/>
  <c r="Q44" i="7"/>
  <c r="P44" i="7"/>
  <c r="O44" i="7"/>
  <c r="N44" i="7" s="1"/>
  <c r="L44" i="7"/>
  <c r="R43" i="7"/>
  <c r="Q43" i="7"/>
  <c r="P43" i="7"/>
  <c r="O43" i="7"/>
  <c r="L43" i="7"/>
  <c r="R42" i="7"/>
  <c r="Q42" i="7"/>
  <c r="P42" i="7"/>
  <c r="O42" i="7"/>
  <c r="M42" i="7" s="1"/>
  <c r="L42" i="7"/>
  <c r="Q41" i="7"/>
  <c r="P41" i="7"/>
  <c r="O41" i="7"/>
  <c r="N41" i="7" s="1"/>
  <c r="L41" i="7"/>
  <c r="R40" i="7"/>
  <c r="Q40" i="7"/>
  <c r="P40" i="7"/>
  <c r="O40" i="7"/>
  <c r="N40" i="7" s="1"/>
  <c r="L40" i="7"/>
  <c r="R39" i="7"/>
  <c r="Q39" i="7"/>
  <c r="P39" i="7"/>
  <c r="O39" i="7"/>
  <c r="N39" i="7" s="1"/>
  <c r="L39" i="7"/>
  <c r="R38" i="7"/>
  <c r="Q38" i="7"/>
  <c r="P38" i="7"/>
  <c r="O38" i="7"/>
  <c r="N38" i="7" s="1"/>
  <c r="L38" i="7"/>
  <c r="R37" i="7"/>
  <c r="Q37" i="7"/>
  <c r="P37" i="7"/>
  <c r="O37" i="7"/>
  <c r="L37" i="7"/>
  <c r="R36" i="7"/>
  <c r="Q36" i="7"/>
  <c r="P36" i="7"/>
  <c r="O36" i="7"/>
  <c r="M36" i="7" s="1"/>
  <c r="L36" i="7"/>
  <c r="R35" i="7"/>
  <c r="Q35" i="7"/>
  <c r="P35" i="7"/>
  <c r="O35" i="7"/>
  <c r="S35" i="7" s="1"/>
  <c r="L35" i="7"/>
  <c r="R34" i="7"/>
  <c r="Q34" i="7"/>
  <c r="P34" i="7"/>
  <c r="O34" i="7"/>
  <c r="S34" i="7" s="1"/>
  <c r="L34" i="7"/>
  <c r="Q33" i="7"/>
  <c r="P33" i="7"/>
  <c r="O33" i="7"/>
  <c r="N33" i="7" s="1"/>
  <c r="L33" i="7"/>
  <c r="R32" i="7"/>
  <c r="Q32" i="7"/>
  <c r="P32" i="7"/>
  <c r="O32" i="7"/>
  <c r="N32" i="7" s="1"/>
  <c r="L32" i="7"/>
  <c r="R31" i="7"/>
  <c r="Q31" i="7"/>
  <c r="P31" i="7"/>
  <c r="O31" i="7"/>
  <c r="L31" i="7"/>
  <c r="R30" i="7"/>
  <c r="Q30" i="7"/>
  <c r="P30" i="7"/>
  <c r="O30" i="7"/>
  <c r="M30" i="7" s="1"/>
  <c r="L30" i="7"/>
  <c r="R29" i="7"/>
  <c r="Q29" i="7"/>
  <c r="P29" i="7"/>
  <c r="O29" i="7"/>
  <c r="S29" i="7" s="1"/>
  <c r="L29" i="7"/>
  <c r="R28" i="7"/>
  <c r="Q28" i="7"/>
  <c r="P28" i="7"/>
  <c r="O28" i="7"/>
  <c r="S28" i="7" s="1"/>
  <c r="L28" i="7"/>
  <c r="R27" i="7"/>
  <c r="Q27" i="7"/>
  <c r="P27" i="7"/>
  <c r="O27" i="7"/>
  <c r="N27" i="7" s="1"/>
  <c r="L27" i="7"/>
  <c r="R26" i="7"/>
  <c r="Q26" i="7"/>
  <c r="P26" i="7"/>
  <c r="O26" i="7"/>
  <c r="N26" i="7" s="1"/>
  <c r="L26" i="7"/>
  <c r="R25" i="7"/>
  <c r="Q25" i="7"/>
  <c r="P25" i="7"/>
  <c r="O25" i="7"/>
  <c r="N25" i="7" s="1"/>
  <c r="L25" i="7"/>
  <c r="Q24" i="7"/>
  <c r="P24" i="7"/>
  <c r="O24" i="7"/>
  <c r="M24" i="7" s="1"/>
  <c r="L24" i="7"/>
  <c r="Q23" i="7"/>
  <c r="P23" i="7"/>
  <c r="O23" i="7"/>
  <c r="N23" i="7" s="1"/>
  <c r="L23" i="7"/>
  <c r="R22" i="7"/>
  <c r="Q22" i="7"/>
  <c r="P22" i="7"/>
  <c r="O22" i="7"/>
  <c r="N22" i="7" s="1"/>
  <c r="L22" i="7"/>
  <c r="R21" i="7"/>
  <c r="Q21" i="7"/>
  <c r="P21" i="7"/>
  <c r="O21" i="7"/>
  <c r="S21" i="7" s="1"/>
  <c r="L21" i="7"/>
  <c r="R20" i="7"/>
  <c r="Q20" i="7"/>
  <c r="P20" i="7"/>
  <c r="O20" i="7"/>
  <c r="N20" i="7" s="1"/>
  <c r="L20" i="7"/>
  <c r="R19" i="7"/>
  <c r="Q19" i="7"/>
  <c r="P19" i="7"/>
  <c r="O19" i="7"/>
  <c r="Q18" i="7"/>
  <c r="P18" i="7"/>
  <c r="O18" i="7"/>
  <c r="M18" i="7" s="1"/>
  <c r="L18" i="7"/>
  <c r="R17" i="7"/>
  <c r="Q17" i="7"/>
  <c r="P17" i="7"/>
  <c r="O17" i="7"/>
  <c r="N17" i="7" s="1"/>
  <c r="L17" i="7"/>
  <c r="R16" i="7"/>
  <c r="Q16" i="7"/>
  <c r="P16" i="7"/>
  <c r="O16" i="7"/>
  <c r="L16" i="7"/>
  <c r="R15" i="7"/>
  <c r="Q15" i="7"/>
  <c r="P15" i="7"/>
  <c r="O15" i="7"/>
  <c r="M15" i="7" s="1"/>
  <c r="L15" i="7"/>
  <c r="R14" i="7"/>
  <c r="Q14" i="7"/>
  <c r="P14" i="7"/>
  <c r="O14" i="7"/>
  <c r="S14" i="7" s="1"/>
  <c r="L14" i="7"/>
  <c r="R13" i="7"/>
  <c r="Q13" i="7"/>
  <c r="P13" i="7"/>
  <c r="O13" i="7"/>
  <c r="S13" i="7" s="1"/>
  <c r="L13" i="7"/>
  <c r="R12" i="7"/>
  <c r="Q12" i="7"/>
  <c r="P12" i="7"/>
  <c r="O12" i="7"/>
  <c r="N12" i="7" s="1"/>
  <c r="L12" i="7"/>
  <c r="R11" i="7"/>
  <c r="Q11" i="7"/>
  <c r="P11" i="7"/>
  <c r="O11" i="7"/>
  <c r="N11" i="7" s="1"/>
  <c r="L11" i="7"/>
  <c r="R10" i="7"/>
  <c r="Q10" i="7"/>
  <c r="P10" i="7"/>
  <c r="O10" i="7"/>
  <c r="N10" i="7" s="1"/>
  <c r="L10" i="7"/>
  <c r="R9" i="7"/>
  <c r="Q9" i="7"/>
  <c r="P9" i="7"/>
  <c r="O9" i="7"/>
  <c r="N9" i="7" s="1"/>
  <c r="L9" i="7"/>
  <c r="R8" i="7"/>
  <c r="Q8" i="7"/>
  <c r="P8" i="7"/>
  <c r="O8" i="7"/>
  <c r="L8" i="7"/>
  <c r="AQ56" i="7"/>
  <c r="AQ55" i="7"/>
  <c r="AQ54" i="7"/>
  <c r="AQ53" i="7"/>
  <c r="AQ52" i="7"/>
  <c r="AQ51" i="7"/>
  <c r="AQ50" i="7"/>
  <c r="AQ49" i="7"/>
  <c r="AQ48" i="7"/>
  <c r="AQ47" i="7"/>
  <c r="AQ46" i="7"/>
  <c r="AP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  <c r="AQ8" i="7"/>
  <c r="AI106" i="3" l="1"/>
  <c r="U106" i="3"/>
  <c r="T91" i="3"/>
  <c r="AH91" i="3"/>
  <c r="U97" i="3"/>
  <c r="AI97" i="3"/>
  <c r="AI110" i="3"/>
  <c r="U110" i="3"/>
  <c r="U113" i="3"/>
  <c r="AI113" i="3"/>
  <c r="U86" i="3"/>
  <c r="AI86" i="3"/>
  <c r="AI89" i="3"/>
  <c r="U89" i="3"/>
  <c r="U74" i="3"/>
  <c r="AI74" i="3"/>
  <c r="AI73" i="3"/>
  <c r="U73" i="3"/>
  <c r="U67" i="3"/>
  <c r="AI67" i="3"/>
  <c r="U111" i="3"/>
  <c r="AI111" i="3"/>
  <c r="AI104" i="3"/>
  <c r="U104" i="3"/>
  <c r="AI90" i="3"/>
  <c r="U90" i="3"/>
  <c r="U82" i="3"/>
  <c r="AI82" i="3"/>
  <c r="AI94" i="3"/>
  <c r="U94" i="3"/>
  <c r="U105" i="3"/>
  <c r="AI105" i="3"/>
  <c r="AJ103" i="3"/>
  <c r="V103" i="3"/>
  <c r="U84" i="3"/>
  <c r="AI84" i="3"/>
  <c r="U95" i="3"/>
  <c r="AI95" i="3"/>
  <c r="AI76" i="3"/>
  <c r="U76" i="3"/>
  <c r="AI79" i="3"/>
  <c r="U79" i="3"/>
  <c r="AI78" i="3"/>
  <c r="U78" i="3"/>
  <c r="U99" i="3"/>
  <c r="AI99" i="3"/>
  <c r="AI96" i="3"/>
  <c r="U96" i="3"/>
  <c r="U92" i="3"/>
  <c r="AI92" i="3"/>
  <c r="U68" i="3"/>
  <c r="AI68" i="3"/>
  <c r="AI112" i="3"/>
  <c r="U112" i="3"/>
  <c r="AI114" i="3"/>
  <c r="U114" i="3"/>
  <c r="AI100" i="3"/>
  <c r="U100" i="3"/>
  <c r="AI93" i="3"/>
  <c r="U93" i="3"/>
  <c r="AI77" i="3"/>
  <c r="U77" i="3"/>
  <c r="AI69" i="3"/>
  <c r="U69" i="3"/>
  <c r="U75" i="3"/>
  <c r="AI75" i="3"/>
  <c r="AI70" i="3"/>
  <c r="U70" i="3"/>
  <c r="V108" i="3"/>
  <c r="AJ108" i="3"/>
  <c r="U107" i="3"/>
  <c r="AI107" i="3"/>
  <c r="AI98" i="3"/>
  <c r="U98" i="3"/>
  <c r="U109" i="3"/>
  <c r="AI109" i="3"/>
  <c r="U101" i="3"/>
  <c r="AI101" i="3"/>
  <c r="V88" i="3"/>
  <c r="AJ88" i="3"/>
  <c r="U83" i="3"/>
  <c r="AI83" i="3"/>
  <c r="V81" i="3"/>
  <c r="AJ81" i="3"/>
  <c r="U87" i="3"/>
  <c r="AI87" i="3"/>
  <c r="W80" i="3"/>
  <c r="AK80" i="3"/>
  <c r="U66" i="3"/>
  <c r="AI66" i="3"/>
  <c r="U72" i="3"/>
  <c r="AI72" i="3"/>
  <c r="T85" i="3"/>
  <c r="AH85" i="3"/>
  <c r="AI102" i="3"/>
  <c r="U102" i="3"/>
  <c r="AI71" i="3"/>
  <c r="U71" i="3"/>
  <c r="M45" i="7"/>
  <c r="S25" i="7"/>
  <c r="M35" i="7"/>
  <c r="M17" i="7"/>
  <c r="AH17" i="7" s="1"/>
  <c r="N50" i="7"/>
  <c r="AK50" i="7" s="1"/>
  <c r="AM50" i="7" s="1"/>
  <c r="M53" i="7"/>
  <c r="S17" i="7"/>
  <c r="N18" i="7"/>
  <c r="AI18" i="7" s="1"/>
  <c r="M25" i="7"/>
  <c r="M39" i="7"/>
  <c r="AK39" i="7" s="1"/>
  <c r="AM39" i="7" s="1"/>
  <c r="S42" i="7"/>
  <c r="AJ19" i="7"/>
  <c r="S45" i="7"/>
  <c r="N49" i="7"/>
  <c r="AP49" i="7" s="1"/>
  <c r="S39" i="7"/>
  <c r="S49" i="7"/>
  <c r="S50" i="7"/>
  <c r="S12" i="7"/>
  <c r="S38" i="7"/>
  <c r="M10" i="7"/>
  <c r="AH10" i="7" s="1"/>
  <c r="N36" i="7"/>
  <c r="AI36" i="7" s="1"/>
  <c r="M54" i="7"/>
  <c r="AH54" i="7" s="1"/>
  <c r="AI10" i="7"/>
  <c r="S30" i="7"/>
  <c r="N34" i="7"/>
  <c r="M44" i="7"/>
  <c r="AK44" i="7" s="1"/>
  <c r="AM44" i="7" s="1"/>
  <c r="S15" i="7"/>
  <c r="S9" i="7"/>
  <c r="S10" i="7"/>
  <c r="M20" i="7"/>
  <c r="AG20" i="7" s="1"/>
  <c r="M21" i="7"/>
  <c r="M33" i="7"/>
  <c r="AK33" i="7" s="1"/>
  <c r="AM33" i="7" s="1"/>
  <c r="S52" i="7"/>
  <c r="N15" i="7"/>
  <c r="AH15" i="7" s="1"/>
  <c r="N21" i="7"/>
  <c r="AH21" i="7" s="1"/>
  <c r="N24" i="7"/>
  <c r="AI24" i="7" s="1"/>
  <c r="N28" i="7"/>
  <c r="M32" i="7"/>
  <c r="AK32" i="7" s="1"/>
  <c r="AM32" i="7" s="1"/>
  <c r="S44" i="7"/>
  <c r="N47" i="7"/>
  <c r="AI47" i="7" s="1"/>
  <c r="M9" i="7"/>
  <c r="AH9" i="7" s="1"/>
  <c r="M14" i="7"/>
  <c r="AK45" i="7"/>
  <c r="AM45" i="7" s="1"/>
  <c r="AG46" i="7"/>
  <c r="M52" i="7"/>
  <c r="AK52" i="7" s="1"/>
  <c r="AM52" i="7" s="1"/>
  <c r="N53" i="7"/>
  <c r="N13" i="7"/>
  <c r="AJ17" i="7"/>
  <c r="S20" i="7"/>
  <c r="N30" i="7"/>
  <c r="AK30" i="7" s="1"/>
  <c r="AM30" i="7" s="1"/>
  <c r="N51" i="7"/>
  <c r="AK51" i="7" s="1"/>
  <c r="AM51" i="7" s="1"/>
  <c r="S32" i="7"/>
  <c r="S47" i="7"/>
  <c r="AI45" i="7"/>
  <c r="AI15" i="7"/>
  <c r="S27" i="7"/>
  <c r="M29" i="7"/>
  <c r="S36" i="7"/>
  <c r="M38" i="7"/>
  <c r="AH38" i="7" s="1"/>
  <c r="N42" i="7"/>
  <c r="AI42" i="7" s="1"/>
  <c r="AH46" i="7"/>
  <c r="N55" i="7"/>
  <c r="AJ55" i="7" s="1"/>
  <c r="N31" i="7"/>
  <c r="M31" i="7"/>
  <c r="S31" i="7"/>
  <c r="AJ44" i="7"/>
  <c r="AK47" i="7"/>
  <c r="AM47" i="7" s="1"/>
  <c r="AP17" i="7"/>
  <c r="N37" i="7"/>
  <c r="M37" i="7"/>
  <c r="S37" i="7"/>
  <c r="AP36" i="7"/>
  <c r="AK36" i="7"/>
  <c r="AM36" i="7" s="1"/>
  <c r="N8" i="7"/>
  <c r="M8" i="7"/>
  <c r="S8" i="7"/>
  <c r="N16" i="7"/>
  <c r="AK16" i="7" s="1"/>
  <c r="AM16" i="7" s="1"/>
  <c r="M16" i="7"/>
  <c r="AH16" i="7" s="1"/>
  <c r="S16" i="7"/>
  <c r="AK25" i="7"/>
  <c r="AM25" i="7" s="1"/>
  <c r="N43" i="7"/>
  <c r="M43" i="7"/>
  <c r="S43" i="7"/>
  <c r="AJ42" i="7"/>
  <c r="AK15" i="7"/>
  <c r="AM15" i="7" s="1"/>
  <c r="AJ15" i="7"/>
  <c r="AI19" i="7"/>
  <c r="AP19" i="7"/>
  <c r="AG19" i="7"/>
  <c r="AH19" i="7"/>
  <c r="S19" i="7"/>
  <c r="AK19" i="7"/>
  <c r="AM19" i="7" s="1"/>
  <c r="AH25" i="7"/>
  <c r="AK10" i="7"/>
  <c r="AM10" i="7" s="1"/>
  <c r="AK17" i="7"/>
  <c r="AM17" i="7" s="1"/>
  <c r="AI25" i="7"/>
  <c r="S11" i="7"/>
  <c r="M13" i="7"/>
  <c r="AK13" i="7" s="1"/>
  <c r="AM13" i="7" s="1"/>
  <c r="N14" i="7"/>
  <c r="S22" i="7"/>
  <c r="S26" i="7"/>
  <c r="M28" i="7"/>
  <c r="N29" i="7"/>
  <c r="M34" i="7"/>
  <c r="N35" i="7"/>
  <c r="AH35" i="7" s="1"/>
  <c r="S40" i="7"/>
  <c r="AI46" i="7"/>
  <c r="S51" i="7"/>
  <c r="M12" i="7"/>
  <c r="M23" i="7"/>
  <c r="AG23" i="7" s="1"/>
  <c r="M27" i="7"/>
  <c r="AG27" i="7" s="1"/>
  <c r="M41" i="7"/>
  <c r="AK41" i="7" s="1"/>
  <c r="AM41" i="7" s="1"/>
  <c r="AJ46" i="7"/>
  <c r="AG10" i="7"/>
  <c r="M11" i="7"/>
  <c r="AK11" i="7" s="1"/>
  <c r="AM11" i="7" s="1"/>
  <c r="AH11" i="7"/>
  <c r="M22" i="7"/>
  <c r="AJ22" i="7" s="1"/>
  <c r="AG25" i="7"/>
  <c r="M26" i="7"/>
  <c r="AH26" i="7" s="1"/>
  <c r="M40" i="7"/>
  <c r="AH40" i="7" s="1"/>
  <c r="AG45" i="7"/>
  <c r="AK46" i="7"/>
  <c r="AM46" i="7" s="1"/>
  <c r="AI52" i="7"/>
  <c r="S55" i="7"/>
  <c r="AG9" i="7"/>
  <c r="AG17" i="7"/>
  <c r="AG44" i="7"/>
  <c r="AH45" i="7"/>
  <c r="S48" i="7"/>
  <c r="AH50" i="7"/>
  <c r="M56" i="7"/>
  <c r="AG56" i="7" s="1"/>
  <c r="AJ56" i="7"/>
  <c r="AH44" i="7"/>
  <c r="AI9" i="7"/>
  <c r="AG15" i="7"/>
  <c r="AI17" i="7"/>
  <c r="AJ25" i="7"/>
  <c r="AG36" i="7"/>
  <c r="AI44" i="7"/>
  <c r="AJ45" i="7"/>
  <c r="S46" i="7"/>
  <c r="AG47" i="7"/>
  <c r="M48" i="7"/>
  <c r="AG48" i="7" s="1"/>
  <c r="AP12" i="7"/>
  <c r="AP18" i="7"/>
  <c r="AP54" i="7"/>
  <c r="AP45" i="7"/>
  <c r="AP44" i="7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" i="3"/>
  <c r="V102" i="3" l="1"/>
  <c r="AJ102" i="3"/>
  <c r="V69" i="3"/>
  <c r="AJ69" i="3"/>
  <c r="V104" i="3"/>
  <c r="AJ104" i="3"/>
  <c r="AL80" i="3"/>
  <c r="W88" i="3"/>
  <c r="AK88" i="3"/>
  <c r="AJ107" i="3"/>
  <c r="V107" i="3"/>
  <c r="AJ105" i="3"/>
  <c r="V105" i="3"/>
  <c r="V74" i="3"/>
  <c r="AJ74" i="3"/>
  <c r="V114" i="3"/>
  <c r="AJ114" i="3"/>
  <c r="AJ77" i="3"/>
  <c r="V77" i="3"/>
  <c r="V112" i="3"/>
  <c r="AJ112" i="3"/>
  <c r="AJ94" i="3"/>
  <c r="V94" i="3"/>
  <c r="V89" i="3"/>
  <c r="AJ89" i="3"/>
  <c r="V76" i="3"/>
  <c r="AJ76" i="3"/>
  <c r="AI85" i="3"/>
  <c r="U85" i="3"/>
  <c r="V87" i="3"/>
  <c r="AJ87" i="3"/>
  <c r="AJ101" i="3"/>
  <c r="V101" i="3"/>
  <c r="AK108" i="3"/>
  <c r="W108" i="3"/>
  <c r="AJ99" i="3"/>
  <c r="V99" i="3"/>
  <c r="AJ95" i="3"/>
  <c r="V95" i="3"/>
  <c r="AJ111" i="3"/>
  <c r="V111" i="3"/>
  <c r="V97" i="3"/>
  <c r="AJ97" i="3"/>
  <c r="AJ70" i="3"/>
  <c r="V70" i="3"/>
  <c r="V93" i="3"/>
  <c r="AJ93" i="3"/>
  <c r="AJ78" i="3"/>
  <c r="V78" i="3"/>
  <c r="V96" i="3"/>
  <c r="AJ96" i="3"/>
  <c r="AJ72" i="3"/>
  <c r="V72" i="3"/>
  <c r="AK81" i="3"/>
  <c r="W81" i="3"/>
  <c r="AJ109" i="3"/>
  <c r="V109" i="3"/>
  <c r="V68" i="3"/>
  <c r="AJ68" i="3"/>
  <c r="V84" i="3"/>
  <c r="AJ84" i="3"/>
  <c r="AJ82" i="3"/>
  <c r="V82" i="3"/>
  <c r="V67" i="3"/>
  <c r="AJ67" i="3"/>
  <c r="AJ86" i="3"/>
  <c r="V86" i="3"/>
  <c r="AI91" i="3"/>
  <c r="U91" i="3"/>
  <c r="AJ71" i="3"/>
  <c r="V71" i="3"/>
  <c r="V98" i="3"/>
  <c r="AJ98" i="3"/>
  <c r="V100" i="3"/>
  <c r="AJ100" i="3"/>
  <c r="V79" i="3"/>
  <c r="AJ79" i="3"/>
  <c r="W103" i="3"/>
  <c r="AK103" i="3"/>
  <c r="AJ90" i="3"/>
  <c r="V90" i="3"/>
  <c r="V73" i="3"/>
  <c r="AJ73" i="3"/>
  <c r="V106" i="3"/>
  <c r="AJ106" i="3"/>
  <c r="AJ110" i="3"/>
  <c r="V110" i="3"/>
  <c r="V66" i="3"/>
  <c r="AJ66" i="3"/>
  <c r="V83" i="3"/>
  <c r="AJ83" i="3"/>
  <c r="V75" i="3"/>
  <c r="AJ75" i="3"/>
  <c r="V92" i="3"/>
  <c r="AJ92" i="3"/>
  <c r="AJ113" i="3"/>
  <c r="V113" i="3"/>
  <c r="AJ10" i="7"/>
  <c r="AH51" i="7"/>
  <c r="AI50" i="7"/>
  <c r="AP10" i="7"/>
  <c r="AI38" i="7"/>
  <c r="AG50" i="7"/>
  <c r="AL50" i="7" s="1"/>
  <c r="AP51" i="7"/>
  <c r="AJ50" i="7"/>
  <c r="AG38" i="7"/>
  <c r="AG51" i="7"/>
  <c r="AJ32" i="7"/>
  <c r="AJ21" i="7"/>
  <c r="AJ51" i="7"/>
  <c r="AG8" i="7"/>
  <c r="AJ54" i="7"/>
  <c r="AK18" i="7"/>
  <c r="AM18" i="7" s="1"/>
  <c r="AI51" i="7"/>
  <c r="AJ36" i="7"/>
  <c r="AJ47" i="7"/>
  <c r="AG53" i="7"/>
  <c r="AH36" i="7"/>
  <c r="AG16" i="7"/>
  <c r="AG21" i="7"/>
  <c r="AJ18" i="7"/>
  <c r="AL18" i="7" s="1"/>
  <c r="AI39" i="7"/>
  <c r="AI22" i="7"/>
  <c r="AG22" i="7"/>
  <c r="AH39" i="7"/>
  <c r="AP27" i="7"/>
  <c r="AG42" i="7"/>
  <c r="AH18" i="7"/>
  <c r="AI28" i="7"/>
  <c r="AP47" i="7"/>
  <c r="AI54" i="7"/>
  <c r="AJ39" i="7"/>
  <c r="AG39" i="7"/>
  <c r="AL39" i="7" s="1"/>
  <c r="AK21" i="7"/>
  <c r="AM21" i="7" s="1"/>
  <c r="AG54" i="7"/>
  <c r="AG18" i="7"/>
  <c r="AJ9" i="7"/>
  <c r="AK54" i="7"/>
  <c r="AM54" i="7" s="1"/>
  <c r="AP31" i="7"/>
  <c r="AH22" i="7"/>
  <c r="AI55" i="7"/>
  <c r="AG33" i="7"/>
  <c r="AP33" i="7"/>
  <c r="AK31" i="7"/>
  <c r="AM31" i="7" s="1"/>
  <c r="AJ49" i="7"/>
  <c r="AI49" i="7"/>
  <c r="AJ33" i="7"/>
  <c r="AH53" i="7"/>
  <c r="AH32" i="7"/>
  <c r="AI53" i="7"/>
  <c r="AH49" i="7"/>
  <c r="AI32" i="7"/>
  <c r="AI30" i="7"/>
  <c r="AJ53" i="7"/>
  <c r="AJ38" i="7"/>
  <c r="AI21" i="7"/>
  <c r="AG49" i="7"/>
  <c r="AG30" i="7"/>
  <c r="AK49" i="7"/>
  <c r="AM49" i="7" s="1"/>
  <c r="AH33" i="7"/>
  <c r="AK42" i="7"/>
  <c r="AM42" i="7" s="1"/>
  <c r="AK53" i="7"/>
  <c r="AM53" i="7" s="1"/>
  <c r="AH55" i="7"/>
  <c r="AG55" i="7"/>
  <c r="AG32" i="7"/>
  <c r="AL32" i="7" s="1"/>
  <c r="AI33" i="7"/>
  <c r="AP29" i="7"/>
  <c r="AP24" i="7"/>
  <c r="AG34" i="7"/>
  <c r="AH14" i="7"/>
  <c r="AJ24" i="7"/>
  <c r="AK24" i="7"/>
  <c r="AM24" i="7" s="1"/>
  <c r="AG24" i="7"/>
  <c r="AH31" i="7"/>
  <c r="AH24" i="7"/>
  <c r="AJ20" i="7"/>
  <c r="AK55" i="7"/>
  <c r="AM55" i="7" s="1"/>
  <c r="AK23" i="7"/>
  <c r="AM23" i="7" s="1"/>
  <c r="AG11" i="7"/>
  <c r="AG41" i="7"/>
  <c r="AK34" i="7"/>
  <c r="AM34" i="7" s="1"/>
  <c r="AI20" i="7"/>
  <c r="AH47" i="7"/>
  <c r="AL47" i="7" s="1"/>
  <c r="AP53" i="7"/>
  <c r="AP23" i="7"/>
  <c r="AL36" i="7"/>
  <c r="AH37" i="7"/>
  <c r="AH42" i="7"/>
  <c r="AP35" i="7"/>
  <c r="AP43" i="7"/>
  <c r="AH28" i="7"/>
  <c r="AP52" i="7"/>
  <c r="AK43" i="7"/>
  <c r="AM43" i="7" s="1"/>
  <c r="AJ34" i="7"/>
  <c r="AJ8" i="7"/>
  <c r="AJ37" i="7"/>
  <c r="AL15" i="7"/>
  <c r="AH43" i="7"/>
  <c r="AG43" i="7"/>
  <c r="AJ52" i="7"/>
  <c r="AH56" i="7"/>
  <c r="AK22" i="7"/>
  <c r="AM22" i="7" s="1"/>
  <c r="AK38" i="7"/>
  <c r="AM38" i="7" s="1"/>
  <c r="AG37" i="7"/>
  <c r="AH29" i="7"/>
  <c r="AI40" i="7"/>
  <c r="AG31" i="7"/>
  <c r="AI31" i="7"/>
  <c r="AK40" i="7"/>
  <c r="AM40" i="7" s="1"/>
  <c r="AH30" i="7"/>
  <c r="AP40" i="7"/>
  <c r="AL45" i="7"/>
  <c r="AG52" i="7"/>
  <c r="AJ30" i="7"/>
  <c r="AK9" i="7"/>
  <c r="AM9" i="7" s="1"/>
  <c r="AH20" i="7"/>
  <c r="AK20" i="7"/>
  <c r="AM20" i="7" s="1"/>
  <c r="AL17" i="7"/>
  <c r="AG29" i="7"/>
  <c r="AI43" i="7"/>
  <c r="AH52" i="7"/>
  <c r="AL51" i="7"/>
  <c r="AP13" i="7"/>
  <c r="AG13" i="7"/>
  <c r="AI35" i="7"/>
  <c r="AL46" i="7"/>
  <c r="AG14" i="7"/>
  <c r="AP8" i="7"/>
  <c r="AH48" i="7"/>
  <c r="AH8" i="7"/>
  <c r="AL44" i="7"/>
  <c r="AI56" i="7"/>
  <c r="AJ41" i="7"/>
  <c r="AH41" i="7"/>
  <c r="AK12" i="7"/>
  <c r="AJ12" i="7"/>
  <c r="AH12" i="7"/>
  <c r="AI41" i="7"/>
  <c r="AP28" i="7"/>
  <c r="AG28" i="7"/>
  <c r="AG12" i="7"/>
  <c r="AK26" i="7"/>
  <c r="AM26" i="7" s="1"/>
  <c r="AL19" i="7"/>
  <c r="AI12" i="7"/>
  <c r="AK56" i="7"/>
  <c r="AM56" i="7" s="1"/>
  <c r="AJ35" i="7"/>
  <c r="AI29" i="7"/>
  <c r="AJ28" i="7"/>
  <c r="AJ31" i="7"/>
  <c r="AJ48" i="7"/>
  <c r="AP48" i="7"/>
  <c r="AJ40" i="7"/>
  <c r="AG40" i="7"/>
  <c r="AP16" i="7"/>
  <c r="AJ16" i="7"/>
  <c r="AJ29" i="7"/>
  <c r="AK28" i="7"/>
  <c r="AK37" i="7"/>
  <c r="AM37" i="7" s="1"/>
  <c r="AI23" i="7"/>
  <c r="AK8" i="7"/>
  <c r="AM8" i="7" s="1"/>
  <c r="AI14" i="7"/>
  <c r="AH13" i="7"/>
  <c r="AK35" i="7"/>
  <c r="AK29" i="7"/>
  <c r="AJ11" i="7"/>
  <c r="AP11" i="7"/>
  <c r="AI11" i="7"/>
  <c r="AK27" i="7"/>
  <c r="AJ27" i="7"/>
  <c r="AI27" i="7"/>
  <c r="AH27" i="7"/>
  <c r="AI48" i="7"/>
  <c r="AH34" i="7"/>
  <c r="AJ14" i="7"/>
  <c r="AI13" i="7"/>
  <c r="AG35" i="7"/>
  <c r="AJ26" i="7"/>
  <c r="AI26" i="7"/>
  <c r="AL10" i="7"/>
  <c r="AG26" i="7"/>
  <c r="AI34" i="7"/>
  <c r="AK14" i="7"/>
  <c r="AM14" i="7" s="1"/>
  <c r="AJ43" i="7"/>
  <c r="AI16" i="7"/>
  <c r="AL25" i="7"/>
  <c r="AJ23" i="7"/>
  <c r="AH23" i="7"/>
  <c r="AK48" i="7"/>
  <c r="AL33" i="7"/>
  <c r="AJ13" i="7"/>
  <c r="AI37" i="7"/>
  <c r="AI8" i="7"/>
  <c r="AP25" i="7"/>
  <c r="AP39" i="7"/>
  <c r="AP22" i="7"/>
  <c r="AP50" i="7"/>
  <c r="AP32" i="7"/>
  <c r="AP41" i="7"/>
  <c r="AP42" i="7"/>
  <c r="AP20" i="7"/>
  <c r="AP14" i="7"/>
  <c r="AP38" i="7"/>
  <c r="AP30" i="7"/>
  <c r="AP9" i="7"/>
  <c r="AP56" i="7"/>
  <c r="AP37" i="7"/>
  <c r="AP26" i="7"/>
  <c r="AP21" i="7"/>
  <c r="AP15" i="7"/>
  <c r="AP55" i="7"/>
  <c r="AP34" i="7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8" i="1"/>
  <c r="D40" i="5"/>
  <c r="D41" i="5"/>
  <c r="D42" i="5"/>
  <c r="D43" i="5"/>
  <c r="D44" i="5"/>
  <c r="D45" i="5"/>
  <c r="D46" i="5"/>
  <c r="D47" i="5"/>
  <c r="D48" i="5"/>
  <c r="D49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50" i="5"/>
  <c r="D51" i="5"/>
  <c r="D52" i="5"/>
  <c r="D53" i="5"/>
  <c r="D5" i="5"/>
  <c r="AK82" i="3" l="1"/>
  <c r="W82" i="3"/>
  <c r="AK92" i="3"/>
  <c r="W92" i="3"/>
  <c r="AL103" i="3"/>
  <c r="W93" i="3"/>
  <c r="AK93" i="3"/>
  <c r="AK87" i="3"/>
  <c r="W87" i="3"/>
  <c r="AK74" i="3"/>
  <c r="W74" i="3"/>
  <c r="AK110" i="3"/>
  <c r="W110" i="3"/>
  <c r="AK71" i="3"/>
  <c r="W71" i="3"/>
  <c r="AL81" i="3"/>
  <c r="AJ91" i="3"/>
  <c r="V91" i="3"/>
  <c r="AK72" i="3"/>
  <c r="W72" i="3"/>
  <c r="W70" i="3"/>
  <c r="AK70" i="3"/>
  <c r="W99" i="3"/>
  <c r="AK99" i="3"/>
  <c r="V85" i="3"/>
  <c r="AJ85" i="3"/>
  <c r="W105" i="3"/>
  <c r="AK105" i="3"/>
  <c r="W95" i="3"/>
  <c r="AK95" i="3"/>
  <c r="AK75" i="3"/>
  <c r="W75" i="3"/>
  <c r="AK106" i="3"/>
  <c r="W106" i="3"/>
  <c r="AK79" i="3"/>
  <c r="W79" i="3"/>
  <c r="AK84" i="3"/>
  <c r="W84" i="3"/>
  <c r="AK112" i="3"/>
  <c r="W112" i="3"/>
  <c r="AK104" i="3"/>
  <c r="W104" i="3"/>
  <c r="W86" i="3"/>
  <c r="AK86" i="3"/>
  <c r="AL108" i="3"/>
  <c r="W77" i="3"/>
  <c r="AK77" i="3"/>
  <c r="W107" i="3"/>
  <c r="AK107" i="3"/>
  <c r="AK83" i="3"/>
  <c r="W83" i="3"/>
  <c r="AK73" i="3"/>
  <c r="W73" i="3"/>
  <c r="AK100" i="3"/>
  <c r="W100" i="3"/>
  <c r="W68" i="3"/>
  <c r="AK68" i="3"/>
  <c r="AK96" i="3"/>
  <c r="W96" i="3"/>
  <c r="W97" i="3"/>
  <c r="AK97" i="3"/>
  <c r="W76" i="3"/>
  <c r="AK76" i="3"/>
  <c r="W69" i="3"/>
  <c r="AK69" i="3"/>
  <c r="W113" i="3"/>
  <c r="AK113" i="3"/>
  <c r="W90" i="3"/>
  <c r="AK90" i="3"/>
  <c r="W109" i="3"/>
  <c r="AK109" i="3"/>
  <c r="AK78" i="3"/>
  <c r="W78" i="3"/>
  <c r="AK111" i="3"/>
  <c r="W111" i="3"/>
  <c r="W101" i="3"/>
  <c r="AK101" i="3"/>
  <c r="AK94" i="3"/>
  <c r="W94" i="3"/>
  <c r="W66" i="3"/>
  <c r="AK66" i="3"/>
  <c r="W98" i="3"/>
  <c r="AK98" i="3"/>
  <c r="AK67" i="3"/>
  <c r="W67" i="3"/>
  <c r="W89" i="3"/>
  <c r="AK89" i="3"/>
  <c r="AK114" i="3"/>
  <c r="W114" i="3"/>
  <c r="AL88" i="3"/>
  <c r="AK102" i="3"/>
  <c r="W102" i="3"/>
  <c r="AL21" i="7"/>
  <c r="AL49" i="7"/>
  <c r="AL42" i="7"/>
  <c r="AL55" i="7"/>
  <c r="AL53" i="7"/>
  <c r="AL54" i="7"/>
  <c r="AL24" i="7"/>
  <c r="AL31" i="7"/>
  <c r="AL30" i="7"/>
  <c r="AL20" i="7"/>
  <c r="AL38" i="7"/>
  <c r="AL52" i="7"/>
  <c r="AL22" i="7"/>
  <c r="AL34" i="7"/>
  <c r="AL37" i="7"/>
  <c r="AL43" i="7"/>
  <c r="AL9" i="7"/>
  <c r="AL23" i="7"/>
  <c r="AL41" i="7"/>
  <c r="AM48" i="7"/>
  <c r="AL35" i="7"/>
  <c r="AL13" i="7"/>
  <c r="AL11" i="7"/>
  <c r="AL56" i="7"/>
  <c r="AM27" i="7"/>
  <c r="AL40" i="7"/>
  <c r="AL8" i="7"/>
  <c r="AM28" i="7"/>
  <c r="AL12" i="7"/>
  <c r="AM12" i="7"/>
  <c r="AL26" i="7"/>
  <c r="AM29" i="7"/>
  <c r="AL28" i="7"/>
  <c r="AL14" i="7"/>
  <c r="AL27" i="7"/>
  <c r="AL16" i="7"/>
  <c r="AM35" i="7"/>
  <c r="AL48" i="7"/>
  <c r="AL29" i="7"/>
  <c r="AS8" i="7"/>
  <c r="AT8" i="7"/>
  <c r="AU8" i="7"/>
  <c r="AV8" i="7"/>
  <c r="AW8" i="7"/>
  <c r="AS11" i="7"/>
  <c r="AT11" i="7"/>
  <c r="AU11" i="7"/>
  <c r="AV11" i="7"/>
  <c r="AW11" i="7"/>
  <c r="AS10" i="7"/>
  <c r="AT10" i="7"/>
  <c r="AU10" i="7"/>
  <c r="AV10" i="7"/>
  <c r="AW10" i="7"/>
  <c r="AS12" i="7"/>
  <c r="AT12" i="7"/>
  <c r="AU12" i="7"/>
  <c r="AV12" i="7"/>
  <c r="AW12" i="7"/>
  <c r="AS13" i="7"/>
  <c r="AT13" i="7"/>
  <c r="AU13" i="7"/>
  <c r="AV13" i="7"/>
  <c r="AW13" i="7"/>
  <c r="AS14" i="7"/>
  <c r="AT14" i="7"/>
  <c r="AU14" i="7"/>
  <c r="AV14" i="7"/>
  <c r="AW14" i="7"/>
  <c r="AS15" i="7"/>
  <c r="AT15" i="7"/>
  <c r="AU15" i="7"/>
  <c r="AV15" i="7"/>
  <c r="AW15" i="7"/>
  <c r="AS16" i="7"/>
  <c r="AT16" i="7"/>
  <c r="AU16" i="7"/>
  <c r="AV16" i="7"/>
  <c r="AW16" i="7"/>
  <c r="AS17" i="7"/>
  <c r="AT17" i="7"/>
  <c r="AU17" i="7"/>
  <c r="AV17" i="7"/>
  <c r="AW17" i="7"/>
  <c r="AS18" i="7"/>
  <c r="AT18" i="7"/>
  <c r="AU18" i="7"/>
  <c r="AV18" i="7"/>
  <c r="AW18" i="7"/>
  <c r="AS22" i="7"/>
  <c r="AT22" i="7"/>
  <c r="AU22" i="7"/>
  <c r="AV22" i="7"/>
  <c r="AW22" i="7"/>
  <c r="AS19" i="7"/>
  <c r="AT19" i="7"/>
  <c r="AU19" i="7"/>
  <c r="AV19" i="7"/>
  <c r="AW19" i="7"/>
  <c r="AS20" i="7"/>
  <c r="AT20" i="7"/>
  <c r="AU20" i="7"/>
  <c r="AV20" i="7"/>
  <c r="AW20" i="7"/>
  <c r="AS21" i="7"/>
  <c r="AT21" i="7"/>
  <c r="AU21" i="7"/>
  <c r="AV21" i="7"/>
  <c r="AW21" i="7"/>
  <c r="AS23" i="7"/>
  <c r="AT23" i="7"/>
  <c r="AU23" i="7"/>
  <c r="AV23" i="7"/>
  <c r="AW23" i="7"/>
  <c r="AS24" i="7"/>
  <c r="AT24" i="7"/>
  <c r="AU24" i="7"/>
  <c r="AV24" i="7"/>
  <c r="AW24" i="7"/>
  <c r="AS25" i="7"/>
  <c r="AT25" i="7"/>
  <c r="AU25" i="7"/>
  <c r="AV25" i="7"/>
  <c r="AW25" i="7"/>
  <c r="AS28" i="7"/>
  <c r="AT28" i="7"/>
  <c r="AU28" i="7"/>
  <c r="AV28" i="7"/>
  <c r="AW28" i="7"/>
  <c r="AS27" i="7"/>
  <c r="AT27" i="7"/>
  <c r="AU27" i="7"/>
  <c r="AV27" i="7"/>
  <c r="AW27" i="7"/>
  <c r="AS26" i="7"/>
  <c r="AT26" i="7"/>
  <c r="AU26" i="7"/>
  <c r="AV26" i="7"/>
  <c r="AW26" i="7"/>
  <c r="AS29" i="7"/>
  <c r="AT29" i="7"/>
  <c r="AU29" i="7"/>
  <c r="AV29" i="7"/>
  <c r="AW29" i="7"/>
  <c r="AS30" i="7"/>
  <c r="AT30" i="7"/>
  <c r="AU30" i="7"/>
  <c r="AV30" i="7"/>
  <c r="AW30" i="7"/>
  <c r="AS32" i="7"/>
  <c r="AT32" i="7"/>
  <c r="AU32" i="7"/>
  <c r="AV32" i="7"/>
  <c r="AW32" i="7"/>
  <c r="AS31" i="7"/>
  <c r="AT31" i="7"/>
  <c r="AU31" i="7"/>
  <c r="AV31" i="7"/>
  <c r="AW31" i="7"/>
  <c r="AS33" i="7"/>
  <c r="AT33" i="7"/>
  <c r="AU33" i="7"/>
  <c r="AV33" i="7"/>
  <c r="AW33" i="7"/>
  <c r="AS40" i="7"/>
  <c r="AT40" i="7"/>
  <c r="AU40" i="7"/>
  <c r="AV40" i="7"/>
  <c r="AW40" i="7"/>
  <c r="AS41" i="7"/>
  <c r="AT41" i="7"/>
  <c r="AU41" i="7"/>
  <c r="AV41" i="7"/>
  <c r="AW41" i="7"/>
  <c r="AS34" i="7"/>
  <c r="AT34" i="7"/>
  <c r="AU34" i="7"/>
  <c r="AV34" i="7"/>
  <c r="AW34" i="7"/>
  <c r="AS36" i="7"/>
  <c r="AT36" i="7"/>
  <c r="AU36" i="7"/>
  <c r="AV36" i="7"/>
  <c r="AW36" i="7"/>
  <c r="AS37" i="7"/>
  <c r="AT37" i="7"/>
  <c r="AU37" i="7"/>
  <c r="AV37" i="7"/>
  <c r="AW37" i="7"/>
  <c r="AS38" i="7"/>
  <c r="AT38" i="7"/>
  <c r="AU38" i="7"/>
  <c r="AV38" i="7"/>
  <c r="AW38" i="7"/>
  <c r="AS35" i="7"/>
  <c r="AT35" i="7"/>
  <c r="AU35" i="7"/>
  <c r="AV35" i="7"/>
  <c r="AW35" i="7"/>
  <c r="AS39" i="7"/>
  <c r="AT39" i="7"/>
  <c r="AU39" i="7"/>
  <c r="AV39" i="7"/>
  <c r="AW39" i="7"/>
  <c r="AS42" i="7"/>
  <c r="AT42" i="7"/>
  <c r="AU42" i="7"/>
  <c r="AV42" i="7"/>
  <c r="AW42" i="7"/>
  <c r="AS43" i="7"/>
  <c r="AT43" i="7"/>
  <c r="AU43" i="7"/>
  <c r="AV43" i="7"/>
  <c r="AW43" i="7"/>
  <c r="AS44" i="7"/>
  <c r="AT44" i="7"/>
  <c r="AU44" i="7"/>
  <c r="AV44" i="7"/>
  <c r="AW44" i="7"/>
  <c r="AS45" i="7"/>
  <c r="AT45" i="7"/>
  <c r="AU45" i="7"/>
  <c r="AV45" i="7"/>
  <c r="AW45" i="7"/>
  <c r="AS46" i="7"/>
  <c r="AT46" i="7"/>
  <c r="AU46" i="7"/>
  <c r="AV46" i="7"/>
  <c r="AW46" i="7"/>
  <c r="AS47" i="7"/>
  <c r="AT47" i="7"/>
  <c r="AU47" i="7"/>
  <c r="AV47" i="7"/>
  <c r="AW47" i="7"/>
  <c r="AS48" i="7"/>
  <c r="AT48" i="7"/>
  <c r="AU48" i="7"/>
  <c r="AV48" i="7"/>
  <c r="AW48" i="7"/>
  <c r="AS49" i="7"/>
  <c r="AT49" i="7"/>
  <c r="AU49" i="7"/>
  <c r="AV49" i="7"/>
  <c r="AW49" i="7"/>
  <c r="AS50" i="7"/>
  <c r="AT50" i="7"/>
  <c r="AU50" i="7"/>
  <c r="AV50" i="7"/>
  <c r="AW50" i="7"/>
  <c r="AS51" i="7"/>
  <c r="AT51" i="7"/>
  <c r="AU51" i="7"/>
  <c r="AV51" i="7"/>
  <c r="AW51" i="7"/>
  <c r="AS52" i="7"/>
  <c r="AT52" i="7"/>
  <c r="AU52" i="7"/>
  <c r="AV52" i="7"/>
  <c r="AW52" i="7"/>
  <c r="AS53" i="7"/>
  <c r="AT53" i="7"/>
  <c r="AU53" i="7"/>
  <c r="AV53" i="7"/>
  <c r="AW53" i="7"/>
  <c r="AS55" i="7"/>
  <c r="AT55" i="7"/>
  <c r="AU55" i="7"/>
  <c r="AV55" i="7"/>
  <c r="AW55" i="7"/>
  <c r="AS54" i="7"/>
  <c r="AT54" i="7"/>
  <c r="AU54" i="7"/>
  <c r="AV54" i="7"/>
  <c r="AW54" i="7"/>
  <c r="AS56" i="7"/>
  <c r="AT56" i="7"/>
  <c r="AU56" i="7"/>
  <c r="AV56" i="7"/>
  <c r="AW56" i="7"/>
  <c r="AT9" i="7"/>
  <c r="AU9" i="7"/>
  <c r="AV9" i="7"/>
  <c r="AW9" i="7"/>
  <c r="AS9" i="7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D6" i="3"/>
  <c r="AE6" i="3" s="1"/>
  <c r="AD7" i="3"/>
  <c r="AE7" i="3" s="1"/>
  <c r="AD8" i="3"/>
  <c r="AE8" i="3" s="1"/>
  <c r="AD9" i="3"/>
  <c r="AE9" i="3" s="1"/>
  <c r="AD10" i="3"/>
  <c r="AE10" i="3" s="1"/>
  <c r="AD11" i="3"/>
  <c r="AE11" i="3" s="1"/>
  <c r="AD12" i="3"/>
  <c r="AE12" i="3" s="1"/>
  <c r="AD13" i="3"/>
  <c r="AE13" i="3" s="1"/>
  <c r="AD14" i="3"/>
  <c r="AE14" i="3" s="1"/>
  <c r="AD15" i="3"/>
  <c r="AE15" i="3" s="1"/>
  <c r="AD16" i="3"/>
  <c r="AE16" i="3" s="1"/>
  <c r="AD17" i="3"/>
  <c r="AE17" i="3" s="1"/>
  <c r="AD18" i="3"/>
  <c r="AE18" i="3" s="1"/>
  <c r="AD19" i="3"/>
  <c r="AE19" i="3" s="1"/>
  <c r="AD20" i="3"/>
  <c r="AE20" i="3" s="1"/>
  <c r="AD21" i="3"/>
  <c r="AE21" i="3" s="1"/>
  <c r="AD22" i="3"/>
  <c r="AE22" i="3" s="1"/>
  <c r="AD23" i="3"/>
  <c r="AE23" i="3" s="1"/>
  <c r="AD24" i="3"/>
  <c r="AE24" i="3" s="1"/>
  <c r="AD25" i="3"/>
  <c r="AE25" i="3" s="1"/>
  <c r="AD26" i="3"/>
  <c r="AE26" i="3" s="1"/>
  <c r="AD27" i="3"/>
  <c r="AE27" i="3" s="1"/>
  <c r="AD28" i="3"/>
  <c r="AE28" i="3" s="1"/>
  <c r="AD29" i="3"/>
  <c r="AE29" i="3" s="1"/>
  <c r="AD30" i="3"/>
  <c r="AE30" i="3" s="1"/>
  <c r="AD31" i="3"/>
  <c r="AE31" i="3" s="1"/>
  <c r="AD32" i="3"/>
  <c r="AE32" i="3" s="1"/>
  <c r="AD33" i="3"/>
  <c r="AE33" i="3" s="1"/>
  <c r="AD34" i="3"/>
  <c r="AE34" i="3" s="1"/>
  <c r="AD35" i="3"/>
  <c r="AE35" i="3" s="1"/>
  <c r="AD36" i="3"/>
  <c r="AE36" i="3" s="1"/>
  <c r="AD37" i="3"/>
  <c r="AE37" i="3" s="1"/>
  <c r="AD38" i="3"/>
  <c r="AE38" i="3" s="1"/>
  <c r="AD39" i="3"/>
  <c r="AE39" i="3" s="1"/>
  <c r="AD40" i="3"/>
  <c r="AE40" i="3" s="1"/>
  <c r="AD41" i="3"/>
  <c r="AE41" i="3" s="1"/>
  <c r="AD42" i="3"/>
  <c r="AE42" i="3" s="1"/>
  <c r="AD43" i="3"/>
  <c r="AE43" i="3" s="1"/>
  <c r="AD44" i="3"/>
  <c r="AE44" i="3" s="1"/>
  <c r="AD45" i="3"/>
  <c r="AE45" i="3" s="1"/>
  <c r="AD46" i="3"/>
  <c r="AE46" i="3" s="1"/>
  <c r="AD47" i="3"/>
  <c r="AE47" i="3" s="1"/>
  <c r="AD48" i="3"/>
  <c r="AE48" i="3" s="1"/>
  <c r="AD49" i="3"/>
  <c r="AE49" i="3" s="1"/>
  <c r="AD50" i="3"/>
  <c r="AE50" i="3" s="1"/>
  <c r="AD51" i="3"/>
  <c r="AE51" i="3" s="1"/>
  <c r="AD52" i="3"/>
  <c r="AE52" i="3" s="1"/>
  <c r="AD53" i="3"/>
  <c r="AE53" i="3" s="1"/>
  <c r="AD5" i="3"/>
  <c r="AE5" i="3" s="1"/>
  <c r="L23" i="3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L40" i="3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BA50" i="7" l="1"/>
  <c r="BJ50" i="7"/>
  <c r="BA42" i="7"/>
  <c r="BJ42" i="7"/>
  <c r="BC33" i="7"/>
  <c r="BE33" i="7" s="1"/>
  <c r="AY27" i="7"/>
  <c r="BH27" i="7"/>
  <c r="AY23" i="7"/>
  <c r="BH23" i="7"/>
  <c r="BA21" i="7"/>
  <c r="BJ21" i="7"/>
  <c r="BC20" i="7"/>
  <c r="BL20" i="7"/>
  <c r="AY22" i="7"/>
  <c r="BH22" i="7"/>
  <c r="BA18" i="7"/>
  <c r="BJ18" i="7"/>
  <c r="BC17" i="7"/>
  <c r="BL17" i="7"/>
  <c r="AY15" i="7"/>
  <c r="BH15" i="7"/>
  <c r="BA14" i="7"/>
  <c r="BJ14" i="7"/>
  <c r="BC13" i="7"/>
  <c r="BE13" i="7" s="1"/>
  <c r="AY10" i="7"/>
  <c r="BH10" i="7"/>
  <c r="BA11" i="7"/>
  <c r="BJ11" i="7"/>
  <c r="BC8" i="7"/>
  <c r="BE8" i="7" s="1"/>
  <c r="BL8" i="7"/>
  <c r="BC9" i="7"/>
  <c r="BE9" i="7" s="1"/>
  <c r="AZ55" i="7"/>
  <c r="BI55" i="7"/>
  <c r="BB53" i="7"/>
  <c r="BK53" i="7"/>
  <c r="AZ50" i="7"/>
  <c r="BI50" i="7"/>
  <c r="BB49" i="7"/>
  <c r="BK49" i="7"/>
  <c r="AZ46" i="7"/>
  <c r="BI46" i="7"/>
  <c r="BB45" i="7"/>
  <c r="BK45" i="7"/>
  <c r="AZ42" i="7"/>
  <c r="BI42" i="7"/>
  <c r="BB39" i="7"/>
  <c r="BK39" i="7"/>
  <c r="AZ37" i="7"/>
  <c r="BI37" i="7"/>
  <c r="BB36" i="7"/>
  <c r="BK36" i="7"/>
  <c r="AZ40" i="7"/>
  <c r="BI40" i="7"/>
  <c r="BB33" i="7"/>
  <c r="AZ30" i="7"/>
  <c r="BI30" i="7"/>
  <c r="BB29" i="7"/>
  <c r="BK29" i="7"/>
  <c r="AZ28" i="7"/>
  <c r="BI28" i="7"/>
  <c r="BB25" i="7"/>
  <c r="BK25" i="7"/>
  <c r="AZ21" i="7"/>
  <c r="BI21" i="7"/>
  <c r="BB20" i="7"/>
  <c r="BK20" i="7"/>
  <c r="AZ18" i="7"/>
  <c r="BI18" i="7"/>
  <c r="BB17" i="7"/>
  <c r="BK17" i="7"/>
  <c r="AZ14" i="7"/>
  <c r="BI14" i="7"/>
  <c r="BB13" i="7"/>
  <c r="BK13" i="7"/>
  <c r="AZ11" i="7"/>
  <c r="BI11" i="7"/>
  <c r="BB8" i="7"/>
  <c r="BK8" i="7"/>
  <c r="BA55" i="7"/>
  <c r="BJ55" i="7"/>
  <c r="BA46" i="7"/>
  <c r="BJ46" i="7"/>
  <c r="AY41" i="7"/>
  <c r="BH41" i="7"/>
  <c r="BC29" i="7"/>
  <c r="BC25" i="7"/>
  <c r="BB9" i="7"/>
  <c r="BK9" i="7"/>
  <c r="AY55" i="7"/>
  <c r="BH55" i="7"/>
  <c r="BA53" i="7"/>
  <c r="BJ53" i="7"/>
  <c r="BC52" i="7"/>
  <c r="BE52" i="7" s="1"/>
  <c r="BL52" i="7"/>
  <c r="AY50" i="7"/>
  <c r="BH50" i="7"/>
  <c r="BA49" i="7"/>
  <c r="BJ49" i="7"/>
  <c r="BC48" i="7"/>
  <c r="BL48" i="7"/>
  <c r="AY46" i="7"/>
  <c r="BH46" i="7"/>
  <c r="BA45" i="7"/>
  <c r="BJ45" i="7"/>
  <c r="BC44" i="7"/>
  <c r="BE44" i="7" s="1"/>
  <c r="AY42" i="7"/>
  <c r="BH42" i="7"/>
  <c r="BA39" i="7"/>
  <c r="BJ39" i="7"/>
  <c r="BC35" i="7"/>
  <c r="BE35" i="7" s="1"/>
  <c r="AY37" i="7"/>
  <c r="BH37" i="7"/>
  <c r="BA36" i="7"/>
  <c r="BJ36" i="7"/>
  <c r="BC34" i="7"/>
  <c r="BL34" i="7"/>
  <c r="AY40" i="7"/>
  <c r="BH40" i="7"/>
  <c r="BA33" i="7"/>
  <c r="BJ33" i="7"/>
  <c r="BC31" i="7"/>
  <c r="AY30" i="7"/>
  <c r="BH30" i="7"/>
  <c r="BA29" i="7"/>
  <c r="BJ29" i="7"/>
  <c r="BC26" i="7"/>
  <c r="BE26" i="7" s="1"/>
  <c r="BL26" i="7"/>
  <c r="AY28" i="7"/>
  <c r="BH28" i="7"/>
  <c r="BA25" i="7"/>
  <c r="BJ25" i="7"/>
  <c r="BC24" i="7"/>
  <c r="BL24" i="7"/>
  <c r="AY21" i="7"/>
  <c r="BH21" i="7"/>
  <c r="BA20" i="7"/>
  <c r="BJ20" i="7"/>
  <c r="BC19" i="7"/>
  <c r="BL19" i="7"/>
  <c r="AY18" i="7"/>
  <c r="BH18" i="7"/>
  <c r="BA17" i="7"/>
  <c r="BJ17" i="7"/>
  <c r="BC16" i="7"/>
  <c r="BE16" i="7" s="1"/>
  <c r="AY14" i="7"/>
  <c r="BH14" i="7"/>
  <c r="BA13" i="7"/>
  <c r="BJ13" i="7"/>
  <c r="BC12" i="7"/>
  <c r="BE12" i="7" s="1"/>
  <c r="BL12" i="7"/>
  <c r="AY11" i="7"/>
  <c r="BH11" i="7"/>
  <c r="BA8" i="7"/>
  <c r="BJ8" i="7"/>
  <c r="AY51" i="7"/>
  <c r="BH51" i="7"/>
  <c r="BC45" i="7"/>
  <c r="BE45" i="7" s="1"/>
  <c r="BL45" i="7"/>
  <c r="BC36" i="7"/>
  <c r="BE36" i="7" s="1"/>
  <c r="BA30" i="7"/>
  <c r="BJ30" i="7"/>
  <c r="BA28" i="7"/>
  <c r="BJ28" i="7"/>
  <c r="BC56" i="7"/>
  <c r="AY9" i="7"/>
  <c r="BH9" i="7"/>
  <c r="BA9" i="7"/>
  <c r="BJ9" i="7"/>
  <c r="BB56" i="7"/>
  <c r="BK56" i="7"/>
  <c r="AZ53" i="7"/>
  <c r="BI53" i="7"/>
  <c r="BB52" i="7"/>
  <c r="BK52" i="7"/>
  <c r="AZ49" i="7"/>
  <c r="BI49" i="7"/>
  <c r="BB48" i="7"/>
  <c r="BK48" i="7"/>
  <c r="AZ45" i="7"/>
  <c r="BI45" i="7"/>
  <c r="BB44" i="7"/>
  <c r="BK44" i="7"/>
  <c r="AZ39" i="7"/>
  <c r="BI39" i="7"/>
  <c r="BB35" i="7"/>
  <c r="BK35" i="7"/>
  <c r="AZ36" i="7"/>
  <c r="BI36" i="7"/>
  <c r="BB34" i="7"/>
  <c r="BK34" i="7"/>
  <c r="AZ33" i="7"/>
  <c r="BI33" i="7"/>
  <c r="BB31" i="7"/>
  <c r="BK31" i="7"/>
  <c r="AZ29" i="7"/>
  <c r="BI29" i="7"/>
  <c r="BB26" i="7"/>
  <c r="BK26" i="7"/>
  <c r="AZ25" i="7"/>
  <c r="BI25" i="7"/>
  <c r="BB24" i="7"/>
  <c r="BK24" i="7"/>
  <c r="AZ20" i="7"/>
  <c r="BI20" i="7"/>
  <c r="BB19" i="7"/>
  <c r="BK19" i="7"/>
  <c r="AZ17" i="7"/>
  <c r="BI17" i="7"/>
  <c r="BB16" i="7"/>
  <c r="BK16" i="7"/>
  <c r="AZ13" i="7"/>
  <c r="BI13" i="7"/>
  <c r="BB12" i="7"/>
  <c r="BK12" i="7"/>
  <c r="AZ8" i="7"/>
  <c r="BI8" i="7"/>
  <c r="BC53" i="7"/>
  <c r="BL53" i="7"/>
  <c r="BC39" i="7"/>
  <c r="BE39" i="7" s="1"/>
  <c r="BL39" i="7"/>
  <c r="AY53" i="7"/>
  <c r="BH53" i="7"/>
  <c r="BC51" i="7"/>
  <c r="BE51" i="7" s="1"/>
  <c r="BL51" i="7"/>
  <c r="AY49" i="7"/>
  <c r="BH49" i="7"/>
  <c r="BA48" i="7"/>
  <c r="BJ48" i="7"/>
  <c r="BC47" i="7"/>
  <c r="BL47" i="7"/>
  <c r="AY45" i="7"/>
  <c r="BD45" i="7" s="1"/>
  <c r="BH45" i="7"/>
  <c r="BA44" i="7"/>
  <c r="BJ44" i="7"/>
  <c r="BC43" i="7"/>
  <c r="BE43" i="7" s="1"/>
  <c r="BL43" i="7"/>
  <c r="AY39" i="7"/>
  <c r="BH39" i="7"/>
  <c r="BA35" i="7"/>
  <c r="BJ35" i="7"/>
  <c r="BC38" i="7"/>
  <c r="AY36" i="7"/>
  <c r="BH36" i="7"/>
  <c r="BA34" i="7"/>
  <c r="BJ34" i="7"/>
  <c r="BC41" i="7"/>
  <c r="BE41" i="7" s="1"/>
  <c r="AY33" i="7"/>
  <c r="BH33" i="7"/>
  <c r="BA31" i="7"/>
  <c r="BJ31" i="7"/>
  <c r="BC32" i="7"/>
  <c r="AY29" i="7"/>
  <c r="BH29" i="7"/>
  <c r="BA26" i="7"/>
  <c r="BJ26" i="7"/>
  <c r="BC27" i="7"/>
  <c r="BE27" i="7" s="1"/>
  <c r="AY25" i="7"/>
  <c r="BH25" i="7"/>
  <c r="BA24" i="7"/>
  <c r="BJ24" i="7"/>
  <c r="BC23" i="7"/>
  <c r="BE23" i="7" s="1"/>
  <c r="BL23" i="7"/>
  <c r="AY20" i="7"/>
  <c r="BH20" i="7"/>
  <c r="BA19" i="7"/>
  <c r="BJ19" i="7"/>
  <c r="BC22" i="7"/>
  <c r="BL22" i="7"/>
  <c r="AY17" i="7"/>
  <c r="BH17" i="7"/>
  <c r="BA16" i="7"/>
  <c r="BJ16" i="7"/>
  <c r="BC15" i="7"/>
  <c r="AY13" i="7"/>
  <c r="BH13" i="7"/>
  <c r="BA12" i="7"/>
  <c r="BJ12" i="7"/>
  <c r="BC10" i="7"/>
  <c r="BE10" i="7" s="1"/>
  <c r="BL10" i="7"/>
  <c r="AY8" i="7"/>
  <c r="BH8" i="7"/>
  <c r="AY54" i="7"/>
  <c r="BH54" i="7"/>
  <c r="AY43" i="7"/>
  <c r="BH43" i="7"/>
  <c r="BA40" i="7"/>
  <c r="BJ40" i="7"/>
  <c r="AZ9" i="7"/>
  <c r="BI9" i="7"/>
  <c r="BC54" i="7"/>
  <c r="BE54" i="7" s="1"/>
  <c r="BA52" i="7"/>
  <c r="BJ52" i="7"/>
  <c r="AZ56" i="7"/>
  <c r="BI56" i="7"/>
  <c r="BB54" i="7"/>
  <c r="BK54" i="7"/>
  <c r="AZ52" i="7"/>
  <c r="BI52" i="7"/>
  <c r="BB51" i="7"/>
  <c r="BK51" i="7"/>
  <c r="AZ48" i="7"/>
  <c r="BI48" i="7"/>
  <c r="BB47" i="7"/>
  <c r="BK47" i="7"/>
  <c r="AZ44" i="7"/>
  <c r="BI44" i="7"/>
  <c r="BB43" i="7"/>
  <c r="BK43" i="7"/>
  <c r="AZ35" i="7"/>
  <c r="BI35" i="7"/>
  <c r="BB38" i="7"/>
  <c r="BK38" i="7"/>
  <c r="AZ34" i="7"/>
  <c r="BI34" i="7"/>
  <c r="BB41" i="7"/>
  <c r="BK41" i="7"/>
  <c r="AZ31" i="7"/>
  <c r="BI31" i="7"/>
  <c r="BB32" i="7"/>
  <c r="BK32" i="7"/>
  <c r="AZ26" i="7"/>
  <c r="BI26" i="7"/>
  <c r="BB27" i="7"/>
  <c r="BK27" i="7"/>
  <c r="AZ24" i="7"/>
  <c r="BI24" i="7"/>
  <c r="BB23" i="7"/>
  <c r="BK23" i="7"/>
  <c r="AZ19" i="7"/>
  <c r="BI19" i="7"/>
  <c r="BB22" i="7"/>
  <c r="BK22" i="7"/>
  <c r="AZ16" i="7"/>
  <c r="BI16" i="7"/>
  <c r="BB15" i="7"/>
  <c r="BK15" i="7"/>
  <c r="AZ12" i="7"/>
  <c r="BI12" i="7"/>
  <c r="BB10" i="7"/>
  <c r="BK10" i="7"/>
  <c r="BC49" i="7"/>
  <c r="BE49" i="7" s="1"/>
  <c r="BA37" i="7"/>
  <c r="BJ37" i="7"/>
  <c r="BA56" i="7"/>
  <c r="BJ56" i="7"/>
  <c r="BA54" i="7"/>
  <c r="BJ54" i="7"/>
  <c r="AY52" i="7"/>
  <c r="BD52" i="7" s="1"/>
  <c r="BH52" i="7"/>
  <c r="BC50" i="7"/>
  <c r="BE50" i="7" s="1"/>
  <c r="BL50" i="7"/>
  <c r="AY48" i="7"/>
  <c r="BH48" i="7"/>
  <c r="BA47" i="7"/>
  <c r="BJ47" i="7"/>
  <c r="BC46" i="7"/>
  <c r="BE46" i="7" s="1"/>
  <c r="BL46" i="7"/>
  <c r="AY44" i="7"/>
  <c r="BH44" i="7"/>
  <c r="BA43" i="7"/>
  <c r="BJ43" i="7"/>
  <c r="BC42" i="7"/>
  <c r="BE42" i="7" s="1"/>
  <c r="BL42" i="7"/>
  <c r="AY35" i="7"/>
  <c r="BH35" i="7"/>
  <c r="BA38" i="7"/>
  <c r="BJ38" i="7"/>
  <c r="BC37" i="7"/>
  <c r="BE37" i="7" s="1"/>
  <c r="AY34" i="7"/>
  <c r="BH34" i="7"/>
  <c r="BA41" i="7"/>
  <c r="BJ41" i="7"/>
  <c r="BC40" i="7"/>
  <c r="AY31" i="7"/>
  <c r="BH31" i="7"/>
  <c r="BA32" i="7"/>
  <c r="BJ32" i="7"/>
  <c r="BC30" i="7"/>
  <c r="BE30" i="7" s="1"/>
  <c r="BL30" i="7"/>
  <c r="AY26" i="7"/>
  <c r="BH26" i="7"/>
  <c r="BA27" i="7"/>
  <c r="BJ27" i="7"/>
  <c r="BC28" i="7"/>
  <c r="BE28" i="7" s="1"/>
  <c r="AY24" i="7"/>
  <c r="BH24" i="7"/>
  <c r="BA23" i="7"/>
  <c r="BJ23" i="7"/>
  <c r="BC21" i="7"/>
  <c r="BE21" i="7" s="1"/>
  <c r="BL21" i="7"/>
  <c r="AY19" i="7"/>
  <c r="BD19" i="7" s="1"/>
  <c r="BH19" i="7"/>
  <c r="BA22" i="7"/>
  <c r="BJ22" i="7"/>
  <c r="BC18" i="7"/>
  <c r="AY16" i="7"/>
  <c r="BH16" i="7"/>
  <c r="BA15" i="7"/>
  <c r="BJ15" i="7"/>
  <c r="BC14" i="7"/>
  <c r="BE14" i="7" s="1"/>
  <c r="BL14" i="7"/>
  <c r="AY12" i="7"/>
  <c r="BH12" i="7"/>
  <c r="BA10" i="7"/>
  <c r="BJ10" i="7"/>
  <c r="BC11" i="7"/>
  <c r="BE11" i="7" s="1"/>
  <c r="BL11" i="7"/>
  <c r="AY47" i="7"/>
  <c r="BH47" i="7"/>
  <c r="AY38" i="7"/>
  <c r="BH38" i="7"/>
  <c r="AY32" i="7"/>
  <c r="BH32" i="7"/>
  <c r="AY56" i="7"/>
  <c r="BH56" i="7"/>
  <c r="BC55" i="7"/>
  <c r="BE55" i="7" s="1"/>
  <c r="BL55" i="7"/>
  <c r="BA51" i="7"/>
  <c r="BJ51" i="7"/>
  <c r="AZ54" i="7"/>
  <c r="BI54" i="7"/>
  <c r="BB55" i="7"/>
  <c r="BK55" i="7"/>
  <c r="AZ51" i="7"/>
  <c r="BI51" i="7"/>
  <c r="BB50" i="7"/>
  <c r="BK50" i="7"/>
  <c r="AZ47" i="7"/>
  <c r="BI47" i="7"/>
  <c r="BB46" i="7"/>
  <c r="BK46" i="7"/>
  <c r="AZ43" i="7"/>
  <c r="BD43" i="7" s="1"/>
  <c r="BI43" i="7"/>
  <c r="BB42" i="7"/>
  <c r="BK42" i="7"/>
  <c r="AZ38" i="7"/>
  <c r="BI38" i="7"/>
  <c r="BB37" i="7"/>
  <c r="BK37" i="7"/>
  <c r="AZ41" i="7"/>
  <c r="BI41" i="7"/>
  <c r="BB40" i="7"/>
  <c r="BK40" i="7"/>
  <c r="AZ32" i="7"/>
  <c r="BI32" i="7"/>
  <c r="BB30" i="7"/>
  <c r="BK30" i="7"/>
  <c r="AZ27" i="7"/>
  <c r="BI27" i="7"/>
  <c r="BB28" i="7"/>
  <c r="BK28" i="7"/>
  <c r="AZ23" i="7"/>
  <c r="BI23" i="7"/>
  <c r="BB21" i="7"/>
  <c r="BK21" i="7"/>
  <c r="AZ22" i="7"/>
  <c r="BI22" i="7"/>
  <c r="BB18" i="7"/>
  <c r="BK18" i="7"/>
  <c r="AZ15" i="7"/>
  <c r="BI15" i="7"/>
  <c r="BB14" i="7"/>
  <c r="BK14" i="7"/>
  <c r="AZ10" i="7"/>
  <c r="BI10" i="7"/>
  <c r="BB11" i="7"/>
  <c r="BK11" i="7"/>
  <c r="AL110" i="3"/>
  <c r="AL98" i="3"/>
  <c r="BL40" i="7" s="1"/>
  <c r="AL113" i="3"/>
  <c r="AL86" i="3"/>
  <c r="BL28" i="7" s="1"/>
  <c r="AL105" i="3"/>
  <c r="AL114" i="3"/>
  <c r="BL56" i="7" s="1"/>
  <c r="AL78" i="3"/>
  <c r="AL104" i="3"/>
  <c r="AL106" i="3"/>
  <c r="AK91" i="3"/>
  <c r="BK33" i="7" s="1"/>
  <c r="W91" i="3"/>
  <c r="AL74" i="3"/>
  <c r="BL16" i="7" s="1"/>
  <c r="AL92" i="3"/>
  <c r="AL96" i="3"/>
  <c r="BL38" i="7" s="1"/>
  <c r="AL66" i="3"/>
  <c r="AL69" i="3"/>
  <c r="AL68" i="3"/>
  <c r="AL107" i="3"/>
  <c r="BL49" i="7" s="1"/>
  <c r="AK85" i="3"/>
  <c r="W85" i="3"/>
  <c r="AL83" i="3"/>
  <c r="BL25" i="7" s="1"/>
  <c r="AL94" i="3"/>
  <c r="BL36" i="7" s="1"/>
  <c r="AL100" i="3"/>
  <c r="AL112" i="3"/>
  <c r="BL54" i="7" s="1"/>
  <c r="AL75" i="3"/>
  <c r="AL87" i="3"/>
  <c r="BL29" i="7" s="1"/>
  <c r="AL111" i="3"/>
  <c r="AL89" i="3"/>
  <c r="BL31" i="7" s="1"/>
  <c r="AL109" i="3"/>
  <c r="AL76" i="3"/>
  <c r="BL18" i="7" s="1"/>
  <c r="AL77" i="3"/>
  <c r="AL99" i="3"/>
  <c r="BL41" i="7" s="1"/>
  <c r="AL79" i="3"/>
  <c r="AL102" i="3"/>
  <c r="BL44" i="7" s="1"/>
  <c r="AL67" i="3"/>
  <c r="BL9" i="7" s="1"/>
  <c r="AL73" i="3"/>
  <c r="BL15" i="7" s="1"/>
  <c r="AL84" i="3"/>
  <c r="AL71" i="3"/>
  <c r="BL13" i="7" s="1"/>
  <c r="AL82" i="3"/>
  <c r="AL72" i="3"/>
  <c r="AL101" i="3"/>
  <c r="AL90" i="3"/>
  <c r="BL32" i="7" s="1"/>
  <c r="AL97" i="3"/>
  <c r="AL95" i="3"/>
  <c r="BL37" i="7" s="1"/>
  <c r="AL70" i="3"/>
  <c r="AL93" i="3"/>
  <c r="BL35" i="7" s="1"/>
  <c r="BE29" i="7"/>
  <c r="BE40" i="7"/>
  <c r="BE19" i="7"/>
  <c r="BE31" i="7"/>
  <c r="BE24" i="7"/>
  <c r="BE18" i="7"/>
  <c r="BE17" i="7"/>
  <c r="BE47" i="7"/>
  <c r="BE53" i="7"/>
  <c r="BE48" i="7"/>
  <c r="BE25" i="7"/>
  <c r="BE32" i="7"/>
  <c r="BE56" i="7"/>
  <c r="BE15" i="7"/>
  <c r="BE22" i="7"/>
  <c r="BE34" i="7"/>
  <c r="BE20" i="7"/>
  <c r="BE38" i="7"/>
  <c r="L50" i="3"/>
  <c r="M50" i="3" s="1"/>
  <c r="N50" i="3" s="1"/>
  <c r="O50" i="3" s="1"/>
  <c r="P50" i="3" s="1"/>
  <c r="Q50" i="3" s="1"/>
  <c r="R50" i="3" s="1"/>
  <c r="S50" i="3" s="1"/>
  <c r="T50" i="3" s="1"/>
  <c r="U50" i="3" s="1"/>
  <c r="V50" i="3" s="1"/>
  <c r="W50" i="3" s="1"/>
  <c r="X50" i="3" s="1"/>
  <c r="Y50" i="3" s="1"/>
  <c r="Z50" i="3" s="1"/>
  <c r="AA50" i="3" s="1"/>
  <c r="AB50" i="3" s="1"/>
  <c r="L42" i="3"/>
  <c r="M42" i="3" s="1"/>
  <c r="N42" i="3" s="1"/>
  <c r="O42" i="3" s="1"/>
  <c r="P42" i="3" s="1"/>
  <c r="Q42" i="3" s="1"/>
  <c r="R42" i="3" s="1"/>
  <c r="S42" i="3" s="1"/>
  <c r="T42" i="3" s="1"/>
  <c r="U42" i="3" s="1"/>
  <c r="V42" i="3" s="1"/>
  <c r="W42" i="3" s="1"/>
  <c r="X42" i="3" s="1"/>
  <c r="Y42" i="3" s="1"/>
  <c r="Z42" i="3" s="1"/>
  <c r="AA42" i="3" s="1"/>
  <c r="AB42" i="3" s="1"/>
  <c r="L18" i="3"/>
  <c r="M18" i="3" s="1"/>
  <c r="N18" i="3" s="1"/>
  <c r="O18" i="3" s="1"/>
  <c r="P18" i="3" s="1"/>
  <c r="Q18" i="3" s="1"/>
  <c r="R18" i="3" s="1"/>
  <c r="S18" i="3" s="1"/>
  <c r="T18" i="3" s="1"/>
  <c r="U18" i="3" s="1"/>
  <c r="V18" i="3" s="1"/>
  <c r="W18" i="3" s="1"/>
  <c r="X18" i="3" s="1"/>
  <c r="Y18" i="3" s="1"/>
  <c r="Z18" i="3" s="1"/>
  <c r="AA18" i="3" s="1"/>
  <c r="AB18" i="3" s="1"/>
  <c r="L5" i="3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L46" i="3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L6" i="3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L36" i="3"/>
  <c r="M36" i="3" s="1"/>
  <c r="N36" i="3" s="1"/>
  <c r="O36" i="3" s="1"/>
  <c r="P36" i="3" s="1"/>
  <c r="Q36" i="3" s="1"/>
  <c r="R36" i="3" s="1"/>
  <c r="S36" i="3" s="1"/>
  <c r="T36" i="3" s="1"/>
  <c r="U36" i="3" s="1"/>
  <c r="V36" i="3" s="1"/>
  <c r="W36" i="3" s="1"/>
  <c r="X36" i="3" s="1"/>
  <c r="Y36" i="3" s="1"/>
  <c r="Z36" i="3" s="1"/>
  <c r="AA36" i="3" s="1"/>
  <c r="AB36" i="3" s="1"/>
  <c r="L28" i="3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L12" i="3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L51" i="3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AA51" i="3" s="1"/>
  <c r="AB51" i="3" s="1"/>
  <c r="L43" i="3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L35" i="3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L27" i="3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L19" i="3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L11" i="3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L38" i="3"/>
  <c r="M38" i="3" s="1"/>
  <c r="N38" i="3" s="1"/>
  <c r="O38" i="3" s="1"/>
  <c r="P38" i="3" s="1"/>
  <c r="Q38" i="3" s="1"/>
  <c r="R38" i="3" s="1"/>
  <c r="S38" i="3" s="1"/>
  <c r="T38" i="3" s="1"/>
  <c r="U38" i="3" s="1"/>
  <c r="V38" i="3" s="1"/>
  <c r="W38" i="3" s="1"/>
  <c r="X38" i="3" s="1"/>
  <c r="Y38" i="3" s="1"/>
  <c r="Z38" i="3" s="1"/>
  <c r="AA38" i="3" s="1"/>
  <c r="AB38" i="3" s="1"/>
  <c r="L30" i="3"/>
  <c r="M30" i="3" s="1"/>
  <c r="N30" i="3" s="1"/>
  <c r="O30" i="3" s="1"/>
  <c r="P30" i="3" s="1"/>
  <c r="Q30" i="3" s="1"/>
  <c r="R30" i="3" s="1"/>
  <c r="S30" i="3" s="1"/>
  <c r="T30" i="3" s="1"/>
  <c r="U30" i="3" s="1"/>
  <c r="V30" i="3" s="1"/>
  <c r="W30" i="3" s="1"/>
  <c r="X30" i="3" s="1"/>
  <c r="Y30" i="3" s="1"/>
  <c r="Z30" i="3" s="1"/>
  <c r="AA30" i="3" s="1"/>
  <c r="AB30" i="3" s="1"/>
  <c r="L22" i="3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L14" i="3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L53" i="3"/>
  <c r="M53" i="3" s="1"/>
  <c r="N53" i="3" s="1"/>
  <c r="O53" i="3" s="1"/>
  <c r="P53" i="3" s="1"/>
  <c r="Q53" i="3" s="1"/>
  <c r="R53" i="3" s="1"/>
  <c r="S53" i="3" s="1"/>
  <c r="T53" i="3" s="1"/>
  <c r="U53" i="3" s="1"/>
  <c r="V53" i="3" s="1"/>
  <c r="W53" i="3" s="1"/>
  <c r="X53" i="3" s="1"/>
  <c r="Y53" i="3" s="1"/>
  <c r="Z53" i="3" s="1"/>
  <c r="AA53" i="3" s="1"/>
  <c r="AB53" i="3" s="1"/>
  <c r="L45" i="3"/>
  <c r="M45" i="3" s="1"/>
  <c r="N45" i="3" s="1"/>
  <c r="O45" i="3" s="1"/>
  <c r="P45" i="3" s="1"/>
  <c r="Q45" i="3" s="1"/>
  <c r="R45" i="3" s="1"/>
  <c r="S45" i="3" s="1"/>
  <c r="T45" i="3" s="1"/>
  <c r="U45" i="3" s="1"/>
  <c r="V45" i="3" s="1"/>
  <c r="W45" i="3" s="1"/>
  <c r="X45" i="3" s="1"/>
  <c r="Y45" i="3" s="1"/>
  <c r="Z45" i="3" s="1"/>
  <c r="AA45" i="3" s="1"/>
  <c r="AB45" i="3" s="1"/>
  <c r="L37" i="3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L29" i="3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L21" i="3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L13" i="3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L34" i="3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L26" i="3"/>
  <c r="M26" i="3" s="1"/>
  <c r="N26" i="3" s="1"/>
  <c r="O26" i="3" s="1"/>
  <c r="P26" i="3" s="1"/>
  <c r="Q26" i="3" s="1"/>
  <c r="R26" i="3" s="1"/>
  <c r="S26" i="3" s="1"/>
  <c r="T26" i="3" s="1"/>
  <c r="U26" i="3" s="1"/>
  <c r="V26" i="3" s="1"/>
  <c r="W26" i="3" s="1"/>
  <c r="X26" i="3" s="1"/>
  <c r="Y26" i="3" s="1"/>
  <c r="Z26" i="3" s="1"/>
  <c r="AA26" i="3" s="1"/>
  <c r="AB26" i="3" s="1"/>
  <c r="L10" i="3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L41" i="3"/>
  <c r="M41" i="3" s="1"/>
  <c r="N41" i="3" s="1"/>
  <c r="O41" i="3" s="1"/>
  <c r="P41" i="3" s="1"/>
  <c r="Q41" i="3" s="1"/>
  <c r="R41" i="3" s="1"/>
  <c r="S41" i="3" s="1"/>
  <c r="T41" i="3" s="1"/>
  <c r="U41" i="3" s="1"/>
  <c r="V41" i="3" s="1"/>
  <c r="W41" i="3" s="1"/>
  <c r="X41" i="3" s="1"/>
  <c r="Y41" i="3" s="1"/>
  <c r="Z41" i="3" s="1"/>
  <c r="AA41" i="3" s="1"/>
  <c r="AB41" i="3" s="1"/>
  <c r="L25" i="3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L17" i="3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L9" i="3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L49" i="3"/>
  <c r="M49" i="3" s="1"/>
  <c r="N49" i="3" s="1"/>
  <c r="O49" i="3" s="1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49" i="3" s="1"/>
  <c r="AB49" i="3" s="1"/>
  <c r="L33" i="3"/>
  <c r="M33" i="3" s="1"/>
  <c r="N33" i="3" s="1"/>
  <c r="O33" i="3" s="1"/>
  <c r="P33" i="3" s="1"/>
  <c r="Q33" i="3" s="1"/>
  <c r="R33" i="3" s="1"/>
  <c r="S33" i="3" s="1"/>
  <c r="T33" i="3" s="1"/>
  <c r="U33" i="3" s="1"/>
  <c r="V33" i="3" s="1"/>
  <c r="W33" i="3" s="1"/>
  <c r="X33" i="3" s="1"/>
  <c r="Y33" i="3" s="1"/>
  <c r="Z33" i="3" s="1"/>
  <c r="AA33" i="3" s="1"/>
  <c r="AB33" i="3" s="1"/>
  <c r="L48" i="3"/>
  <c r="M48" i="3" s="1"/>
  <c r="N48" i="3" s="1"/>
  <c r="O48" i="3" s="1"/>
  <c r="P48" i="3" s="1"/>
  <c r="Q48" i="3" s="1"/>
  <c r="R48" i="3" s="1"/>
  <c r="S48" i="3" s="1"/>
  <c r="T48" i="3" s="1"/>
  <c r="U48" i="3" s="1"/>
  <c r="V48" i="3" s="1"/>
  <c r="W48" i="3" s="1"/>
  <c r="X48" i="3" s="1"/>
  <c r="Y48" i="3" s="1"/>
  <c r="Z48" i="3" s="1"/>
  <c r="AA48" i="3" s="1"/>
  <c r="AB48" i="3" s="1"/>
  <c r="L32" i="3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Y32" i="3" s="1"/>
  <c r="Z32" i="3" s="1"/>
  <c r="AA32" i="3" s="1"/>
  <c r="AB32" i="3" s="1"/>
  <c r="L24" i="3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L16" i="3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L8" i="3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L47" i="3"/>
  <c r="M47" i="3" s="1"/>
  <c r="N47" i="3" s="1"/>
  <c r="O47" i="3" s="1"/>
  <c r="P47" i="3" s="1"/>
  <c r="Q47" i="3" s="1"/>
  <c r="R47" i="3" s="1"/>
  <c r="S47" i="3" s="1"/>
  <c r="T47" i="3" s="1"/>
  <c r="U47" i="3" s="1"/>
  <c r="V47" i="3" s="1"/>
  <c r="W47" i="3" s="1"/>
  <c r="X47" i="3" s="1"/>
  <c r="Y47" i="3" s="1"/>
  <c r="Z47" i="3" s="1"/>
  <c r="AA47" i="3" s="1"/>
  <c r="AB47" i="3" s="1"/>
  <c r="L39" i="3"/>
  <c r="M39" i="3" s="1"/>
  <c r="N39" i="3" s="1"/>
  <c r="O39" i="3" s="1"/>
  <c r="P39" i="3" s="1"/>
  <c r="Q39" i="3" s="1"/>
  <c r="R39" i="3" s="1"/>
  <c r="S39" i="3" s="1"/>
  <c r="T39" i="3" s="1"/>
  <c r="U39" i="3" s="1"/>
  <c r="V39" i="3" s="1"/>
  <c r="W39" i="3" s="1"/>
  <c r="X39" i="3" s="1"/>
  <c r="Y39" i="3" s="1"/>
  <c r="Z39" i="3" s="1"/>
  <c r="AA39" i="3" s="1"/>
  <c r="AB39" i="3" s="1"/>
  <c r="AQ39" i="3" s="1"/>
  <c r="L31" i="3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L15" i="3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L7" i="3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L52" i="3"/>
  <c r="M52" i="3" s="1"/>
  <c r="N52" i="3" s="1"/>
  <c r="O52" i="3" s="1"/>
  <c r="P52" i="3" s="1"/>
  <c r="Q52" i="3" s="1"/>
  <c r="R52" i="3" s="1"/>
  <c r="S52" i="3" s="1"/>
  <c r="T52" i="3" s="1"/>
  <c r="U52" i="3" s="1"/>
  <c r="V52" i="3" s="1"/>
  <c r="W52" i="3" s="1"/>
  <c r="X52" i="3" s="1"/>
  <c r="Y52" i="3" s="1"/>
  <c r="Z52" i="3" s="1"/>
  <c r="AA52" i="3" s="1"/>
  <c r="AB52" i="3" s="1"/>
  <c r="L44" i="3"/>
  <c r="M44" i="3" s="1"/>
  <c r="N44" i="3" s="1"/>
  <c r="O44" i="3" s="1"/>
  <c r="P44" i="3" s="1"/>
  <c r="Q44" i="3" s="1"/>
  <c r="R44" i="3" s="1"/>
  <c r="S44" i="3" s="1"/>
  <c r="T44" i="3" s="1"/>
  <c r="U44" i="3" s="1"/>
  <c r="V44" i="3" s="1"/>
  <c r="W44" i="3" s="1"/>
  <c r="X44" i="3" s="1"/>
  <c r="Y44" i="3" s="1"/>
  <c r="Z44" i="3" s="1"/>
  <c r="AA44" i="3" s="1"/>
  <c r="AB44" i="3" s="1"/>
  <c r="L20" i="3"/>
  <c r="M20" i="3" s="1"/>
  <c r="N20" i="3" s="1"/>
  <c r="O20" i="3" s="1"/>
  <c r="P20" i="3" s="1"/>
  <c r="Q20" i="3" s="1"/>
  <c r="R20" i="3" s="1"/>
  <c r="S20" i="3" s="1"/>
  <c r="T20" i="3" s="1"/>
  <c r="U20" i="3" s="1"/>
  <c r="V20" i="3" s="1"/>
  <c r="W20" i="3" s="1"/>
  <c r="X20" i="3" s="1"/>
  <c r="Y20" i="3" s="1"/>
  <c r="Z20" i="3" s="1"/>
  <c r="AA20" i="3" s="1"/>
  <c r="AB20" i="3" s="1"/>
  <c r="AH40" i="3"/>
  <c r="AH50" i="3"/>
  <c r="AH42" i="3"/>
  <c r="AI40" i="3"/>
  <c r="BD18" i="7" l="1"/>
  <c r="BD8" i="7"/>
  <c r="BD23" i="7"/>
  <c r="BD10" i="7"/>
  <c r="BD27" i="7"/>
  <c r="BD51" i="7"/>
  <c r="BD17" i="7"/>
  <c r="BD35" i="7"/>
  <c r="BD36" i="7"/>
  <c r="BD24" i="7"/>
  <c r="BD31" i="7"/>
  <c r="BD29" i="7"/>
  <c r="BD54" i="7"/>
  <c r="BD44" i="7"/>
  <c r="BD40" i="7"/>
  <c r="BD12" i="7"/>
  <c r="BN53" i="7"/>
  <c r="BD46" i="7"/>
  <c r="BD49" i="7"/>
  <c r="BO43" i="7"/>
  <c r="AL85" i="3"/>
  <c r="BL27" i="7" s="1"/>
  <c r="AL91" i="3"/>
  <c r="BL33" i="7" s="1"/>
  <c r="BN45" i="7"/>
  <c r="BN43" i="7"/>
  <c r="BD47" i="7"/>
  <c r="BD33" i="7"/>
  <c r="BD53" i="7"/>
  <c r="BD16" i="7"/>
  <c r="BD11" i="7"/>
  <c r="BD28" i="7"/>
  <c r="BD13" i="7"/>
  <c r="BD48" i="7"/>
  <c r="BD15" i="7"/>
  <c r="BD39" i="7"/>
  <c r="BD41" i="7"/>
  <c r="BD25" i="7"/>
  <c r="BD30" i="7"/>
  <c r="BD42" i="7"/>
  <c r="BD21" i="7"/>
  <c r="BD34" i="7"/>
  <c r="BD20" i="7"/>
  <c r="BD26" i="7"/>
  <c r="BD55" i="7"/>
  <c r="BD14" i="7"/>
  <c r="BD56" i="7"/>
  <c r="BD37" i="7"/>
  <c r="BD38" i="7"/>
  <c r="BD9" i="7"/>
  <c r="BD22" i="7"/>
  <c r="BD32" i="7"/>
  <c r="BD50" i="7"/>
  <c r="AH32" i="3"/>
  <c r="AM39" i="3"/>
  <c r="AK39" i="3"/>
  <c r="BQ42" i="7" s="1"/>
  <c r="AH18" i="3"/>
  <c r="AH10" i="3"/>
  <c r="AH41" i="3"/>
  <c r="AP39" i="3"/>
  <c r="AI32" i="3"/>
  <c r="BO35" i="7" s="1"/>
  <c r="AO39" i="3"/>
  <c r="AH26" i="3"/>
  <c r="AI41" i="3"/>
  <c r="BO44" i="7" s="1"/>
  <c r="AH24" i="3"/>
  <c r="AH48" i="3"/>
  <c r="AI48" i="3"/>
  <c r="BO51" i="7" s="1"/>
  <c r="AI39" i="3"/>
  <c r="BO42" i="7" s="1"/>
  <c r="AI49" i="3"/>
  <c r="BO52" i="7" s="1"/>
  <c r="AI8" i="3"/>
  <c r="BO11" i="7" s="1"/>
  <c r="AH17" i="3"/>
  <c r="AI9" i="3"/>
  <c r="BO12" i="7" s="1"/>
  <c r="AH9" i="3"/>
  <c r="AI24" i="3"/>
  <c r="BO27" i="7" s="1"/>
  <c r="AN39" i="3"/>
  <c r="AH49" i="3"/>
  <c r="AL39" i="3"/>
  <c r="AH34" i="3"/>
  <c r="AI33" i="3"/>
  <c r="BO36" i="7" s="1"/>
  <c r="AH33" i="3"/>
  <c r="AI17" i="3"/>
  <c r="BO20" i="7" s="1"/>
  <c r="AH39" i="3"/>
  <c r="AH8" i="3"/>
  <c r="AJ39" i="3"/>
  <c r="BP42" i="7" s="1"/>
  <c r="AI25" i="3"/>
  <c r="BO28" i="7" s="1"/>
  <c r="AH16" i="3"/>
  <c r="AI16" i="3"/>
  <c r="BO19" i="7" s="1"/>
  <c r="AH25" i="3"/>
  <c r="AI50" i="3"/>
  <c r="BO53" i="7" s="1"/>
  <c r="AH47" i="3"/>
  <c r="AH23" i="3"/>
  <c r="AH44" i="3"/>
  <c r="AH6" i="3"/>
  <c r="AJ48" i="3"/>
  <c r="BP51" i="7" s="1"/>
  <c r="AJ8" i="3"/>
  <c r="BP11" i="7" s="1"/>
  <c r="AH43" i="3"/>
  <c r="AH31" i="3"/>
  <c r="AH13" i="3"/>
  <c r="AH21" i="3"/>
  <c r="AH30" i="3"/>
  <c r="AJ41" i="3"/>
  <c r="BP44" i="7" s="1"/>
  <c r="AI42" i="3"/>
  <c r="BO45" i="7" s="1"/>
  <c r="AI10" i="3"/>
  <c r="BO13" i="7" s="1"/>
  <c r="AJ33" i="3"/>
  <c r="BP36" i="7" s="1"/>
  <c r="AH14" i="3"/>
  <c r="AJ9" i="3"/>
  <c r="BP12" i="7" s="1"/>
  <c r="AH22" i="3"/>
  <c r="AH12" i="3"/>
  <c r="AH29" i="3"/>
  <c r="AH38" i="3"/>
  <c r="AJ17" i="3"/>
  <c r="BP20" i="7" s="1"/>
  <c r="AH11" i="3"/>
  <c r="AH20" i="3"/>
  <c r="AH37" i="3"/>
  <c r="AH46" i="3"/>
  <c r="AI34" i="3"/>
  <c r="BO37" i="7" s="1"/>
  <c r="AH19" i="3"/>
  <c r="AJ49" i="3"/>
  <c r="BP52" i="7" s="1"/>
  <c r="AH51" i="3"/>
  <c r="AJ40" i="3"/>
  <c r="BP43" i="7" s="1"/>
  <c r="AH7" i="3"/>
  <c r="AH28" i="3"/>
  <c r="AH45" i="3"/>
  <c r="AJ24" i="3"/>
  <c r="BP27" i="7" s="1"/>
  <c r="AI18" i="3"/>
  <c r="BO21" i="7" s="1"/>
  <c r="AH27" i="3"/>
  <c r="AH52" i="3"/>
  <c r="AJ32" i="3"/>
  <c r="BP35" i="7" s="1"/>
  <c r="AH15" i="3"/>
  <c r="AH36" i="3"/>
  <c r="AH53" i="3"/>
  <c r="AJ16" i="3"/>
  <c r="BP19" i="7" s="1"/>
  <c r="AJ25" i="3"/>
  <c r="BP28" i="7" s="1"/>
  <c r="AH35" i="3"/>
  <c r="AI26" i="3"/>
  <c r="BO29" i="7" s="1"/>
  <c r="AH5" i="3"/>
  <c r="BN48" i="7" l="1"/>
  <c r="BN39" i="7"/>
  <c r="BN31" i="7"/>
  <c r="BN40" i="7"/>
  <c r="BN16" i="7"/>
  <c r="BN50" i="7"/>
  <c r="BN42" i="7"/>
  <c r="BN51" i="7"/>
  <c r="BN13" i="7"/>
  <c r="BN24" i="7"/>
  <c r="BN18" i="7"/>
  <c r="BN10" i="7"/>
  <c r="BN23" i="7"/>
  <c r="BN17" i="7"/>
  <c r="BN34" i="7"/>
  <c r="BN12" i="7"/>
  <c r="BN27" i="7"/>
  <c r="BN21" i="7"/>
  <c r="BN49" i="7"/>
  <c r="BN14" i="7"/>
  <c r="BN46" i="7"/>
  <c r="BN28" i="7"/>
  <c r="BN36" i="7"/>
  <c r="BN26" i="7"/>
  <c r="BN20" i="7"/>
  <c r="BN29" i="7"/>
  <c r="BN25" i="7"/>
  <c r="BN8" i="7"/>
  <c r="BN19" i="7"/>
  <c r="BN37" i="7"/>
  <c r="BN35" i="7"/>
  <c r="BN56" i="7"/>
  <c r="BN11" i="7"/>
  <c r="BN54" i="7"/>
  <c r="BN30" i="7"/>
  <c r="BN22" i="7"/>
  <c r="BN32" i="7"/>
  <c r="BN9" i="7"/>
  <c r="BR42" i="7"/>
  <c r="BT42" i="7" s="1"/>
  <c r="BN44" i="7"/>
  <c r="BN55" i="7"/>
  <c r="BN38" i="7"/>
  <c r="BN41" i="7"/>
  <c r="BN15" i="7"/>
  <c r="BN33" i="7"/>
  <c r="BN47" i="7"/>
  <c r="BN52" i="7"/>
  <c r="AK33" i="3"/>
  <c r="BQ36" i="7" s="1"/>
  <c r="AI43" i="3"/>
  <c r="BO46" i="7" s="1"/>
  <c r="AI53" i="3"/>
  <c r="BO56" i="7" s="1"/>
  <c r="AI52" i="3"/>
  <c r="BO55" i="7" s="1"/>
  <c r="AI45" i="3"/>
  <c r="BO48" i="7" s="1"/>
  <c r="AI51" i="3"/>
  <c r="BO54" i="7" s="1"/>
  <c r="AI46" i="3"/>
  <c r="BO49" i="7" s="1"/>
  <c r="AK17" i="3"/>
  <c r="BQ20" i="7" s="1"/>
  <c r="AI22" i="3"/>
  <c r="BO25" i="7" s="1"/>
  <c r="AJ10" i="3"/>
  <c r="BP13" i="7" s="1"/>
  <c r="AI21" i="3"/>
  <c r="BO24" i="7" s="1"/>
  <c r="AK8" i="3"/>
  <c r="BQ11" i="7" s="1"/>
  <c r="AI23" i="3"/>
  <c r="BO26" i="7" s="1"/>
  <c r="AK24" i="3"/>
  <c r="BQ27" i="7" s="1"/>
  <c r="AI44" i="3"/>
  <c r="BO47" i="7" s="1"/>
  <c r="AK32" i="3"/>
  <c r="BQ35" i="7" s="1"/>
  <c r="AK40" i="3"/>
  <c r="BQ43" i="7" s="1"/>
  <c r="AI11" i="3"/>
  <c r="BO14" i="7" s="1"/>
  <c r="AI30" i="3"/>
  <c r="BO33" i="7" s="1"/>
  <c r="AJ26" i="3"/>
  <c r="BP29" i="7" s="1"/>
  <c r="AI35" i="3"/>
  <c r="BO38" i="7" s="1"/>
  <c r="AI36" i="3"/>
  <c r="BO39" i="7" s="1"/>
  <c r="AI27" i="3"/>
  <c r="BO30" i="7" s="1"/>
  <c r="AI28" i="3"/>
  <c r="BO31" i="7" s="1"/>
  <c r="AK49" i="3"/>
  <c r="BQ52" i="7" s="1"/>
  <c r="AI37" i="3"/>
  <c r="BO40" i="7" s="1"/>
  <c r="AI38" i="3"/>
  <c r="BO41" i="7" s="1"/>
  <c r="AK9" i="3"/>
  <c r="BQ12" i="7" s="1"/>
  <c r="AJ42" i="3"/>
  <c r="BP45" i="7" s="1"/>
  <c r="AI13" i="3"/>
  <c r="BO16" i="7" s="1"/>
  <c r="AK48" i="3"/>
  <c r="BQ51" i="7" s="1"/>
  <c r="AI47" i="3"/>
  <c r="BO50" i="7" s="1"/>
  <c r="AK16" i="3"/>
  <c r="BQ19" i="7" s="1"/>
  <c r="AJ34" i="3"/>
  <c r="BP37" i="7" s="1"/>
  <c r="AI12" i="3"/>
  <c r="BO15" i="7" s="1"/>
  <c r="AK25" i="3"/>
  <c r="BQ28" i="7" s="1"/>
  <c r="AI15" i="3"/>
  <c r="BO18" i="7" s="1"/>
  <c r="AJ18" i="3"/>
  <c r="BP21" i="7" s="1"/>
  <c r="AI7" i="3"/>
  <c r="BO10" i="7" s="1"/>
  <c r="AI19" i="3"/>
  <c r="BO22" i="7" s="1"/>
  <c r="AI20" i="3"/>
  <c r="BO23" i="7" s="1"/>
  <c r="AI29" i="3"/>
  <c r="BO32" i="7" s="1"/>
  <c r="AI14" i="3"/>
  <c r="BO17" i="7" s="1"/>
  <c r="AK41" i="3"/>
  <c r="BQ44" i="7" s="1"/>
  <c r="AI31" i="3"/>
  <c r="BO34" i="7" s="1"/>
  <c r="AI6" i="3"/>
  <c r="BO9" i="7" s="1"/>
  <c r="AJ50" i="3"/>
  <c r="BP53" i="7" s="1"/>
  <c r="AI5" i="3"/>
  <c r="BO8" i="7" s="1"/>
  <c r="BS42" i="7" l="1"/>
  <c r="AJ28" i="3"/>
  <c r="BP31" i="7" s="1"/>
  <c r="AL25" i="3"/>
  <c r="AK26" i="3"/>
  <c r="BQ29" i="7" s="1"/>
  <c r="AL8" i="3"/>
  <c r="AJ21" i="3"/>
  <c r="BP24" i="7" s="1"/>
  <c r="AL41" i="3"/>
  <c r="AJ52" i="3"/>
  <c r="BP55" i="7" s="1"/>
  <c r="AK50" i="3"/>
  <c r="BQ53" i="7" s="1"/>
  <c r="AJ44" i="3"/>
  <c r="BP47" i="7" s="1"/>
  <c r="AJ6" i="3"/>
  <c r="BP9" i="7" s="1"/>
  <c r="AJ29" i="3"/>
  <c r="BP32" i="7" s="1"/>
  <c r="AK18" i="3"/>
  <c r="BQ21" i="7" s="1"/>
  <c r="AK34" i="3"/>
  <c r="BQ37" i="7" s="1"/>
  <c r="AJ13" i="3"/>
  <c r="BP16" i="7" s="1"/>
  <c r="AJ37" i="3"/>
  <c r="BP40" i="7" s="1"/>
  <c r="AJ36" i="3"/>
  <c r="BP39" i="7" s="1"/>
  <c r="AJ11" i="3"/>
  <c r="BP14" i="7" s="1"/>
  <c r="AL24" i="3"/>
  <c r="AK10" i="3"/>
  <c r="BQ13" i="7" s="1"/>
  <c r="AJ51" i="3"/>
  <c r="BP54" i="7" s="1"/>
  <c r="AJ43" i="3"/>
  <c r="BP46" i="7" s="1"/>
  <c r="AJ19" i="3"/>
  <c r="BP22" i="7" s="1"/>
  <c r="AL9" i="3"/>
  <c r="AL32" i="3"/>
  <c r="AJ14" i="3"/>
  <c r="BP17" i="7" s="1"/>
  <c r="AJ12" i="3"/>
  <c r="BP15" i="7" s="1"/>
  <c r="AJ38" i="3"/>
  <c r="BP41" i="7" s="1"/>
  <c r="AJ30" i="3"/>
  <c r="BP33" i="7" s="1"/>
  <c r="AJ46" i="3"/>
  <c r="BP49" i="7" s="1"/>
  <c r="AJ47" i="3"/>
  <c r="BP50" i="7" s="1"/>
  <c r="AL17" i="3"/>
  <c r="AJ7" i="3"/>
  <c r="BP10" i="7" s="1"/>
  <c r="AL48" i="3"/>
  <c r="AJ27" i="3"/>
  <c r="BP30" i="7" s="1"/>
  <c r="AJ53" i="3"/>
  <c r="BP56" i="7" s="1"/>
  <c r="AJ31" i="3"/>
  <c r="BP34" i="7" s="1"/>
  <c r="AJ20" i="3"/>
  <c r="BP23" i="7" s="1"/>
  <c r="AJ15" i="3"/>
  <c r="BP18" i="7" s="1"/>
  <c r="AL16" i="3"/>
  <c r="AK42" i="3"/>
  <c r="BQ45" i="7" s="1"/>
  <c r="AL49" i="3"/>
  <c r="AJ35" i="3"/>
  <c r="BP38" i="7" s="1"/>
  <c r="AL40" i="3"/>
  <c r="AJ23" i="3"/>
  <c r="BP26" i="7" s="1"/>
  <c r="AJ22" i="3"/>
  <c r="BP25" i="7" s="1"/>
  <c r="AJ45" i="3"/>
  <c r="BP48" i="7" s="1"/>
  <c r="AL33" i="3"/>
  <c r="AJ5" i="3"/>
  <c r="BP8" i="7" s="1"/>
  <c r="BR36" i="7" l="1"/>
  <c r="BS36" i="7" s="1"/>
  <c r="BR19" i="7"/>
  <c r="BS19" i="7" s="1"/>
  <c r="BR20" i="7"/>
  <c r="BS20" i="7" s="1"/>
  <c r="BR12" i="7"/>
  <c r="BS12" i="7" s="1"/>
  <c r="BR44" i="7"/>
  <c r="BS44" i="7" s="1"/>
  <c r="BR35" i="7"/>
  <c r="BS35" i="7" s="1"/>
  <c r="BR11" i="7"/>
  <c r="BS11" i="7" s="1"/>
  <c r="BR27" i="7"/>
  <c r="BS27" i="7" s="1"/>
  <c r="BR28" i="7"/>
  <c r="BS28" i="7" s="1"/>
  <c r="BR43" i="7"/>
  <c r="BS43" i="7" s="1"/>
  <c r="BR52" i="7"/>
  <c r="BS52" i="7" s="1"/>
  <c r="BR51" i="7"/>
  <c r="BS51" i="7" s="1"/>
  <c r="AK23" i="3"/>
  <c r="BQ26" i="7" s="1"/>
  <c r="AK31" i="3"/>
  <c r="BQ34" i="7" s="1"/>
  <c r="AK30" i="3"/>
  <c r="BQ33" i="7" s="1"/>
  <c r="AL18" i="3"/>
  <c r="AK53" i="3"/>
  <c r="BQ56" i="7" s="1"/>
  <c r="AK52" i="3"/>
  <c r="BQ55" i="7" s="1"/>
  <c r="AL42" i="3"/>
  <c r="AK51" i="3"/>
  <c r="BQ54" i="7" s="1"/>
  <c r="AM8" i="3"/>
  <c r="AM40" i="3"/>
  <c r="AK38" i="3"/>
  <c r="BQ41" i="7" s="1"/>
  <c r="AK29" i="3"/>
  <c r="BQ32" i="7" s="1"/>
  <c r="AK15" i="3"/>
  <c r="BQ18" i="7" s="1"/>
  <c r="AK27" i="3"/>
  <c r="BQ30" i="7" s="1"/>
  <c r="AK47" i="3"/>
  <c r="BQ50" i="7" s="1"/>
  <c r="AK12" i="3"/>
  <c r="BQ15" i="7" s="1"/>
  <c r="AK19" i="3"/>
  <c r="BQ22" i="7" s="1"/>
  <c r="AM24" i="3"/>
  <c r="AK13" i="3"/>
  <c r="BQ16" i="7" s="1"/>
  <c r="AK6" i="3"/>
  <c r="BQ9" i="7" s="1"/>
  <c r="AM41" i="3"/>
  <c r="AM25" i="3"/>
  <c r="AK36" i="3"/>
  <c r="BQ39" i="7" s="1"/>
  <c r="AK7" i="3"/>
  <c r="BQ10" i="7" s="1"/>
  <c r="AM32" i="3"/>
  <c r="AL50" i="3"/>
  <c r="AM33" i="3"/>
  <c r="AM16" i="3"/>
  <c r="AM17" i="3"/>
  <c r="AM9" i="3"/>
  <c r="AL10" i="3"/>
  <c r="AK37" i="3"/>
  <c r="BQ40" i="7" s="1"/>
  <c r="AL26" i="3"/>
  <c r="AK45" i="3"/>
  <c r="BQ48" i="7" s="1"/>
  <c r="AK35" i="3"/>
  <c r="BQ38" i="7" s="1"/>
  <c r="AK22" i="3"/>
  <c r="BQ25" i="7" s="1"/>
  <c r="AM49" i="3"/>
  <c r="AK20" i="3"/>
  <c r="BQ23" i="7" s="1"/>
  <c r="AM48" i="3"/>
  <c r="AK46" i="3"/>
  <c r="BQ49" i="7" s="1"/>
  <c r="AK14" i="3"/>
  <c r="BQ17" i="7" s="1"/>
  <c r="AK43" i="3"/>
  <c r="BQ46" i="7" s="1"/>
  <c r="AK11" i="3"/>
  <c r="BQ14" i="7" s="1"/>
  <c r="AL34" i="3"/>
  <c r="AK44" i="3"/>
  <c r="BQ47" i="7" s="1"/>
  <c r="AK21" i="3"/>
  <c r="BQ24" i="7" s="1"/>
  <c r="AK28" i="3"/>
  <c r="BQ31" i="7" s="1"/>
  <c r="AK5" i="3"/>
  <c r="BQ8" i="7" s="1"/>
  <c r="BT52" i="7" l="1"/>
  <c r="BT27" i="7"/>
  <c r="BT12" i="7"/>
  <c r="BT11" i="7"/>
  <c r="BT20" i="7"/>
  <c r="BT35" i="7"/>
  <c r="BT19" i="7"/>
  <c r="BT43" i="7"/>
  <c r="BT44" i="7"/>
  <c r="BT36" i="7"/>
  <c r="BR13" i="7"/>
  <c r="BS13" i="7" s="1"/>
  <c r="BR45" i="7"/>
  <c r="BS45" i="7" s="1"/>
  <c r="BR37" i="7"/>
  <c r="BS37" i="7" s="1"/>
  <c r="BR21" i="7"/>
  <c r="BS21" i="7" s="1"/>
  <c r="BR53" i="7"/>
  <c r="BS53" i="7" s="1"/>
  <c r="BT51" i="7"/>
  <c r="BT28" i="7"/>
  <c r="BR29" i="7"/>
  <c r="BS29" i="7" s="1"/>
  <c r="AM34" i="3"/>
  <c r="AL37" i="3"/>
  <c r="AL12" i="3"/>
  <c r="AL28" i="3"/>
  <c r="AL11" i="3"/>
  <c r="AN48" i="3"/>
  <c r="AL35" i="3"/>
  <c r="AM10" i="3"/>
  <c r="AN33" i="3"/>
  <c r="AL36" i="3"/>
  <c r="AL13" i="3"/>
  <c r="AL47" i="3"/>
  <c r="AL38" i="3"/>
  <c r="AM42" i="3"/>
  <c r="AL30" i="3"/>
  <c r="AM18" i="3"/>
  <c r="AL22" i="3"/>
  <c r="AL6" i="3"/>
  <c r="AL51" i="3"/>
  <c r="AL21" i="3"/>
  <c r="AL43" i="3"/>
  <c r="AL20" i="3"/>
  <c r="AL45" i="3"/>
  <c r="AN9" i="3"/>
  <c r="AM50" i="3"/>
  <c r="AN25" i="3"/>
  <c r="AN24" i="3"/>
  <c r="AL27" i="3"/>
  <c r="AN40" i="3"/>
  <c r="AL52" i="3"/>
  <c r="AL31" i="3"/>
  <c r="AN16" i="3"/>
  <c r="AL46" i="3"/>
  <c r="AL7" i="3"/>
  <c r="AL29" i="3"/>
  <c r="AL44" i="3"/>
  <c r="AL14" i="3"/>
  <c r="AN49" i="3"/>
  <c r="AM26" i="3"/>
  <c r="AN17" i="3"/>
  <c r="AN32" i="3"/>
  <c r="AN41" i="3"/>
  <c r="AL19" i="3"/>
  <c r="AL15" i="3"/>
  <c r="AN8" i="3"/>
  <c r="AL53" i="3"/>
  <c r="AL23" i="3"/>
  <c r="AL5" i="3"/>
  <c r="BR49" i="7" l="1"/>
  <c r="BS49" i="7" s="1"/>
  <c r="BR25" i="7"/>
  <c r="BS25" i="7" s="1"/>
  <c r="BR8" i="7"/>
  <c r="BS8" i="7" s="1"/>
  <c r="BR34" i="7"/>
  <c r="BS34" i="7" s="1"/>
  <c r="BR33" i="7"/>
  <c r="BS33" i="7" s="1"/>
  <c r="BR38" i="7"/>
  <c r="BS38" i="7" s="1"/>
  <c r="BR48" i="7"/>
  <c r="BS48" i="7" s="1"/>
  <c r="BR56" i="7"/>
  <c r="BS56" i="7" s="1"/>
  <c r="BR55" i="7"/>
  <c r="BS55" i="7" s="1"/>
  <c r="BR23" i="7"/>
  <c r="BS23" i="7" s="1"/>
  <c r="BT53" i="7"/>
  <c r="BT45" i="7"/>
  <c r="BR46" i="7"/>
  <c r="BS46" i="7" s="1"/>
  <c r="BR41" i="7"/>
  <c r="BS41" i="7" s="1"/>
  <c r="BR14" i="7"/>
  <c r="BS14" i="7" s="1"/>
  <c r="BR30" i="7"/>
  <c r="BS30" i="7" s="1"/>
  <c r="BR24" i="7"/>
  <c r="BS24" i="7" s="1"/>
  <c r="BR50" i="7"/>
  <c r="BS50" i="7" s="1"/>
  <c r="BR31" i="7"/>
  <c r="BS31" i="7" s="1"/>
  <c r="BT29" i="7"/>
  <c r="BT21" i="7"/>
  <c r="BT13" i="7"/>
  <c r="BR26" i="7"/>
  <c r="BS26" i="7" s="1"/>
  <c r="BR18" i="7"/>
  <c r="BS18" i="7" s="1"/>
  <c r="BR32" i="7"/>
  <c r="BS32" i="7" s="1"/>
  <c r="BR15" i="7"/>
  <c r="BS15" i="7" s="1"/>
  <c r="BR17" i="7"/>
  <c r="BS17" i="7" s="1"/>
  <c r="BR47" i="7"/>
  <c r="BS47" i="7" s="1"/>
  <c r="BR22" i="7"/>
  <c r="BS22" i="7" s="1"/>
  <c r="BR54" i="7"/>
  <c r="BS54" i="7" s="1"/>
  <c r="BR16" i="7"/>
  <c r="BS16" i="7" s="1"/>
  <c r="BR10" i="7"/>
  <c r="BS10" i="7" s="1"/>
  <c r="BR9" i="7"/>
  <c r="BS9" i="7" s="1"/>
  <c r="BR39" i="7"/>
  <c r="BS39" i="7" s="1"/>
  <c r="BR40" i="7"/>
  <c r="BS40" i="7" s="1"/>
  <c r="BT37" i="7"/>
  <c r="AM28" i="3"/>
  <c r="AO17" i="3"/>
  <c r="AM21" i="3"/>
  <c r="AM23" i="3"/>
  <c r="AM19" i="3"/>
  <c r="AN26" i="3"/>
  <c r="AM29" i="3"/>
  <c r="AM31" i="3"/>
  <c r="AO24" i="3"/>
  <c r="AM45" i="3"/>
  <c r="AM51" i="3"/>
  <c r="AM30" i="3"/>
  <c r="AM13" i="3"/>
  <c r="AM35" i="3"/>
  <c r="AM12" i="3"/>
  <c r="AN10" i="3"/>
  <c r="AO16" i="3"/>
  <c r="AM47" i="3"/>
  <c r="AM53" i="3"/>
  <c r="AO41" i="3"/>
  <c r="AO49" i="3"/>
  <c r="AM7" i="3"/>
  <c r="AM52" i="3"/>
  <c r="AO25" i="3"/>
  <c r="AM20" i="3"/>
  <c r="AM6" i="3"/>
  <c r="AN42" i="3"/>
  <c r="AM36" i="3"/>
  <c r="AO48" i="3"/>
  <c r="AM37" i="3"/>
  <c r="AM44" i="3"/>
  <c r="AN18" i="3"/>
  <c r="AM15" i="3"/>
  <c r="AM27" i="3"/>
  <c r="AO9" i="3"/>
  <c r="AO8" i="3"/>
  <c r="AO32" i="3"/>
  <c r="AM14" i="3"/>
  <c r="AM46" i="3"/>
  <c r="AO40" i="3"/>
  <c r="AN50" i="3"/>
  <c r="AM43" i="3"/>
  <c r="AM22" i="3"/>
  <c r="AM38" i="3"/>
  <c r="AO33" i="3"/>
  <c r="AM11" i="3"/>
  <c r="AN34" i="3"/>
  <c r="AM5" i="3"/>
  <c r="BT22" i="7" l="1"/>
  <c r="BT32" i="7"/>
  <c r="BT9" i="7"/>
  <c r="BT26" i="7"/>
  <c r="BT17" i="7"/>
  <c r="BT16" i="7"/>
  <c r="BT40" i="7"/>
  <c r="BT24" i="7"/>
  <c r="BT46" i="7"/>
  <c r="BT56" i="7"/>
  <c r="BT34" i="7"/>
  <c r="BT39" i="7"/>
  <c r="BT54" i="7"/>
  <c r="BT15" i="7"/>
  <c r="BT30" i="7"/>
  <c r="BT48" i="7"/>
  <c r="BT8" i="7"/>
  <c r="BT31" i="7"/>
  <c r="BT14" i="7"/>
  <c r="BT23" i="7"/>
  <c r="BT38" i="7"/>
  <c r="BT25" i="7"/>
  <c r="BT10" i="7"/>
  <c r="BT47" i="7"/>
  <c r="BT18" i="7"/>
  <c r="BT50" i="7"/>
  <c r="BT41" i="7"/>
  <c r="BT55" i="7"/>
  <c r="BT33" i="7"/>
  <c r="BT49" i="7"/>
  <c r="AQ40" i="3"/>
  <c r="AP40" i="3"/>
  <c r="AN23" i="3"/>
  <c r="AO34" i="3"/>
  <c r="AN22" i="3"/>
  <c r="AN46" i="3"/>
  <c r="AQ9" i="3"/>
  <c r="AP9" i="3"/>
  <c r="AN44" i="3"/>
  <c r="AO42" i="3"/>
  <c r="AN52" i="3"/>
  <c r="AN53" i="3"/>
  <c r="AN12" i="3"/>
  <c r="AN51" i="3"/>
  <c r="AN29" i="3"/>
  <c r="AN21" i="3"/>
  <c r="AN36" i="3"/>
  <c r="AO18" i="3"/>
  <c r="AQ25" i="3"/>
  <c r="AP25" i="3"/>
  <c r="AO10" i="3"/>
  <c r="AN11" i="3"/>
  <c r="AN43" i="3"/>
  <c r="AN14" i="3"/>
  <c r="AN27" i="3"/>
  <c r="AN37" i="3"/>
  <c r="AN6" i="3"/>
  <c r="AN7" i="3"/>
  <c r="AN47" i="3"/>
  <c r="AN35" i="3"/>
  <c r="AN45" i="3"/>
  <c r="AO26" i="3"/>
  <c r="AQ17" i="3"/>
  <c r="AP17" i="3"/>
  <c r="AN38" i="3"/>
  <c r="AN30" i="3"/>
  <c r="AQ8" i="3"/>
  <c r="AP8" i="3"/>
  <c r="AQ41" i="3"/>
  <c r="AP41" i="3"/>
  <c r="AN31" i="3"/>
  <c r="AQ33" i="3"/>
  <c r="AP33" i="3"/>
  <c r="AO50" i="3"/>
  <c r="AQ32" i="3"/>
  <c r="AP32" i="3"/>
  <c r="AN15" i="3"/>
  <c r="AQ48" i="3"/>
  <c r="AP48" i="3"/>
  <c r="AN20" i="3"/>
  <c r="AQ49" i="3"/>
  <c r="AP49" i="3"/>
  <c r="AQ16" i="3"/>
  <c r="AP16" i="3"/>
  <c r="AN13" i="3"/>
  <c r="AQ24" i="3"/>
  <c r="AP24" i="3"/>
  <c r="AN19" i="3"/>
  <c r="AN28" i="3"/>
  <c r="AN5" i="3"/>
  <c r="AO43" i="3" l="1"/>
  <c r="AQ42" i="3"/>
  <c r="AP42" i="3"/>
  <c r="AO28" i="3"/>
  <c r="AO12" i="3"/>
  <c r="AO6" i="3"/>
  <c r="AO51" i="3"/>
  <c r="AO31" i="3"/>
  <c r="AO36" i="3"/>
  <c r="AO47" i="3"/>
  <c r="AO27" i="3"/>
  <c r="AQ10" i="3"/>
  <c r="AP10" i="3"/>
  <c r="AO21" i="3"/>
  <c r="AO53" i="3"/>
  <c r="AO23" i="3"/>
  <c r="AO13" i="3"/>
  <c r="AO45" i="3"/>
  <c r="AQ18" i="3"/>
  <c r="AP18" i="3"/>
  <c r="AO38" i="3"/>
  <c r="AO37" i="3"/>
  <c r="AQ34" i="3"/>
  <c r="AP34" i="3"/>
  <c r="AO30" i="3"/>
  <c r="AO22" i="3"/>
  <c r="AO15" i="3"/>
  <c r="AO35" i="3"/>
  <c r="AO11" i="3"/>
  <c r="AO44" i="3"/>
  <c r="AO19" i="3"/>
  <c r="AO20" i="3"/>
  <c r="AQ50" i="3"/>
  <c r="AP50" i="3"/>
  <c r="AQ26" i="3"/>
  <c r="AP26" i="3"/>
  <c r="AO7" i="3"/>
  <c r="AO14" i="3"/>
  <c r="AO29" i="3"/>
  <c r="AO52" i="3"/>
  <c r="AO46" i="3"/>
  <c r="AO5" i="3"/>
  <c r="AQ35" i="3" l="1"/>
  <c r="AP35" i="3"/>
  <c r="AQ12" i="3"/>
  <c r="AP12" i="3"/>
  <c r="AQ45" i="3"/>
  <c r="AP45" i="3"/>
  <c r="AQ46" i="3"/>
  <c r="AP46" i="3"/>
  <c r="AQ7" i="3"/>
  <c r="AP7" i="3"/>
  <c r="AQ19" i="3"/>
  <c r="AP19" i="3"/>
  <c r="AQ15" i="3"/>
  <c r="AP15" i="3"/>
  <c r="AQ37" i="3"/>
  <c r="AP37" i="3"/>
  <c r="AQ13" i="3"/>
  <c r="AP13" i="3"/>
  <c r="AQ31" i="3"/>
  <c r="AP31" i="3"/>
  <c r="AQ28" i="3"/>
  <c r="AP28" i="3"/>
  <c r="AQ36" i="3"/>
  <c r="AP36" i="3"/>
  <c r="AQ14" i="3"/>
  <c r="AP14" i="3"/>
  <c r="AQ52" i="3"/>
  <c r="AP52" i="3"/>
  <c r="AQ44" i="3"/>
  <c r="AP44" i="3"/>
  <c r="AQ22" i="3"/>
  <c r="AP22" i="3"/>
  <c r="AQ38" i="3"/>
  <c r="AP38" i="3"/>
  <c r="AQ23" i="3"/>
  <c r="AP23" i="3"/>
  <c r="AQ27" i="3"/>
  <c r="AP27" i="3"/>
  <c r="AQ51" i="3"/>
  <c r="AP51" i="3"/>
  <c r="AQ21" i="3"/>
  <c r="AP21" i="3"/>
  <c r="AQ20" i="3"/>
  <c r="AP20" i="3"/>
  <c r="AQ29" i="3"/>
  <c r="AP29" i="3"/>
  <c r="AQ11" i="3"/>
  <c r="AP11" i="3"/>
  <c r="AQ30" i="3"/>
  <c r="AP30" i="3"/>
  <c r="AQ53" i="3"/>
  <c r="AP53" i="3"/>
  <c r="AQ47" i="3"/>
  <c r="AP47" i="3"/>
  <c r="AQ6" i="3"/>
  <c r="AP6" i="3"/>
  <c r="AQ43" i="3"/>
  <c r="AP43" i="3"/>
  <c r="AQ5" i="3"/>
  <c r="AP5" i="3"/>
  <c r="Q31" i="1" l="1"/>
  <c r="P31" i="1"/>
  <c r="Q55" i="1"/>
  <c r="R55" i="1"/>
  <c r="P55" i="1"/>
  <c r="L55" i="1"/>
  <c r="Q54" i="1"/>
  <c r="L52" i="1"/>
  <c r="Q52" i="1"/>
  <c r="P52" i="1"/>
  <c r="R51" i="1"/>
  <c r="Q51" i="1"/>
  <c r="L51" i="1"/>
  <c r="R50" i="1"/>
  <c r="Q50" i="1"/>
  <c r="Q49" i="1"/>
  <c r="P48" i="1"/>
  <c r="Q46" i="1"/>
  <c r="L45" i="1"/>
  <c r="P44" i="1"/>
  <c r="Q44" i="1"/>
  <c r="Q41" i="1"/>
  <c r="L41" i="1"/>
  <c r="L40" i="1"/>
  <c r="P40" i="1"/>
  <c r="Q40" i="1"/>
  <c r="Q39" i="1"/>
  <c r="Q38" i="1"/>
  <c r="Q37" i="1"/>
  <c r="L37" i="1"/>
  <c r="P37" i="1"/>
  <c r="Q36" i="1"/>
  <c r="R36" i="1"/>
  <c r="P35" i="1"/>
  <c r="L35" i="1"/>
  <c r="Q35" i="1"/>
  <c r="R35" i="1"/>
  <c r="Q33" i="1"/>
  <c r="R32" i="1"/>
  <c r="Q28" i="1"/>
  <c r="R27" i="1"/>
  <c r="L27" i="1"/>
  <c r="Q27" i="1"/>
  <c r="P26" i="1"/>
  <c r="Q25" i="1"/>
  <c r="P24" i="1"/>
  <c r="Q24" i="1"/>
  <c r="L24" i="1"/>
  <c r="Q23" i="1"/>
  <c r="L23" i="1"/>
  <c r="Q22" i="1"/>
  <c r="R22" i="1"/>
  <c r="L22" i="1"/>
  <c r="P22" i="1"/>
  <c r="P20" i="1"/>
  <c r="P16" i="1"/>
  <c r="Q16" i="1"/>
  <c r="Q15" i="1"/>
  <c r="R14" i="1"/>
  <c r="L14" i="1"/>
  <c r="Q13" i="1"/>
  <c r="P11" i="1"/>
  <c r="Q10" i="1"/>
  <c r="Q9" i="1"/>
  <c r="R9" i="1"/>
  <c r="L9" i="1"/>
  <c r="R8" i="1"/>
  <c r="Q8" i="1"/>
  <c r="O8" i="1"/>
  <c r="S8" i="1" s="1"/>
  <c r="L8" i="1"/>
  <c r="N8" i="1" l="1"/>
  <c r="P9" i="1"/>
  <c r="L25" i="1"/>
  <c r="L10" i="1"/>
  <c r="Q12" i="1"/>
  <c r="P15" i="1"/>
  <c r="L15" i="1"/>
  <c r="Q18" i="1"/>
  <c r="Q30" i="1"/>
  <c r="R30" i="1"/>
  <c r="L43" i="1"/>
  <c r="O9" i="1"/>
  <c r="S9" i="1" s="1"/>
  <c r="P13" i="1"/>
  <c r="Q14" i="1"/>
  <c r="M8" i="1"/>
  <c r="BE8" i="1" s="1"/>
  <c r="P12" i="1"/>
  <c r="O13" i="1"/>
  <c r="S13" i="1" s="1"/>
  <c r="Q17" i="1"/>
  <c r="P18" i="1"/>
  <c r="O10" i="1"/>
  <c r="S10" i="1" s="1"/>
  <c r="Q11" i="1"/>
  <c r="R13" i="1"/>
  <c r="P14" i="1"/>
  <c r="O15" i="1"/>
  <c r="S15" i="1" s="1"/>
  <c r="O27" i="1"/>
  <c r="N27" i="1" s="1"/>
  <c r="R10" i="1"/>
  <c r="R15" i="1"/>
  <c r="P17" i="1"/>
  <c r="R21" i="1"/>
  <c r="P21" i="1"/>
  <c r="Q21" i="1"/>
  <c r="R26" i="1"/>
  <c r="L28" i="1"/>
  <c r="R16" i="1"/>
  <c r="R17" i="1"/>
  <c r="O18" i="1"/>
  <c r="N18" i="1" s="1"/>
  <c r="P27" i="1"/>
  <c r="P28" i="1"/>
  <c r="P34" i="1"/>
  <c r="Q19" i="1"/>
  <c r="O35" i="1"/>
  <c r="N35" i="1" s="1"/>
  <c r="O19" i="1"/>
  <c r="Q20" i="1"/>
  <c r="O22" i="1"/>
  <c r="P23" i="1"/>
  <c r="O24" i="1"/>
  <c r="M24" i="1" s="1"/>
  <c r="Q26" i="1"/>
  <c r="L31" i="1"/>
  <c r="L33" i="1"/>
  <c r="O20" i="1"/>
  <c r="S20" i="1" s="1"/>
  <c r="R25" i="1"/>
  <c r="O26" i="1"/>
  <c r="S26" i="1" s="1"/>
  <c r="P33" i="1"/>
  <c r="O28" i="1"/>
  <c r="S28" i="1" s="1"/>
  <c r="O29" i="1"/>
  <c r="S29" i="1" s="1"/>
  <c r="Q29" i="1"/>
  <c r="P29" i="1"/>
  <c r="O33" i="1"/>
  <c r="M33" i="1" s="1"/>
  <c r="L44" i="1"/>
  <c r="Q56" i="1"/>
  <c r="P56" i="1"/>
  <c r="O31" i="1"/>
  <c r="P32" i="1"/>
  <c r="P36" i="1"/>
  <c r="P38" i="1"/>
  <c r="R39" i="1"/>
  <c r="P41" i="1"/>
  <c r="O41" i="1"/>
  <c r="N41" i="1" s="1"/>
  <c r="R45" i="1"/>
  <c r="Q45" i="1"/>
  <c r="O32" i="1"/>
  <c r="S32" i="1" s="1"/>
  <c r="O42" i="1"/>
  <c r="S42" i="1" s="1"/>
  <c r="Q42" i="1"/>
  <c r="O47" i="1"/>
  <c r="S47" i="1" s="1"/>
  <c r="Q47" i="1"/>
  <c r="P47" i="1"/>
  <c r="R49" i="1"/>
  <c r="O51" i="1"/>
  <c r="S51" i="1" s="1"/>
  <c r="P45" i="1"/>
  <c r="Q34" i="1"/>
  <c r="Q32" i="1"/>
  <c r="R38" i="1"/>
  <c r="P39" i="1"/>
  <c r="R40" i="1"/>
  <c r="P42" i="1"/>
  <c r="R44" i="1"/>
  <c r="O46" i="1"/>
  <c r="R43" i="1"/>
  <c r="Q43" i="1"/>
  <c r="L50" i="1"/>
  <c r="P46" i="1"/>
  <c r="P50" i="1"/>
  <c r="R53" i="1"/>
  <c r="O55" i="1"/>
  <c r="Q53" i="1"/>
  <c r="Q48" i="1"/>
  <c r="P49" i="1"/>
  <c r="P54" i="1"/>
  <c r="O48" i="1"/>
  <c r="S48" i="1" s="1"/>
  <c r="BH46" i="1" l="1"/>
  <c r="CG46" i="1" s="1"/>
  <c r="BN46" i="1"/>
  <c r="CM46" i="1" s="1"/>
  <c r="BJ46" i="1"/>
  <c r="CI46" i="1" s="1"/>
  <c r="BM46" i="1"/>
  <c r="CL46" i="1" s="1"/>
  <c r="BI46" i="1"/>
  <c r="CH46" i="1" s="1"/>
  <c r="BP46" i="1"/>
  <c r="CO46" i="1" s="1"/>
  <c r="BL46" i="1"/>
  <c r="CK46" i="1" s="1"/>
  <c r="BK46" i="1"/>
  <c r="CJ46" i="1" s="1"/>
  <c r="BQ46" i="1"/>
  <c r="CP46" i="1" s="1"/>
  <c r="BO46" i="1"/>
  <c r="CN46" i="1" s="1"/>
  <c r="BN8" i="1"/>
  <c r="CM8" i="1" s="1"/>
  <c r="BP8" i="1"/>
  <c r="CO8" i="1" s="1"/>
  <c r="BM8" i="1"/>
  <c r="CL8" i="1" s="1"/>
  <c r="BQ8" i="1"/>
  <c r="CP8" i="1" s="1"/>
  <c r="BK8" i="1"/>
  <c r="CJ8" i="1" s="1"/>
  <c r="BI8" i="1"/>
  <c r="CH8" i="1" s="1"/>
  <c r="BO8" i="1"/>
  <c r="CN8" i="1" s="1"/>
  <c r="BL8" i="1"/>
  <c r="CK8" i="1" s="1"/>
  <c r="BJ8" i="1"/>
  <c r="CI8" i="1" s="1"/>
  <c r="BH8" i="1"/>
  <c r="CG8" i="1" s="1"/>
  <c r="S19" i="1"/>
  <c r="AY46" i="1"/>
  <c r="AQ46" i="1"/>
  <c r="AV46" i="1"/>
  <c r="AR46" i="1"/>
  <c r="M18" i="1"/>
  <c r="AZ46" i="1"/>
  <c r="AU46" i="1"/>
  <c r="S22" i="1"/>
  <c r="M22" i="1"/>
  <c r="S55" i="1"/>
  <c r="M55" i="1"/>
  <c r="R52" i="1"/>
  <c r="O40" i="1"/>
  <c r="N40" i="1" s="1"/>
  <c r="M48" i="1"/>
  <c r="M41" i="1"/>
  <c r="N47" i="1"/>
  <c r="L47" i="1"/>
  <c r="N33" i="1"/>
  <c r="AR33" i="1" s="1"/>
  <c r="R29" i="1"/>
  <c r="O36" i="1"/>
  <c r="N36" i="1" s="1"/>
  <c r="N28" i="1"/>
  <c r="N26" i="1"/>
  <c r="N10" i="1"/>
  <c r="P10" i="1"/>
  <c r="O14" i="1"/>
  <c r="N22" i="1"/>
  <c r="L17" i="1"/>
  <c r="L48" i="1"/>
  <c r="L56" i="1"/>
  <c r="O38" i="1"/>
  <c r="M38" i="1" s="1"/>
  <c r="N31" i="1"/>
  <c r="R31" i="1"/>
  <c r="M26" i="1"/>
  <c r="M15" i="1"/>
  <c r="N32" i="1"/>
  <c r="S31" i="1"/>
  <c r="M31" i="1"/>
  <c r="O56" i="1"/>
  <c r="N56" i="1" s="1"/>
  <c r="L38" i="1"/>
  <c r="R28" i="1"/>
  <c r="N20" i="1"/>
  <c r="P25" i="1"/>
  <c r="L21" i="1"/>
  <c r="M27" i="1"/>
  <c r="S27" i="1"/>
  <c r="O12" i="1"/>
  <c r="S12" i="1" s="1"/>
  <c r="N9" i="1"/>
  <c r="S46" i="1"/>
  <c r="AT46" i="1"/>
  <c r="AW46" i="1"/>
  <c r="AS46" i="1"/>
  <c r="R37" i="1"/>
  <c r="O37" i="1"/>
  <c r="N37" i="1" s="1"/>
  <c r="O52" i="1"/>
  <c r="L20" i="1"/>
  <c r="M51" i="1"/>
  <c r="R20" i="1"/>
  <c r="O21" i="1"/>
  <c r="N21" i="1" s="1"/>
  <c r="N13" i="1"/>
  <c r="M29" i="1"/>
  <c r="L12" i="1"/>
  <c r="R12" i="1"/>
  <c r="L32" i="1"/>
  <c r="P51" i="1"/>
  <c r="N48" i="1"/>
  <c r="M42" i="1"/>
  <c r="O50" i="1"/>
  <c r="N50" i="1" s="1"/>
  <c r="P53" i="1"/>
  <c r="O53" i="1"/>
  <c r="N53" i="1" s="1"/>
  <c r="N51" i="1"/>
  <c r="O39" i="1"/>
  <c r="S39" i="1" s="1"/>
  <c r="R48" i="1"/>
  <c r="O44" i="1"/>
  <c r="P19" i="1"/>
  <c r="AW19" i="1" s="1"/>
  <c r="M35" i="1"/>
  <c r="S35" i="1"/>
  <c r="O45" i="1"/>
  <c r="M20" i="1"/>
  <c r="O23" i="1"/>
  <c r="M23" i="1" s="1"/>
  <c r="L18" i="1"/>
  <c r="R11" i="1"/>
  <c r="O17" i="1"/>
  <c r="M17" i="1" s="1"/>
  <c r="L49" i="1"/>
  <c r="L53" i="1"/>
  <c r="N55" i="1"/>
  <c r="O34" i="1"/>
  <c r="S34" i="1" s="1"/>
  <c r="M47" i="1"/>
  <c r="R34" i="1"/>
  <c r="N24" i="1"/>
  <c r="AR24" i="1" s="1"/>
  <c r="O43" i="1"/>
  <c r="R42" i="1"/>
  <c r="R19" i="1"/>
  <c r="L13" i="1"/>
  <c r="O11" i="1"/>
  <c r="S11" i="1" s="1"/>
  <c r="L16" i="1"/>
  <c r="L30" i="1"/>
  <c r="O16" i="1"/>
  <c r="L54" i="1"/>
  <c r="M13" i="1"/>
  <c r="P8" i="1"/>
  <c r="AS8" i="1" s="1"/>
  <c r="O25" i="1"/>
  <c r="S25" i="1" s="1"/>
  <c r="L36" i="1"/>
  <c r="L39" i="1"/>
  <c r="R46" i="1"/>
  <c r="O54" i="1"/>
  <c r="N54" i="1" s="1"/>
  <c r="O49" i="1"/>
  <c r="M49" i="1" s="1"/>
  <c r="L34" i="1"/>
  <c r="AX46" i="1"/>
  <c r="R47" i="1"/>
  <c r="L42" i="1"/>
  <c r="M32" i="1"/>
  <c r="P43" i="1"/>
  <c r="N42" i="1"/>
  <c r="L29" i="1"/>
  <c r="L26" i="1"/>
  <c r="M28" i="1"/>
  <c r="N29" i="1"/>
  <c r="N15" i="1"/>
  <c r="L11" i="1"/>
  <c r="M10" i="1"/>
  <c r="M9" i="1"/>
  <c r="P30" i="1"/>
  <c r="O30" i="1"/>
  <c r="S30" i="1" s="1"/>
  <c r="AT33" i="1" l="1"/>
  <c r="AZ15" i="1"/>
  <c r="AT19" i="1"/>
  <c r="AU33" i="1"/>
  <c r="AV33" i="1"/>
  <c r="AW33" i="1"/>
  <c r="AX33" i="1"/>
  <c r="M12" i="1"/>
  <c r="AQ33" i="1"/>
  <c r="AY33" i="1"/>
  <c r="AS33" i="1"/>
  <c r="AZ33" i="1"/>
  <c r="BK13" i="1"/>
  <c r="CJ13" i="1" s="1"/>
  <c r="BI13" i="1"/>
  <c r="CH13" i="1" s="1"/>
  <c r="BN13" i="1"/>
  <c r="CM13" i="1" s="1"/>
  <c r="BJ13" i="1"/>
  <c r="CI13" i="1" s="1"/>
  <c r="BO13" i="1"/>
  <c r="CN13" i="1" s="1"/>
  <c r="BL13" i="1"/>
  <c r="CK13" i="1" s="1"/>
  <c r="BP13" i="1"/>
  <c r="CO13" i="1" s="1"/>
  <c r="BQ13" i="1"/>
  <c r="CP13" i="1" s="1"/>
  <c r="BM13" i="1"/>
  <c r="CL13" i="1" s="1"/>
  <c r="BH13" i="1"/>
  <c r="CG13" i="1" s="1"/>
  <c r="BP32" i="1"/>
  <c r="CO32" i="1" s="1"/>
  <c r="BK32" i="1"/>
  <c r="CJ32" i="1" s="1"/>
  <c r="BO32" i="1"/>
  <c r="CN32" i="1" s="1"/>
  <c r="BM32" i="1"/>
  <c r="CL32" i="1" s="1"/>
  <c r="BH32" i="1"/>
  <c r="CG32" i="1" s="1"/>
  <c r="BN32" i="1"/>
  <c r="CM32" i="1" s="1"/>
  <c r="BJ32" i="1"/>
  <c r="CI32" i="1" s="1"/>
  <c r="BQ32" i="1"/>
  <c r="CP32" i="1" s="1"/>
  <c r="BL32" i="1"/>
  <c r="CK32" i="1" s="1"/>
  <c r="BI32" i="1"/>
  <c r="CH32" i="1" s="1"/>
  <c r="BL19" i="1"/>
  <c r="CK19" i="1" s="1"/>
  <c r="BQ19" i="1"/>
  <c r="CP19" i="1" s="1"/>
  <c r="BI19" i="1"/>
  <c r="CH19" i="1" s="1"/>
  <c r="BP19" i="1"/>
  <c r="CO19" i="1" s="1"/>
  <c r="BN19" i="1"/>
  <c r="CM19" i="1" s="1"/>
  <c r="CX19" i="1" s="1"/>
  <c r="BJ19" i="1"/>
  <c r="CI19" i="1" s="1"/>
  <c r="BM19" i="1"/>
  <c r="CL19" i="1" s="1"/>
  <c r="BK19" i="1"/>
  <c r="CJ19" i="1" s="1"/>
  <c r="CU19" i="1" s="1"/>
  <c r="BH19" i="1"/>
  <c r="CG19" i="1" s="1"/>
  <c r="BO19" i="1"/>
  <c r="CN19" i="1" s="1"/>
  <c r="BQ47" i="1"/>
  <c r="CP47" i="1" s="1"/>
  <c r="BJ47" i="1"/>
  <c r="CI47" i="1" s="1"/>
  <c r="BP47" i="1"/>
  <c r="CO47" i="1" s="1"/>
  <c r="BL47" i="1"/>
  <c r="CK47" i="1" s="1"/>
  <c r="BH47" i="1"/>
  <c r="CG47" i="1" s="1"/>
  <c r="BK47" i="1"/>
  <c r="CJ47" i="1" s="1"/>
  <c r="BO47" i="1"/>
  <c r="CN47" i="1" s="1"/>
  <c r="BM47" i="1"/>
  <c r="CL47" i="1" s="1"/>
  <c r="BI47" i="1"/>
  <c r="CH47" i="1" s="1"/>
  <c r="BN47" i="1"/>
  <c r="CM47" i="1" s="1"/>
  <c r="BJ41" i="1"/>
  <c r="CI41" i="1" s="1"/>
  <c r="BQ41" i="1"/>
  <c r="CP41" i="1" s="1"/>
  <c r="BI41" i="1"/>
  <c r="CH41" i="1" s="1"/>
  <c r="BO41" i="1"/>
  <c r="CN41" i="1" s="1"/>
  <c r="BM41" i="1"/>
  <c r="CL41" i="1" s="1"/>
  <c r="BP41" i="1"/>
  <c r="CO41" i="1" s="1"/>
  <c r="BN41" i="1"/>
  <c r="CM41" i="1" s="1"/>
  <c r="BL41" i="1"/>
  <c r="CK41" i="1" s="1"/>
  <c r="BK41" i="1"/>
  <c r="CJ41" i="1" s="1"/>
  <c r="BH41" i="1"/>
  <c r="CG41" i="1" s="1"/>
  <c r="BQ18" i="1"/>
  <c r="CP18" i="1" s="1"/>
  <c r="BO18" i="1"/>
  <c r="CN18" i="1" s="1"/>
  <c r="BI18" i="1"/>
  <c r="CH18" i="1" s="1"/>
  <c r="BP18" i="1"/>
  <c r="CO18" i="1" s="1"/>
  <c r="BH18" i="1"/>
  <c r="CG18" i="1" s="1"/>
  <c r="BM18" i="1"/>
  <c r="CL18" i="1" s="1"/>
  <c r="BJ18" i="1"/>
  <c r="CI18" i="1" s="1"/>
  <c r="BL18" i="1"/>
  <c r="CK18" i="1" s="1"/>
  <c r="BN18" i="1"/>
  <c r="CM18" i="1" s="1"/>
  <c r="BK18" i="1"/>
  <c r="CJ18" i="1" s="1"/>
  <c r="BH9" i="1"/>
  <c r="CG9" i="1" s="1"/>
  <c r="BI9" i="1"/>
  <c r="CH9" i="1" s="1"/>
  <c r="BP9" i="1"/>
  <c r="CO9" i="1" s="1"/>
  <c r="BM9" i="1"/>
  <c r="CL9" i="1" s="1"/>
  <c r="BL9" i="1"/>
  <c r="CK9" i="1" s="1"/>
  <c r="BJ9" i="1"/>
  <c r="CI9" i="1" s="1"/>
  <c r="BK9" i="1"/>
  <c r="CJ9" i="1" s="1"/>
  <c r="BO9" i="1"/>
  <c r="CN9" i="1" s="1"/>
  <c r="BN9" i="1"/>
  <c r="CM9" i="1" s="1"/>
  <c r="BQ9" i="1"/>
  <c r="CP9" i="1" s="1"/>
  <c r="BH35" i="1"/>
  <c r="CG35" i="1" s="1"/>
  <c r="BO35" i="1"/>
  <c r="CN35" i="1" s="1"/>
  <c r="BP35" i="1"/>
  <c r="CO35" i="1" s="1"/>
  <c r="BI35" i="1"/>
  <c r="CH35" i="1" s="1"/>
  <c r="BQ35" i="1"/>
  <c r="CP35" i="1" s="1"/>
  <c r="BJ35" i="1"/>
  <c r="CI35" i="1" s="1"/>
  <c r="BL35" i="1"/>
  <c r="CK35" i="1" s="1"/>
  <c r="BM35" i="1"/>
  <c r="CL35" i="1" s="1"/>
  <c r="BK35" i="1"/>
  <c r="CJ35" i="1" s="1"/>
  <c r="BN35" i="1"/>
  <c r="CM35" i="1" s="1"/>
  <c r="BJ27" i="1"/>
  <c r="CI27" i="1" s="1"/>
  <c r="BL27" i="1"/>
  <c r="CK27" i="1" s="1"/>
  <c r="BH27" i="1"/>
  <c r="CG27" i="1" s="1"/>
  <c r="BN27" i="1"/>
  <c r="CM27" i="1" s="1"/>
  <c r="BQ27" i="1"/>
  <c r="CP27" i="1" s="1"/>
  <c r="BK27" i="1"/>
  <c r="CJ27" i="1" s="1"/>
  <c r="BO27" i="1"/>
  <c r="CN27" i="1" s="1"/>
  <c r="BM27" i="1"/>
  <c r="CL27" i="1" s="1"/>
  <c r="BP27" i="1"/>
  <c r="CO27" i="1" s="1"/>
  <c r="BI27" i="1"/>
  <c r="CH27" i="1" s="1"/>
  <c r="BJ28" i="1"/>
  <c r="CI28" i="1" s="1"/>
  <c r="BI28" i="1"/>
  <c r="CH28" i="1" s="1"/>
  <c r="BP28" i="1"/>
  <c r="CO28" i="1" s="1"/>
  <c r="BH28" i="1"/>
  <c r="CG28" i="1" s="1"/>
  <c r="BL28" i="1"/>
  <c r="CK28" i="1" s="1"/>
  <c r="BN28" i="1"/>
  <c r="CM28" i="1" s="1"/>
  <c r="BM28" i="1"/>
  <c r="CL28" i="1" s="1"/>
  <c r="BQ28" i="1"/>
  <c r="CP28" i="1" s="1"/>
  <c r="BO28" i="1"/>
  <c r="CN28" i="1" s="1"/>
  <c r="BK28" i="1"/>
  <c r="CJ28" i="1" s="1"/>
  <c r="BH10" i="1"/>
  <c r="CG10" i="1" s="1"/>
  <c r="BL10" i="1"/>
  <c r="CK10" i="1" s="1"/>
  <c r="BM10" i="1"/>
  <c r="CL10" i="1" s="1"/>
  <c r="BO10" i="1"/>
  <c r="CN10" i="1" s="1"/>
  <c r="BN10" i="1"/>
  <c r="CM10" i="1" s="1"/>
  <c r="BK10" i="1"/>
  <c r="CJ10" i="1" s="1"/>
  <c r="BP10" i="1"/>
  <c r="CO10" i="1" s="1"/>
  <c r="BI10" i="1"/>
  <c r="CH10" i="1" s="1"/>
  <c r="BJ10" i="1"/>
  <c r="CI10" i="1" s="1"/>
  <c r="BQ10" i="1"/>
  <c r="CP10" i="1" s="1"/>
  <c r="AQ31" i="1"/>
  <c r="AZ19" i="1"/>
  <c r="BB46" i="1"/>
  <c r="CB46" i="1"/>
  <c r="CD46" i="1" s="1"/>
  <c r="DA46" i="1"/>
  <c r="DC46" i="1" s="1"/>
  <c r="BZ46" i="1"/>
  <c r="CY46" i="1"/>
  <c r="BU8" i="1"/>
  <c r="CT8" i="1"/>
  <c r="BT46" i="1"/>
  <c r="CS46" i="1"/>
  <c r="BU46" i="1"/>
  <c r="CT46" i="1"/>
  <c r="BX46" i="1"/>
  <c r="CW46" i="1"/>
  <c r="BY46" i="1"/>
  <c r="CX46" i="1"/>
  <c r="BS46" i="1"/>
  <c r="CR46" i="1"/>
  <c r="BW46" i="1"/>
  <c r="CV46" i="1"/>
  <c r="BV46" i="1"/>
  <c r="CU46" i="1"/>
  <c r="CA46" i="1"/>
  <c r="CZ46" i="1"/>
  <c r="AY31" i="1"/>
  <c r="AS15" i="1"/>
  <c r="AT15" i="1"/>
  <c r="AR19" i="1"/>
  <c r="AZ31" i="1"/>
  <c r="AU15" i="1"/>
  <c r="AV19" i="1"/>
  <c r="AV15" i="1"/>
  <c r="AY10" i="1"/>
  <c r="AW15" i="1"/>
  <c r="AR31" i="1"/>
  <c r="AV31" i="1"/>
  <c r="AQ19" i="1"/>
  <c r="AS31" i="1"/>
  <c r="AZ24" i="1"/>
  <c r="AU31" i="1"/>
  <c r="AZ10" i="1"/>
  <c r="BB10" i="1" s="1"/>
  <c r="AW31" i="1"/>
  <c r="AQ28" i="1"/>
  <c r="AX31" i="1"/>
  <c r="M25" i="1"/>
  <c r="AR28" i="1"/>
  <c r="AU8" i="1"/>
  <c r="AY28" i="1"/>
  <c r="AT31" i="1"/>
  <c r="BB15" i="1"/>
  <c r="BB33" i="1"/>
  <c r="AU13" i="1"/>
  <c r="AT13" i="1"/>
  <c r="AS13" i="1"/>
  <c r="AV13" i="1"/>
  <c r="AZ13" i="1"/>
  <c r="AR13" i="1"/>
  <c r="AY13" i="1"/>
  <c r="AQ13" i="1"/>
  <c r="AX13" i="1"/>
  <c r="AW13" i="1"/>
  <c r="AU10" i="1"/>
  <c r="AR10" i="1"/>
  <c r="AX51" i="1"/>
  <c r="AW51" i="1"/>
  <c r="AV51" i="1"/>
  <c r="AQ51" i="1"/>
  <c r="AU51" i="1"/>
  <c r="AT51" i="1"/>
  <c r="AZ51" i="1"/>
  <c r="AS51" i="1"/>
  <c r="AR51" i="1"/>
  <c r="AY51" i="1"/>
  <c r="AS28" i="1"/>
  <c r="AV28" i="1"/>
  <c r="M39" i="1"/>
  <c r="AQ24" i="1"/>
  <c r="S16" i="1"/>
  <c r="M16" i="1"/>
  <c r="N16" i="1"/>
  <c r="M30" i="1"/>
  <c r="AT10" i="1"/>
  <c r="AS10" i="1"/>
  <c r="AT32" i="1"/>
  <c r="AS32" i="1"/>
  <c r="AZ32" i="1"/>
  <c r="AR32" i="1"/>
  <c r="AX32" i="1"/>
  <c r="AW32" i="1"/>
  <c r="AV32" i="1"/>
  <c r="AY32" i="1"/>
  <c r="AU32" i="1"/>
  <c r="AQ32" i="1"/>
  <c r="AT28" i="1"/>
  <c r="AX19" i="1"/>
  <c r="S40" i="1"/>
  <c r="M40" i="1"/>
  <c r="AV22" i="1"/>
  <c r="AZ22" i="1"/>
  <c r="AS22" i="1"/>
  <c r="AR22" i="1"/>
  <c r="AY22" i="1"/>
  <c r="AQ22" i="1"/>
  <c r="AX22" i="1"/>
  <c r="AU22" i="1"/>
  <c r="AW22" i="1"/>
  <c r="AT22" i="1"/>
  <c r="AS24" i="1"/>
  <c r="AX15" i="1"/>
  <c r="M56" i="1"/>
  <c r="AV10" i="1"/>
  <c r="S45" i="1"/>
  <c r="N45" i="1"/>
  <c r="M45" i="1"/>
  <c r="S53" i="1"/>
  <c r="M53" i="1"/>
  <c r="AV20" i="1"/>
  <c r="AT20" i="1"/>
  <c r="AS20" i="1"/>
  <c r="AZ20" i="1"/>
  <c r="AR20" i="1"/>
  <c r="AY20" i="1"/>
  <c r="AQ20" i="1"/>
  <c r="AX20" i="1"/>
  <c r="AU20" i="1"/>
  <c r="AW20" i="1"/>
  <c r="AY19" i="1"/>
  <c r="AU28" i="1"/>
  <c r="N39" i="1"/>
  <c r="M34" i="1"/>
  <c r="N11" i="1"/>
  <c r="AT24" i="1"/>
  <c r="S38" i="1"/>
  <c r="N38" i="1"/>
  <c r="AQ15" i="1"/>
  <c r="AT9" i="1"/>
  <c r="AS9" i="1"/>
  <c r="AX9" i="1"/>
  <c r="AZ9" i="1"/>
  <c r="AW9" i="1"/>
  <c r="AR9" i="1"/>
  <c r="AY9" i="1"/>
  <c r="AU9" i="1"/>
  <c r="AV9" i="1"/>
  <c r="AQ9" i="1"/>
  <c r="N34" i="1"/>
  <c r="AW10" i="1"/>
  <c r="S44" i="1"/>
  <c r="M44" i="1"/>
  <c r="BA46" i="1"/>
  <c r="M54" i="1"/>
  <c r="AW28" i="1"/>
  <c r="AT47" i="1"/>
  <c r="AS47" i="1"/>
  <c r="AY47" i="1"/>
  <c r="AQ47" i="1"/>
  <c r="AX47" i="1"/>
  <c r="AW47" i="1"/>
  <c r="AU47" i="1"/>
  <c r="AZ47" i="1"/>
  <c r="AV47" i="1"/>
  <c r="AR47" i="1"/>
  <c r="AY24" i="1"/>
  <c r="AV24" i="1"/>
  <c r="M11" i="1"/>
  <c r="AY15" i="1"/>
  <c r="AV42" i="1"/>
  <c r="AT42" i="1"/>
  <c r="AS42" i="1"/>
  <c r="AX42" i="1"/>
  <c r="AW42" i="1"/>
  <c r="AU42" i="1"/>
  <c r="AR42" i="1"/>
  <c r="AQ42" i="1"/>
  <c r="AZ42" i="1"/>
  <c r="AY42" i="1"/>
  <c r="S43" i="1"/>
  <c r="M43" i="1"/>
  <c r="N43" i="1"/>
  <c r="AX10" i="1"/>
  <c r="AZ35" i="1"/>
  <c r="AR35" i="1"/>
  <c r="AT35" i="1"/>
  <c r="AQ35" i="1"/>
  <c r="AS35" i="1"/>
  <c r="AU35" i="1"/>
  <c r="AV35" i="1"/>
  <c r="AX35" i="1"/>
  <c r="AY35" i="1"/>
  <c r="AW35" i="1"/>
  <c r="S50" i="1"/>
  <c r="M50" i="1"/>
  <c r="S52" i="1"/>
  <c r="M52" i="1"/>
  <c r="N52" i="1"/>
  <c r="AT27" i="1"/>
  <c r="AU27" i="1"/>
  <c r="AZ27" i="1"/>
  <c r="AQ27" i="1"/>
  <c r="AR27" i="1"/>
  <c r="AS27" i="1"/>
  <c r="AY27" i="1"/>
  <c r="AW27" i="1"/>
  <c r="AV27" i="1"/>
  <c r="AX27" i="1"/>
  <c r="AZ28" i="1"/>
  <c r="AR8" i="1"/>
  <c r="AY8" i="1"/>
  <c r="N12" i="1"/>
  <c r="AW24" i="1"/>
  <c r="AU24" i="1"/>
  <c r="AY55" i="1"/>
  <c r="AR55" i="1"/>
  <c r="AQ55" i="1"/>
  <c r="AX55" i="1"/>
  <c r="AW55" i="1"/>
  <c r="AV55" i="1"/>
  <c r="AU55" i="1"/>
  <c r="AT55" i="1"/>
  <c r="AS55" i="1"/>
  <c r="AZ55" i="1"/>
  <c r="AR15" i="1"/>
  <c r="AW26" i="1"/>
  <c r="AV26" i="1"/>
  <c r="AU26" i="1"/>
  <c r="AT26" i="1"/>
  <c r="AS26" i="1"/>
  <c r="AZ26" i="1"/>
  <c r="AR26" i="1"/>
  <c r="AY26" i="1"/>
  <c r="AQ26" i="1"/>
  <c r="AX26" i="1"/>
  <c r="S49" i="1"/>
  <c r="N49" i="1"/>
  <c r="AZ49" i="1" s="1"/>
  <c r="AQ8" i="1"/>
  <c r="AQ10" i="1"/>
  <c r="AT18" i="1"/>
  <c r="AZ18" i="1"/>
  <c r="AR18" i="1"/>
  <c r="AY18" i="1"/>
  <c r="AQ18" i="1"/>
  <c r="AV18" i="1"/>
  <c r="AS18" i="1"/>
  <c r="AX18" i="1"/>
  <c r="AW18" i="1"/>
  <c r="AU18" i="1"/>
  <c r="AV8" i="1"/>
  <c r="S21" i="1"/>
  <c r="M21" i="1"/>
  <c r="AV21" i="1" s="1"/>
  <c r="S37" i="1"/>
  <c r="M37" i="1"/>
  <c r="AX28" i="1"/>
  <c r="AT8" i="1"/>
  <c r="AX48" i="1"/>
  <c r="AW48" i="1"/>
  <c r="AU48" i="1"/>
  <c r="AT48" i="1"/>
  <c r="AS48" i="1"/>
  <c r="AY48" i="1"/>
  <c r="AQ48" i="1"/>
  <c r="AZ48" i="1"/>
  <c r="AV48" i="1"/>
  <c r="AR48" i="1"/>
  <c r="S14" i="1"/>
  <c r="M14" i="1"/>
  <c r="AX24" i="1"/>
  <c r="AS19" i="1"/>
  <c r="S17" i="1"/>
  <c r="N17" i="1"/>
  <c r="AS17" i="1" s="1"/>
  <c r="AY29" i="1"/>
  <c r="AQ29" i="1"/>
  <c r="AX29" i="1"/>
  <c r="AT29" i="1"/>
  <c r="AS29" i="1"/>
  <c r="AV29" i="1"/>
  <c r="AU29" i="1"/>
  <c r="AR29" i="1"/>
  <c r="AZ29" i="1"/>
  <c r="AW29" i="1"/>
  <c r="AX8" i="1"/>
  <c r="AU19" i="1"/>
  <c r="N25" i="1"/>
  <c r="AW8" i="1"/>
  <c r="N23" i="1"/>
  <c r="AR23" i="1" s="1"/>
  <c r="AZ8" i="1"/>
  <c r="AS38" i="1"/>
  <c r="AU38" i="1"/>
  <c r="N30" i="1"/>
  <c r="N14" i="1"/>
  <c r="S36" i="1"/>
  <c r="M36" i="1"/>
  <c r="AZ41" i="1"/>
  <c r="AS41" i="1"/>
  <c r="AR41" i="1"/>
  <c r="AW41" i="1"/>
  <c r="AY41" i="1"/>
  <c r="AU41" i="1"/>
  <c r="AQ41" i="1"/>
  <c r="AV41" i="1"/>
  <c r="AX41" i="1"/>
  <c r="AT41" i="1"/>
  <c r="N44" i="1"/>
  <c r="AZ38" i="1" l="1"/>
  <c r="AX16" i="1"/>
  <c r="AT38" i="1"/>
  <c r="AV12" i="1"/>
  <c r="BA33" i="1"/>
  <c r="AX30" i="1"/>
  <c r="BV19" i="1"/>
  <c r="DA19" i="1"/>
  <c r="DC19" i="1" s="1"/>
  <c r="AW38" i="1"/>
  <c r="AR21" i="1"/>
  <c r="AR38" i="1"/>
  <c r="BQ37" i="1"/>
  <c r="CP37" i="1" s="1"/>
  <c r="BO37" i="1"/>
  <c r="CN37" i="1" s="1"/>
  <c r="BM37" i="1"/>
  <c r="CL37" i="1" s="1"/>
  <c r="BI37" i="1"/>
  <c r="CH37" i="1" s="1"/>
  <c r="BP37" i="1"/>
  <c r="CO37" i="1" s="1"/>
  <c r="BH37" i="1"/>
  <c r="CG37" i="1" s="1"/>
  <c r="BL37" i="1"/>
  <c r="CK37" i="1" s="1"/>
  <c r="BK37" i="1"/>
  <c r="CJ37" i="1" s="1"/>
  <c r="BJ37" i="1"/>
  <c r="CI37" i="1" s="1"/>
  <c r="BN37" i="1"/>
  <c r="CM37" i="1" s="1"/>
  <c r="AT16" i="1"/>
  <c r="BL55" i="1"/>
  <c r="CK55" i="1" s="1"/>
  <c r="CV55" i="1" s="1"/>
  <c r="BK55" i="1"/>
  <c r="CJ55" i="1" s="1"/>
  <c r="BJ55" i="1"/>
  <c r="CI55" i="1" s="1"/>
  <c r="CT55" i="1" s="1"/>
  <c r="BM55" i="1"/>
  <c r="CL55" i="1" s="1"/>
  <c r="CW55" i="1" s="1"/>
  <c r="BQ55" i="1"/>
  <c r="CP55" i="1" s="1"/>
  <c r="DA55" i="1" s="1"/>
  <c r="BO55" i="1"/>
  <c r="CN55" i="1" s="1"/>
  <c r="CY55" i="1" s="1"/>
  <c r="BI55" i="1"/>
  <c r="CH55" i="1" s="1"/>
  <c r="CS55" i="1" s="1"/>
  <c r="BP55" i="1"/>
  <c r="CO55" i="1" s="1"/>
  <c r="CZ55" i="1" s="1"/>
  <c r="BN55" i="1"/>
  <c r="CM55" i="1" s="1"/>
  <c r="CX55" i="1" s="1"/>
  <c r="BH55" i="1"/>
  <c r="CG55" i="1" s="1"/>
  <c r="AV38" i="1"/>
  <c r="AT21" i="1"/>
  <c r="BJ50" i="1"/>
  <c r="CI50" i="1" s="1"/>
  <c r="BM50" i="1"/>
  <c r="CL50" i="1" s="1"/>
  <c r="BQ50" i="1"/>
  <c r="CP50" i="1" s="1"/>
  <c r="BO50" i="1"/>
  <c r="CN50" i="1" s="1"/>
  <c r="BI50" i="1"/>
  <c r="CH50" i="1" s="1"/>
  <c r="BP50" i="1"/>
  <c r="CO50" i="1" s="1"/>
  <c r="BH50" i="1"/>
  <c r="CG50" i="1" s="1"/>
  <c r="BL50" i="1"/>
  <c r="CK50" i="1" s="1"/>
  <c r="BN50" i="1"/>
  <c r="CM50" i="1" s="1"/>
  <c r="BK50" i="1"/>
  <c r="CJ50" i="1" s="1"/>
  <c r="BO22" i="1"/>
  <c r="CN22" i="1" s="1"/>
  <c r="CY22" i="1" s="1"/>
  <c r="BM22" i="1"/>
  <c r="CL22" i="1" s="1"/>
  <c r="CW22" i="1" s="1"/>
  <c r="BP22" i="1"/>
  <c r="CO22" i="1" s="1"/>
  <c r="CZ22" i="1" s="1"/>
  <c r="BN22" i="1"/>
  <c r="CM22" i="1" s="1"/>
  <c r="BJ22" i="1"/>
  <c r="CI22" i="1" s="1"/>
  <c r="CT22" i="1" s="1"/>
  <c r="BI22" i="1"/>
  <c r="CH22" i="1" s="1"/>
  <c r="CS22" i="1" s="1"/>
  <c r="BK22" i="1"/>
  <c r="CJ22" i="1" s="1"/>
  <c r="CU22" i="1" s="1"/>
  <c r="BQ22" i="1"/>
  <c r="CP22" i="1" s="1"/>
  <c r="DA22" i="1" s="1"/>
  <c r="DC22" i="1" s="1"/>
  <c r="BL22" i="1"/>
  <c r="CK22" i="1" s="1"/>
  <c r="CV22" i="1" s="1"/>
  <c r="BH22" i="1"/>
  <c r="CG22" i="1" s="1"/>
  <c r="CR22" i="1" s="1"/>
  <c r="BH48" i="1"/>
  <c r="CG48" i="1" s="1"/>
  <c r="CR48" i="1" s="1"/>
  <c r="BO48" i="1"/>
  <c r="CN48" i="1" s="1"/>
  <c r="BN48" i="1"/>
  <c r="CM48" i="1" s="1"/>
  <c r="CX48" i="1" s="1"/>
  <c r="BQ48" i="1"/>
  <c r="CP48" i="1" s="1"/>
  <c r="DA48" i="1" s="1"/>
  <c r="DC48" i="1" s="1"/>
  <c r="BJ48" i="1"/>
  <c r="CI48" i="1" s="1"/>
  <c r="CT48" i="1" s="1"/>
  <c r="BI48" i="1"/>
  <c r="CH48" i="1" s="1"/>
  <c r="CS48" i="1" s="1"/>
  <c r="BM48" i="1"/>
  <c r="CL48" i="1" s="1"/>
  <c r="CW48" i="1" s="1"/>
  <c r="BK48" i="1"/>
  <c r="CJ48" i="1" s="1"/>
  <c r="CU48" i="1" s="1"/>
  <c r="BL48" i="1"/>
  <c r="CK48" i="1" s="1"/>
  <c r="CV48" i="1" s="1"/>
  <c r="BP48" i="1"/>
  <c r="CO48" i="1" s="1"/>
  <c r="BN38" i="1"/>
  <c r="CM38" i="1" s="1"/>
  <c r="CX38" i="1" s="1"/>
  <c r="BJ38" i="1"/>
  <c r="CI38" i="1" s="1"/>
  <c r="CT38" i="1" s="1"/>
  <c r="BK38" i="1"/>
  <c r="CJ38" i="1" s="1"/>
  <c r="CU38" i="1" s="1"/>
  <c r="BL38" i="1"/>
  <c r="CK38" i="1" s="1"/>
  <c r="CV38" i="1" s="1"/>
  <c r="BO38" i="1"/>
  <c r="CN38" i="1" s="1"/>
  <c r="BH38" i="1"/>
  <c r="CG38" i="1" s="1"/>
  <c r="BM38" i="1"/>
  <c r="CL38" i="1" s="1"/>
  <c r="CW38" i="1" s="1"/>
  <c r="BP38" i="1"/>
  <c r="CO38" i="1" s="1"/>
  <c r="BQ38" i="1"/>
  <c r="CP38" i="1" s="1"/>
  <c r="DA38" i="1" s="1"/>
  <c r="DC38" i="1" s="1"/>
  <c r="BI38" i="1"/>
  <c r="CH38" i="1" s="1"/>
  <c r="CS38" i="1" s="1"/>
  <c r="BL33" i="1"/>
  <c r="CK33" i="1" s="1"/>
  <c r="BO33" i="1"/>
  <c r="CN33" i="1" s="1"/>
  <c r="BJ33" i="1"/>
  <c r="CI33" i="1" s="1"/>
  <c r="BP33" i="1"/>
  <c r="CO33" i="1" s="1"/>
  <c r="BH33" i="1"/>
  <c r="CG33" i="1" s="1"/>
  <c r="BK33" i="1"/>
  <c r="CJ33" i="1" s="1"/>
  <c r="BI33" i="1"/>
  <c r="CH33" i="1" s="1"/>
  <c r="BN33" i="1"/>
  <c r="CM33" i="1" s="1"/>
  <c r="BQ33" i="1"/>
  <c r="CP33" i="1" s="1"/>
  <c r="BM33" i="1"/>
  <c r="CL33" i="1" s="1"/>
  <c r="BP26" i="1"/>
  <c r="CO26" i="1" s="1"/>
  <c r="CZ26" i="1" s="1"/>
  <c r="BO26" i="1"/>
  <c r="CN26" i="1" s="1"/>
  <c r="CY26" i="1" s="1"/>
  <c r="BH26" i="1"/>
  <c r="CG26" i="1" s="1"/>
  <c r="CR26" i="1" s="1"/>
  <c r="BJ26" i="1"/>
  <c r="CI26" i="1" s="1"/>
  <c r="CT26" i="1" s="1"/>
  <c r="BQ26" i="1"/>
  <c r="CP26" i="1" s="1"/>
  <c r="DA26" i="1" s="1"/>
  <c r="DC26" i="1" s="1"/>
  <c r="BN26" i="1"/>
  <c r="CM26" i="1" s="1"/>
  <c r="CX26" i="1" s="1"/>
  <c r="BI26" i="1"/>
  <c r="CH26" i="1" s="1"/>
  <c r="CS26" i="1" s="1"/>
  <c r="BM26" i="1"/>
  <c r="CL26" i="1" s="1"/>
  <c r="CW26" i="1" s="1"/>
  <c r="BK26" i="1"/>
  <c r="CJ26" i="1" s="1"/>
  <c r="CU26" i="1" s="1"/>
  <c r="BL26" i="1"/>
  <c r="CK26" i="1" s="1"/>
  <c r="CV26" i="1" s="1"/>
  <c r="BM31" i="1"/>
  <c r="CL31" i="1" s="1"/>
  <c r="CW31" i="1" s="1"/>
  <c r="BK31" i="1"/>
  <c r="CJ31" i="1" s="1"/>
  <c r="BP31" i="1"/>
  <c r="CO31" i="1" s="1"/>
  <c r="CZ31" i="1" s="1"/>
  <c r="BL31" i="1"/>
  <c r="CK31" i="1" s="1"/>
  <c r="CV31" i="1" s="1"/>
  <c r="BH31" i="1"/>
  <c r="BQ31" i="1"/>
  <c r="CP31" i="1" s="1"/>
  <c r="DA31" i="1" s="1"/>
  <c r="BN31" i="1"/>
  <c r="CM31" i="1" s="1"/>
  <c r="CX31" i="1" s="1"/>
  <c r="BI31" i="1"/>
  <c r="CH31" i="1" s="1"/>
  <c r="CS31" i="1" s="1"/>
  <c r="BO31" i="1"/>
  <c r="CN31" i="1" s="1"/>
  <c r="CY31" i="1" s="1"/>
  <c r="BJ31" i="1"/>
  <c r="CI31" i="1" s="1"/>
  <c r="BP15" i="1"/>
  <c r="CO15" i="1" s="1"/>
  <c r="CZ15" i="1" s="1"/>
  <c r="BK15" i="1"/>
  <c r="CJ15" i="1" s="1"/>
  <c r="CU15" i="1" s="1"/>
  <c r="BJ15" i="1"/>
  <c r="CI15" i="1" s="1"/>
  <c r="CT15" i="1" s="1"/>
  <c r="BQ15" i="1"/>
  <c r="CP15" i="1" s="1"/>
  <c r="BH15" i="1"/>
  <c r="CG15" i="1" s="1"/>
  <c r="CR15" i="1" s="1"/>
  <c r="BL15" i="1"/>
  <c r="CK15" i="1" s="1"/>
  <c r="CV15" i="1" s="1"/>
  <c r="BO15" i="1"/>
  <c r="CN15" i="1" s="1"/>
  <c r="CY15" i="1" s="1"/>
  <c r="BM15" i="1"/>
  <c r="CL15" i="1" s="1"/>
  <c r="BI15" i="1"/>
  <c r="CH15" i="1" s="1"/>
  <c r="CS15" i="1" s="1"/>
  <c r="BN15" i="1"/>
  <c r="CM15" i="1" s="1"/>
  <c r="CX15" i="1" s="1"/>
  <c r="BM29" i="1"/>
  <c r="CL29" i="1" s="1"/>
  <c r="CW29" i="1" s="1"/>
  <c r="BH29" i="1"/>
  <c r="CG29" i="1" s="1"/>
  <c r="CR29" i="1" s="1"/>
  <c r="BP29" i="1"/>
  <c r="CO29" i="1" s="1"/>
  <c r="CZ29" i="1" s="1"/>
  <c r="BO29" i="1"/>
  <c r="CN29" i="1" s="1"/>
  <c r="CY29" i="1" s="1"/>
  <c r="BQ29" i="1"/>
  <c r="CP29" i="1" s="1"/>
  <c r="DA29" i="1" s="1"/>
  <c r="DC29" i="1" s="1"/>
  <c r="BL29" i="1"/>
  <c r="CK29" i="1" s="1"/>
  <c r="CV29" i="1" s="1"/>
  <c r="BK29" i="1"/>
  <c r="CJ29" i="1" s="1"/>
  <c r="CU29" i="1" s="1"/>
  <c r="BI29" i="1"/>
  <c r="CH29" i="1" s="1"/>
  <c r="CS29" i="1" s="1"/>
  <c r="BJ29" i="1"/>
  <c r="CI29" i="1" s="1"/>
  <c r="CT29" i="1" s="1"/>
  <c r="BN29" i="1"/>
  <c r="CM29" i="1" s="1"/>
  <c r="CX29" i="1" s="1"/>
  <c r="AV16" i="1"/>
  <c r="AQ38" i="1"/>
  <c r="BK42" i="1"/>
  <c r="CJ42" i="1" s="1"/>
  <c r="CU42" i="1" s="1"/>
  <c r="BN42" i="1"/>
  <c r="CM42" i="1" s="1"/>
  <c r="CX42" i="1" s="1"/>
  <c r="BJ42" i="1"/>
  <c r="CI42" i="1" s="1"/>
  <c r="CT42" i="1" s="1"/>
  <c r="BM42" i="1"/>
  <c r="CL42" i="1" s="1"/>
  <c r="CW42" i="1" s="1"/>
  <c r="BQ42" i="1"/>
  <c r="CP42" i="1" s="1"/>
  <c r="DA42" i="1" s="1"/>
  <c r="DC42" i="1" s="1"/>
  <c r="BO42" i="1"/>
  <c r="CN42" i="1" s="1"/>
  <c r="CY42" i="1" s="1"/>
  <c r="BI42" i="1"/>
  <c r="CH42" i="1" s="1"/>
  <c r="CS42" i="1" s="1"/>
  <c r="BP42" i="1"/>
  <c r="CO42" i="1" s="1"/>
  <c r="CZ42" i="1" s="1"/>
  <c r="BH42" i="1"/>
  <c r="CG42" i="1" s="1"/>
  <c r="CR42" i="1" s="1"/>
  <c r="BL42" i="1"/>
  <c r="CK42" i="1" s="1"/>
  <c r="CV42" i="1" s="1"/>
  <c r="BO51" i="1"/>
  <c r="CN51" i="1" s="1"/>
  <c r="BM51" i="1"/>
  <c r="CL51" i="1" s="1"/>
  <c r="CW51" i="1" s="1"/>
  <c r="BN51" i="1"/>
  <c r="CM51" i="1" s="1"/>
  <c r="CX51" i="1" s="1"/>
  <c r="BJ51" i="1"/>
  <c r="CI51" i="1" s="1"/>
  <c r="CT51" i="1" s="1"/>
  <c r="BI51" i="1"/>
  <c r="CH51" i="1" s="1"/>
  <c r="CS51" i="1" s="1"/>
  <c r="BH51" i="1"/>
  <c r="CG51" i="1" s="1"/>
  <c r="CR51" i="1" s="1"/>
  <c r="BK51" i="1"/>
  <c r="CJ51" i="1" s="1"/>
  <c r="CU51" i="1" s="1"/>
  <c r="BP51" i="1"/>
  <c r="CO51" i="1" s="1"/>
  <c r="CZ51" i="1" s="1"/>
  <c r="BL51" i="1"/>
  <c r="CK51" i="1" s="1"/>
  <c r="BQ51" i="1"/>
  <c r="CP51" i="1" s="1"/>
  <c r="DA51" i="1" s="1"/>
  <c r="AW16" i="1"/>
  <c r="AX38" i="1"/>
  <c r="AQ16" i="1"/>
  <c r="AY38" i="1"/>
  <c r="BL40" i="1"/>
  <c r="CK40" i="1" s="1"/>
  <c r="BN40" i="1"/>
  <c r="CM40" i="1" s="1"/>
  <c r="BQ40" i="1"/>
  <c r="CP40" i="1" s="1"/>
  <c r="BO40" i="1"/>
  <c r="CN40" i="1" s="1"/>
  <c r="BJ40" i="1"/>
  <c r="CI40" i="1" s="1"/>
  <c r="BM40" i="1"/>
  <c r="CL40" i="1" s="1"/>
  <c r="BH40" i="1"/>
  <c r="CG40" i="1" s="1"/>
  <c r="BK40" i="1"/>
  <c r="CJ40" i="1" s="1"/>
  <c r="BI40" i="1"/>
  <c r="CH40" i="1" s="1"/>
  <c r="BP40" i="1"/>
  <c r="CO40" i="1" s="1"/>
  <c r="BJ24" i="1"/>
  <c r="CI24" i="1" s="1"/>
  <c r="CT24" i="1" s="1"/>
  <c r="BQ24" i="1"/>
  <c r="CP24" i="1" s="1"/>
  <c r="DA24" i="1" s="1"/>
  <c r="DC24" i="1" s="1"/>
  <c r="BN24" i="1"/>
  <c r="CM24" i="1" s="1"/>
  <c r="CX24" i="1" s="1"/>
  <c r="BI24" i="1"/>
  <c r="CH24" i="1" s="1"/>
  <c r="BM24" i="1"/>
  <c r="CL24" i="1" s="1"/>
  <c r="CW24" i="1" s="1"/>
  <c r="BL24" i="1"/>
  <c r="CK24" i="1" s="1"/>
  <c r="CV24" i="1" s="1"/>
  <c r="BP24" i="1"/>
  <c r="CO24" i="1" s="1"/>
  <c r="CZ24" i="1" s="1"/>
  <c r="BK24" i="1"/>
  <c r="CJ24" i="1" s="1"/>
  <c r="CU24" i="1" s="1"/>
  <c r="BH24" i="1"/>
  <c r="CG24" i="1" s="1"/>
  <c r="BO24" i="1"/>
  <c r="CN24" i="1" s="1"/>
  <c r="CY24" i="1" s="1"/>
  <c r="BM20" i="1"/>
  <c r="CL20" i="1" s="1"/>
  <c r="CW20" i="1" s="1"/>
  <c r="BN20" i="1"/>
  <c r="CM20" i="1" s="1"/>
  <c r="CX20" i="1" s="1"/>
  <c r="BP20" i="1"/>
  <c r="CO20" i="1" s="1"/>
  <c r="CZ20" i="1" s="1"/>
  <c r="BL20" i="1"/>
  <c r="CK20" i="1" s="1"/>
  <c r="CV20" i="1" s="1"/>
  <c r="BH20" i="1"/>
  <c r="CG20" i="1" s="1"/>
  <c r="CR20" i="1" s="1"/>
  <c r="BQ20" i="1"/>
  <c r="CP20" i="1" s="1"/>
  <c r="DA20" i="1" s="1"/>
  <c r="DC20" i="1" s="1"/>
  <c r="BJ20" i="1"/>
  <c r="CI20" i="1" s="1"/>
  <c r="CT20" i="1" s="1"/>
  <c r="BO20" i="1"/>
  <c r="CN20" i="1" s="1"/>
  <c r="CY20" i="1" s="1"/>
  <c r="BK20" i="1"/>
  <c r="CJ20" i="1" s="1"/>
  <c r="CU20" i="1" s="1"/>
  <c r="BI20" i="1"/>
  <c r="CH20" i="1" s="1"/>
  <c r="CS20" i="1" s="1"/>
  <c r="BB19" i="1"/>
  <c r="CB19" i="1"/>
  <c r="CD19" i="1" s="1"/>
  <c r="BY19" i="1"/>
  <c r="AU16" i="1"/>
  <c r="AZ53" i="1"/>
  <c r="AR36" i="1"/>
  <c r="AY16" i="1"/>
  <c r="AS16" i="1"/>
  <c r="AX34" i="1"/>
  <c r="AZ16" i="1"/>
  <c r="DB46" i="1"/>
  <c r="CZ48" i="1"/>
  <c r="CY48" i="1"/>
  <c r="AR16" i="1"/>
  <c r="AW11" i="1"/>
  <c r="AT56" i="1"/>
  <c r="CR55" i="1"/>
  <c r="AR54" i="1"/>
  <c r="AY21" i="1"/>
  <c r="CA41" i="1"/>
  <c r="CZ41" i="1"/>
  <c r="BY8" i="1"/>
  <c r="CX8" i="1"/>
  <c r="BU18" i="1"/>
  <c r="CT18" i="1"/>
  <c r="BY27" i="1"/>
  <c r="CX27" i="1"/>
  <c r="CA19" i="1"/>
  <c r="CZ19" i="1"/>
  <c r="BT32" i="1"/>
  <c r="CS32" i="1"/>
  <c r="CA28" i="1"/>
  <c r="CZ28" i="1"/>
  <c r="CA27" i="1"/>
  <c r="CZ27" i="1"/>
  <c r="BY47" i="1"/>
  <c r="CX47" i="1"/>
  <c r="BX13" i="1"/>
  <c r="CW13" i="1"/>
  <c r="BX19" i="1"/>
  <c r="CW19" i="1"/>
  <c r="BW19" i="1"/>
  <c r="CV19" i="1"/>
  <c r="BU32" i="1"/>
  <c r="CT32" i="1"/>
  <c r="BU13" i="1"/>
  <c r="CT13" i="1"/>
  <c r="BY38" i="1"/>
  <c r="BW41" i="1"/>
  <c r="CV41" i="1"/>
  <c r="BW29" i="1"/>
  <c r="BZ28" i="1"/>
  <c r="CY28" i="1"/>
  <c r="BZ18" i="1"/>
  <c r="CY18" i="1"/>
  <c r="BS10" i="1"/>
  <c r="CR10" i="1"/>
  <c r="BU55" i="1"/>
  <c r="BX27" i="1"/>
  <c r="CW27" i="1"/>
  <c r="BV27" i="1"/>
  <c r="CU27" i="1"/>
  <c r="CA35" i="1"/>
  <c r="CZ35" i="1"/>
  <c r="CB35" i="1"/>
  <c r="CD35" i="1" s="1"/>
  <c r="DA35" i="1"/>
  <c r="CB47" i="1"/>
  <c r="CD47" i="1" s="1"/>
  <c r="DA47" i="1"/>
  <c r="BY28" i="1"/>
  <c r="CX28" i="1"/>
  <c r="BX9" i="1"/>
  <c r="CW9" i="1"/>
  <c r="BV9" i="1"/>
  <c r="CU9" i="1"/>
  <c r="BW28" i="1"/>
  <c r="CV28" i="1"/>
  <c r="BZ32" i="1"/>
  <c r="CY32" i="1"/>
  <c r="BT13" i="1"/>
  <c r="CS13" i="1"/>
  <c r="BV31" i="1"/>
  <c r="CU31" i="1"/>
  <c r="CB10" i="1"/>
  <c r="CD10" i="1" s="1"/>
  <c r="DA10" i="1"/>
  <c r="DC10" i="1" s="1"/>
  <c r="CA10" i="1"/>
  <c r="CZ10" i="1"/>
  <c r="CC46" i="1"/>
  <c r="BS8" i="1"/>
  <c r="CR8" i="1"/>
  <c r="BZ35" i="1"/>
  <c r="CY35" i="1"/>
  <c r="BW47" i="1"/>
  <c r="CV47" i="1"/>
  <c r="BY41" i="1"/>
  <c r="CX41" i="1"/>
  <c r="BT41" i="1"/>
  <c r="CS41" i="1"/>
  <c r="BZ47" i="1"/>
  <c r="CY47" i="1"/>
  <c r="BU31" i="1"/>
  <c r="CT31" i="1"/>
  <c r="BU41" i="1"/>
  <c r="CT41" i="1"/>
  <c r="BZ8" i="1"/>
  <c r="CY8" i="1"/>
  <c r="CA18" i="1"/>
  <c r="CZ18" i="1"/>
  <c r="CA8" i="1"/>
  <c r="CZ8" i="1"/>
  <c r="BT27" i="1"/>
  <c r="CS27" i="1"/>
  <c r="BU35" i="1"/>
  <c r="CT35" i="1"/>
  <c r="BY42" i="1"/>
  <c r="BS47" i="1"/>
  <c r="CR47" i="1"/>
  <c r="BY9" i="1"/>
  <c r="CX9" i="1"/>
  <c r="BW32" i="1"/>
  <c r="CV32" i="1"/>
  <c r="BV32" i="1"/>
  <c r="CU32" i="1"/>
  <c r="BY13" i="1"/>
  <c r="CX13" i="1"/>
  <c r="BV13" i="1"/>
  <c r="CU13" i="1"/>
  <c r="BS19" i="1"/>
  <c r="CR19" i="1"/>
  <c r="BB31" i="1"/>
  <c r="BU19" i="1"/>
  <c r="CT19" i="1"/>
  <c r="BW9" i="1"/>
  <c r="CV9" i="1"/>
  <c r="BZ19" i="1"/>
  <c r="CY19" i="1"/>
  <c r="CB13" i="1"/>
  <c r="CD13" i="1" s="1"/>
  <c r="DA13" i="1"/>
  <c r="DC13" i="1" s="1"/>
  <c r="CB38" i="1"/>
  <c r="CD38" i="1" s="1"/>
  <c r="BX18" i="1"/>
  <c r="CW18" i="1"/>
  <c r="BX35" i="1"/>
  <c r="CW35" i="1"/>
  <c r="BV28" i="1"/>
  <c r="CU28" i="1"/>
  <c r="BS18" i="1"/>
  <c r="CR18" i="1"/>
  <c r="BW35" i="1"/>
  <c r="CV35" i="1"/>
  <c r="BW10" i="1"/>
  <c r="CV10" i="1"/>
  <c r="BZ41" i="1"/>
  <c r="CY41" i="1"/>
  <c r="BX8" i="1"/>
  <c r="CW8" i="1"/>
  <c r="BT18" i="1"/>
  <c r="CS18" i="1"/>
  <c r="BT8" i="1"/>
  <c r="CS8" i="1"/>
  <c r="BS27" i="1"/>
  <c r="CR27" i="1"/>
  <c r="BS35" i="1"/>
  <c r="CR35" i="1"/>
  <c r="CA47" i="1"/>
  <c r="CZ47" i="1"/>
  <c r="BY10" i="1"/>
  <c r="CX10" i="1"/>
  <c r="CB9" i="1"/>
  <c r="CD9" i="1" s="1"/>
  <c r="DA9" i="1"/>
  <c r="DC9" i="1" s="1"/>
  <c r="CA32" i="1"/>
  <c r="CZ32" i="1"/>
  <c r="CV51" i="1"/>
  <c r="BZ13" i="1"/>
  <c r="CY13" i="1"/>
  <c r="BW13" i="1"/>
  <c r="CV13" i="1"/>
  <c r="BT19" i="1"/>
  <c r="CS19" i="1"/>
  <c r="BV55" i="1"/>
  <c r="CU55" i="1"/>
  <c r="BZ10" i="1"/>
  <c r="CY10" i="1"/>
  <c r="CB32" i="1"/>
  <c r="CD32" i="1" s="1"/>
  <c r="DA32" i="1"/>
  <c r="DC32" i="1" s="1"/>
  <c r="BW8" i="1"/>
  <c r="CV8" i="1"/>
  <c r="BU27" i="1"/>
  <c r="CT27" i="1"/>
  <c r="BV41" i="1"/>
  <c r="CU41" i="1"/>
  <c r="CB41" i="1"/>
  <c r="CD41" i="1" s="1"/>
  <c r="DA41" i="1"/>
  <c r="DC41" i="1" s="1"/>
  <c r="BW18" i="1"/>
  <c r="CV18" i="1"/>
  <c r="CB18" i="1"/>
  <c r="CD18" i="1" s="1"/>
  <c r="DA18" i="1"/>
  <c r="DC18" i="1" s="1"/>
  <c r="CB28" i="1"/>
  <c r="CD28" i="1" s="1"/>
  <c r="DA28" i="1"/>
  <c r="DC28" i="1" s="1"/>
  <c r="CB27" i="1"/>
  <c r="CD27" i="1" s="1"/>
  <c r="DA27" i="1"/>
  <c r="DC27" i="1" s="1"/>
  <c r="BV35" i="1"/>
  <c r="CU35" i="1"/>
  <c r="BU42" i="1"/>
  <c r="BT47" i="1"/>
  <c r="CS47" i="1"/>
  <c r="BU47" i="1"/>
  <c r="CT47" i="1"/>
  <c r="BZ9" i="1"/>
  <c r="CY9" i="1"/>
  <c r="BY22" i="1"/>
  <c r="CX22" i="1"/>
  <c r="BX32" i="1"/>
  <c r="CW32" i="1"/>
  <c r="BU10" i="1"/>
  <c r="CT10" i="1"/>
  <c r="BX28" i="1"/>
  <c r="CW28" i="1"/>
  <c r="BS13" i="1"/>
  <c r="CR13" i="1"/>
  <c r="BS28" i="1"/>
  <c r="CR28" i="1"/>
  <c r="BU26" i="1"/>
  <c r="BX10" i="1"/>
  <c r="CW10" i="1"/>
  <c r="CY51" i="1"/>
  <c r="BX15" i="1"/>
  <c r="CW15" i="1"/>
  <c r="CA9" i="1"/>
  <c r="CZ9" i="1"/>
  <c r="BT10" i="1"/>
  <c r="CS10" i="1"/>
  <c r="BV29" i="1"/>
  <c r="BT9" i="1"/>
  <c r="CS9" i="1"/>
  <c r="BS32" i="1"/>
  <c r="CR32" i="1"/>
  <c r="BT28" i="1"/>
  <c r="CS28" i="1"/>
  <c r="BY48" i="1"/>
  <c r="BX41" i="1"/>
  <c r="CW41" i="1"/>
  <c r="BS41" i="1"/>
  <c r="CR41" i="1"/>
  <c r="CB8" i="1"/>
  <c r="CD8" i="1" s="1"/>
  <c r="DA8" i="1"/>
  <c r="DC8" i="1" s="1"/>
  <c r="BV8" i="1"/>
  <c r="CU8" i="1"/>
  <c r="BY18" i="1"/>
  <c r="CX18" i="1"/>
  <c r="BV18" i="1"/>
  <c r="CU18" i="1"/>
  <c r="BZ27" i="1"/>
  <c r="CY27" i="1"/>
  <c r="BW27" i="1"/>
  <c r="CV27" i="1"/>
  <c r="BY35" i="1"/>
  <c r="CX35" i="1"/>
  <c r="BT35" i="1"/>
  <c r="CS35" i="1"/>
  <c r="BX47" i="1"/>
  <c r="CW47" i="1"/>
  <c r="BV47" i="1"/>
  <c r="CU47" i="1"/>
  <c r="BS9" i="1"/>
  <c r="CR9" i="1"/>
  <c r="BU9" i="1"/>
  <c r="CT9" i="1"/>
  <c r="BY32" i="1"/>
  <c r="CX32" i="1"/>
  <c r="BV10" i="1"/>
  <c r="CU10" i="1"/>
  <c r="BU28" i="1"/>
  <c r="CT28" i="1"/>
  <c r="CA13" i="1"/>
  <c r="CZ13" i="1"/>
  <c r="AZ21" i="1"/>
  <c r="BB21" i="1" s="1"/>
  <c r="AV11" i="1"/>
  <c r="AS21" i="1"/>
  <c r="AQ21" i="1"/>
  <c r="AY39" i="1"/>
  <c r="AU34" i="1"/>
  <c r="BB24" i="1"/>
  <c r="AU11" i="1"/>
  <c r="BA19" i="1"/>
  <c r="AQ11" i="1"/>
  <c r="AY54" i="1"/>
  <c r="AZ17" i="1"/>
  <c r="AQ54" i="1"/>
  <c r="AY11" i="1"/>
  <c r="AZ54" i="1"/>
  <c r="BA31" i="1"/>
  <c r="AV17" i="1"/>
  <c r="AY49" i="1"/>
  <c r="AS54" i="1"/>
  <c r="AY30" i="1"/>
  <c r="AZ11" i="1"/>
  <c r="BB11" i="1" s="1"/>
  <c r="AU49" i="1"/>
  <c r="AU54" i="1"/>
  <c r="AW12" i="1"/>
  <c r="AU21" i="1"/>
  <c r="AS11" i="1"/>
  <c r="AV49" i="1"/>
  <c r="AV54" i="1"/>
  <c r="AT11" i="1"/>
  <c r="AX49" i="1"/>
  <c r="AT54" i="1"/>
  <c r="AZ36" i="1"/>
  <c r="AR30" i="1"/>
  <c r="AR11" i="1"/>
  <c r="AX21" i="1"/>
  <c r="AX11" i="1"/>
  <c r="AS49" i="1"/>
  <c r="AW54" i="1"/>
  <c r="AR39" i="1"/>
  <c r="BB49" i="1"/>
  <c r="BB53" i="1"/>
  <c r="BA41" i="1"/>
  <c r="BA55" i="1"/>
  <c r="BB47" i="1"/>
  <c r="AU56" i="1"/>
  <c r="BB51" i="1"/>
  <c r="AZ23" i="1"/>
  <c r="AY23" i="1"/>
  <c r="AS53" i="1"/>
  <c r="AW21" i="1"/>
  <c r="BB48" i="1"/>
  <c r="BB55" i="1"/>
  <c r="BA27" i="1"/>
  <c r="AT49" i="1"/>
  <c r="AX54" i="1"/>
  <c r="AU36" i="1"/>
  <c r="AS36" i="1"/>
  <c r="BB9" i="1"/>
  <c r="BA20" i="1"/>
  <c r="AZ30" i="1"/>
  <c r="AZ39" i="1"/>
  <c r="AQ34" i="1"/>
  <c r="BA22" i="1"/>
  <c r="AX12" i="1"/>
  <c r="AX56" i="1"/>
  <c r="AV56" i="1"/>
  <c r="AU23" i="1"/>
  <c r="AT53" i="1"/>
  <c r="AQ17" i="1"/>
  <c r="AQ50" i="1"/>
  <c r="AX50" i="1"/>
  <c r="AV50" i="1"/>
  <c r="AW50" i="1"/>
  <c r="AY50" i="1"/>
  <c r="AU50" i="1"/>
  <c r="AT50" i="1"/>
  <c r="AS50" i="1"/>
  <c r="AZ50" i="1"/>
  <c r="AR50" i="1"/>
  <c r="BA42" i="1"/>
  <c r="AY25" i="1"/>
  <c r="AQ25" i="1"/>
  <c r="AX25" i="1"/>
  <c r="AW25" i="1"/>
  <c r="AV25" i="1"/>
  <c r="AZ25" i="1"/>
  <c r="AS25" i="1"/>
  <c r="AU25" i="1"/>
  <c r="AT25" i="1"/>
  <c r="BA48" i="1"/>
  <c r="BA10" i="1"/>
  <c r="BB26" i="1"/>
  <c r="BB28" i="1"/>
  <c r="BB27" i="1"/>
  <c r="BA35" i="1"/>
  <c r="AV43" i="1"/>
  <c r="AU43" i="1"/>
  <c r="AS43" i="1"/>
  <c r="AZ43" i="1"/>
  <c r="AQ43" i="1"/>
  <c r="AT43" i="1"/>
  <c r="AR43" i="1"/>
  <c r="AY43" i="1"/>
  <c r="AX43" i="1"/>
  <c r="AW43" i="1"/>
  <c r="AV36" i="1"/>
  <c r="AT36" i="1"/>
  <c r="AT45" i="1"/>
  <c r="AR45" i="1"/>
  <c r="AY45" i="1"/>
  <c r="AQ45" i="1"/>
  <c r="AZ45" i="1"/>
  <c r="AW45" i="1"/>
  <c r="AV45" i="1"/>
  <c r="AS45" i="1"/>
  <c r="AX45" i="1"/>
  <c r="AU45" i="1"/>
  <c r="AQ30" i="1"/>
  <c r="AS30" i="1"/>
  <c r="AS39" i="1"/>
  <c r="AY34" i="1"/>
  <c r="AZ12" i="1"/>
  <c r="AQ56" i="1"/>
  <c r="AW56" i="1"/>
  <c r="AV23" i="1"/>
  <c r="AU53" i="1"/>
  <c r="BB13" i="1"/>
  <c r="AR17" i="1"/>
  <c r="BB38" i="1"/>
  <c r="AW37" i="1"/>
  <c r="AQ37" i="1"/>
  <c r="AV37" i="1"/>
  <c r="AU37" i="1"/>
  <c r="AT37" i="1"/>
  <c r="AS37" i="1"/>
  <c r="AZ37" i="1"/>
  <c r="AY37" i="1"/>
  <c r="AR37" i="1"/>
  <c r="AX37" i="1"/>
  <c r="BA8" i="1"/>
  <c r="AS44" i="1"/>
  <c r="AX44" i="1"/>
  <c r="AT44" i="1"/>
  <c r="AQ44" i="1"/>
  <c r="AZ44" i="1"/>
  <c r="AY44" i="1"/>
  <c r="AW44" i="1"/>
  <c r="AR44" i="1"/>
  <c r="AV44" i="1"/>
  <c r="AU44" i="1"/>
  <c r="AW36" i="1"/>
  <c r="BA9" i="1"/>
  <c r="AU30" i="1"/>
  <c r="AT30" i="1"/>
  <c r="AT39" i="1"/>
  <c r="AR34" i="1"/>
  <c r="AS12" i="1"/>
  <c r="AQ12" i="1"/>
  <c r="AY56" i="1"/>
  <c r="BA51" i="1"/>
  <c r="AW23" i="1"/>
  <c r="AV53" i="1"/>
  <c r="AW53" i="1"/>
  <c r="AT17" i="1"/>
  <c r="AR25" i="1"/>
  <c r="AW49" i="1"/>
  <c r="BA47" i="1"/>
  <c r="AX36" i="1"/>
  <c r="BB20" i="1"/>
  <c r="AW39" i="1"/>
  <c r="AU39" i="1"/>
  <c r="AZ34" i="1"/>
  <c r="AR12" i="1"/>
  <c r="AY12" i="1"/>
  <c r="BB32" i="1"/>
  <c r="AR56" i="1"/>
  <c r="AX23" i="1"/>
  <c r="AQ53" i="1"/>
  <c r="AX53" i="1"/>
  <c r="AU17" i="1"/>
  <c r="BA29" i="1"/>
  <c r="AY14" i="1"/>
  <c r="AU14" i="1"/>
  <c r="AV14" i="1"/>
  <c r="AQ14" i="1"/>
  <c r="AT14" i="1"/>
  <c r="AS14" i="1"/>
  <c r="AX14" i="1"/>
  <c r="AZ14" i="1"/>
  <c r="AW14" i="1"/>
  <c r="AR14" i="1"/>
  <c r="BA18" i="1"/>
  <c r="BB35" i="1"/>
  <c r="AQ36" i="1"/>
  <c r="BA15" i="1"/>
  <c r="AV30" i="1"/>
  <c r="AX39" i="1"/>
  <c r="AV39" i="1"/>
  <c r="AS34" i="1"/>
  <c r="BB22" i="1"/>
  <c r="AT12" i="1"/>
  <c r="BA32" i="1"/>
  <c r="AZ56" i="1"/>
  <c r="AS23" i="1"/>
  <c r="AY53" i="1"/>
  <c r="AW17" i="1"/>
  <c r="BA28" i="1"/>
  <c r="BB18" i="1"/>
  <c r="BB41" i="1"/>
  <c r="BB29" i="1"/>
  <c r="AW52" i="1"/>
  <c r="AS52" i="1"/>
  <c r="AY52" i="1"/>
  <c r="AR52" i="1"/>
  <c r="AZ52" i="1"/>
  <c r="AV52" i="1"/>
  <c r="AT52" i="1"/>
  <c r="AQ52" i="1"/>
  <c r="AX52" i="1"/>
  <c r="AU52" i="1"/>
  <c r="AR49" i="1"/>
  <c r="AY36" i="1"/>
  <c r="AW30" i="1"/>
  <c r="AQ39" i="1"/>
  <c r="AV34" i="1"/>
  <c r="AT34" i="1"/>
  <c r="AU12" i="1"/>
  <c r="AS56" i="1"/>
  <c r="AQ23" i="1"/>
  <c r="AR53" i="1"/>
  <c r="AX17" i="1"/>
  <c r="BB8" i="1"/>
  <c r="BA26" i="1"/>
  <c r="AQ49" i="1"/>
  <c r="BB16" i="1"/>
  <c r="BB42" i="1"/>
  <c r="AW34" i="1"/>
  <c r="AY40" i="1"/>
  <c r="AZ40" i="1"/>
  <c r="AR40" i="1"/>
  <c r="AX40" i="1"/>
  <c r="AW40" i="1"/>
  <c r="AV40" i="1"/>
  <c r="AQ40" i="1"/>
  <c r="AU40" i="1"/>
  <c r="AT40" i="1"/>
  <c r="AS40" i="1"/>
  <c r="BA24" i="1"/>
  <c r="AT23" i="1"/>
  <c r="BA13" i="1"/>
  <c r="AY17" i="1"/>
  <c r="CA22" i="1" l="1"/>
  <c r="BZ15" i="1"/>
  <c r="BW55" i="1"/>
  <c r="BY55" i="1"/>
  <c r="BA38" i="1"/>
  <c r="CR38" i="1"/>
  <c r="CY38" i="1"/>
  <c r="DB38" i="1" s="1"/>
  <c r="CA15" i="1"/>
  <c r="BZ51" i="1"/>
  <c r="CA31" i="1"/>
  <c r="CB26" i="1"/>
  <c r="CD26" i="1" s="1"/>
  <c r="BU24" i="1"/>
  <c r="BW51" i="1"/>
  <c r="CZ38" i="1"/>
  <c r="BU38" i="1"/>
  <c r="BX42" i="1"/>
  <c r="BW48" i="1"/>
  <c r="BS48" i="1"/>
  <c r="BS26" i="1"/>
  <c r="BX51" i="1"/>
  <c r="BT29" i="1"/>
  <c r="BW31" i="1"/>
  <c r="BT22" i="1"/>
  <c r="BT38" i="1"/>
  <c r="BY15" i="1"/>
  <c r="CB48" i="1"/>
  <c r="CD48" i="1" s="1"/>
  <c r="CB55" i="1"/>
  <c r="CD55" i="1" s="1"/>
  <c r="BU15" i="1"/>
  <c r="BT26" i="1"/>
  <c r="BV38" i="1"/>
  <c r="BV22" i="1"/>
  <c r="BU29" i="1"/>
  <c r="BU48" i="1"/>
  <c r="BX29" i="1"/>
  <c r="BZ20" i="1"/>
  <c r="BV24" i="1"/>
  <c r="CB29" i="1"/>
  <c r="CD29" i="1" s="1"/>
  <c r="BX31" i="1"/>
  <c r="BY24" i="1"/>
  <c r="BW42" i="1"/>
  <c r="BZ31" i="1"/>
  <c r="BS42" i="1"/>
  <c r="BZ38" i="1"/>
  <c r="BV20" i="1"/>
  <c r="BY20" i="1"/>
  <c r="CB31" i="1"/>
  <c r="CD31" i="1" s="1"/>
  <c r="BS29" i="1"/>
  <c r="BY51" i="1"/>
  <c r="BX20" i="1"/>
  <c r="BT20" i="1"/>
  <c r="BZ42" i="1"/>
  <c r="BZ55" i="1"/>
  <c r="BY29" i="1"/>
  <c r="BV48" i="1"/>
  <c r="BX24" i="1"/>
  <c r="BZ29" i="1"/>
  <c r="CA51" i="1"/>
  <c r="BW26" i="1"/>
  <c r="BS38" i="1"/>
  <c r="BU51" i="1"/>
  <c r="CB20" i="1"/>
  <c r="CD20" i="1" s="1"/>
  <c r="BT31" i="1"/>
  <c r="CA29" i="1"/>
  <c r="BS15" i="1"/>
  <c r="BZ22" i="1"/>
  <c r="CA20" i="1"/>
  <c r="BY31" i="1"/>
  <c r="BT55" i="1"/>
  <c r="BV26" i="1"/>
  <c r="BW22" i="1"/>
  <c r="BT42" i="1"/>
  <c r="BP54" i="1"/>
  <c r="CO54" i="1" s="1"/>
  <c r="CZ54" i="1" s="1"/>
  <c r="BI54" i="1"/>
  <c r="CH54" i="1" s="1"/>
  <c r="BL54" i="1"/>
  <c r="CK54" i="1" s="1"/>
  <c r="CV54" i="1" s="1"/>
  <c r="BH54" i="1"/>
  <c r="CG54" i="1" s="1"/>
  <c r="CR54" i="1" s="1"/>
  <c r="BK54" i="1"/>
  <c r="CJ54" i="1" s="1"/>
  <c r="CU54" i="1" s="1"/>
  <c r="BO54" i="1"/>
  <c r="CN54" i="1" s="1"/>
  <c r="CY54" i="1" s="1"/>
  <c r="BM54" i="1"/>
  <c r="CL54" i="1" s="1"/>
  <c r="CW54" i="1" s="1"/>
  <c r="BN54" i="1"/>
  <c r="CM54" i="1" s="1"/>
  <c r="CX54" i="1" s="1"/>
  <c r="BJ54" i="1"/>
  <c r="CI54" i="1" s="1"/>
  <c r="CT54" i="1" s="1"/>
  <c r="BQ54" i="1"/>
  <c r="CP54" i="1" s="1"/>
  <c r="DA54" i="1" s="1"/>
  <c r="DC54" i="1" s="1"/>
  <c r="BP49" i="1"/>
  <c r="CO49" i="1" s="1"/>
  <c r="CZ49" i="1" s="1"/>
  <c r="BL49" i="1"/>
  <c r="CK49" i="1" s="1"/>
  <c r="CV49" i="1" s="1"/>
  <c r="BO49" i="1"/>
  <c r="CN49" i="1" s="1"/>
  <c r="CY49" i="1" s="1"/>
  <c r="BH49" i="1"/>
  <c r="CG49" i="1" s="1"/>
  <c r="CR49" i="1" s="1"/>
  <c r="BQ49" i="1"/>
  <c r="CP49" i="1" s="1"/>
  <c r="BK49" i="1"/>
  <c r="CJ49" i="1" s="1"/>
  <c r="CU49" i="1" s="1"/>
  <c r="BI49" i="1"/>
  <c r="CH49" i="1" s="1"/>
  <c r="CS49" i="1" s="1"/>
  <c r="BJ49" i="1"/>
  <c r="CI49" i="1" s="1"/>
  <c r="CT49" i="1" s="1"/>
  <c r="BM49" i="1"/>
  <c r="CL49" i="1" s="1"/>
  <c r="CW49" i="1" s="1"/>
  <c r="BN49" i="1"/>
  <c r="CM49" i="1" s="1"/>
  <c r="CX49" i="1" s="1"/>
  <c r="BP17" i="1"/>
  <c r="CO17" i="1" s="1"/>
  <c r="CZ17" i="1" s="1"/>
  <c r="BQ17" i="1"/>
  <c r="CP17" i="1" s="1"/>
  <c r="DA17" i="1" s="1"/>
  <c r="DC17" i="1" s="1"/>
  <c r="BH17" i="1"/>
  <c r="CG17" i="1" s="1"/>
  <c r="CR17" i="1" s="1"/>
  <c r="BK17" i="1"/>
  <c r="CJ17" i="1" s="1"/>
  <c r="CU17" i="1" s="1"/>
  <c r="BI17" i="1"/>
  <c r="CH17" i="1" s="1"/>
  <c r="CS17" i="1" s="1"/>
  <c r="BJ17" i="1"/>
  <c r="CI17" i="1" s="1"/>
  <c r="BO17" i="1"/>
  <c r="CN17" i="1" s="1"/>
  <c r="CY17" i="1" s="1"/>
  <c r="BM17" i="1"/>
  <c r="CL17" i="1" s="1"/>
  <c r="CW17" i="1" s="1"/>
  <c r="BL17" i="1"/>
  <c r="CK17" i="1" s="1"/>
  <c r="CV17" i="1" s="1"/>
  <c r="BN17" i="1"/>
  <c r="CM17" i="1" s="1"/>
  <c r="CX17" i="1" s="1"/>
  <c r="BJ34" i="1"/>
  <c r="CI34" i="1" s="1"/>
  <c r="CT34" i="1" s="1"/>
  <c r="BM34" i="1"/>
  <c r="CL34" i="1" s="1"/>
  <c r="CW34" i="1" s="1"/>
  <c r="BK34" i="1"/>
  <c r="CJ34" i="1" s="1"/>
  <c r="CU34" i="1" s="1"/>
  <c r="BN34" i="1"/>
  <c r="CM34" i="1" s="1"/>
  <c r="CX34" i="1" s="1"/>
  <c r="BQ34" i="1"/>
  <c r="CP34" i="1" s="1"/>
  <c r="DA34" i="1" s="1"/>
  <c r="DC34" i="1" s="1"/>
  <c r="BL34" i="1"/>
  <c r="CK34" i="1" s="1"/>
  <c r="CV34" i="1" s="1"/>
  <c r="BI34" i="1"/>
  <c r="CH34" i="1" s="1"/>
  <c r="CS34" i="1" s="1"/>
  <c r="BH34" i="1"/>
  <c r="CG34" i="1" s="1"/>
  <c r="CR34" i="1" s="1"/>
  <c r="BO34" i="1"/>
  <c r="CN34" i="1" s="1"/>
  <c r="BP34" i="1"/>
  <c r="CO34" i="1" s="1"/>
  <c r="CZ34" i="1" s="1"/>
  <c r="BM53" i="1"/>
  <c r="CL53" i="1" s="1"/>
  <c r="CW53" i="1" s="1"/>
  <c r="BN53" i="1"/>
  <c r="CM53" i="1" s="1"/>
  <c r="CX53" i="1" s="1"/>
  <c r="BP53" i="1"/>
  <c r="CO53" i="1" s="1"/>
  <c r="CZ53" i="1" s="1"/>
  <c r="BL53" i="1"/>
  <c r="CK53" i="1" s="1"/>
  <c r="CV53" i="1" s="1"/>
  <c r="BO53" i="1"/>
  <c r="CN53" i="1" s="1"/>
  <c r="CY53" i="1" s="1"/>
  <c r="BH53" i="1"/>
  <c r="CG53" i="1" s="1"/>
  <c r="CR53" i="1" s="1"/>
  <c r="BQ53" i="1"/>
  <c r="CP53" i="1" s="1"/>
  <c r="BJ53" i="1"/>
  <c r="CI53" i="1" s="1"/>
  <c r="CT53" i="1" s="1"/>
  <c r="BK53" i="1"/>
  <c r="CJ53" i="1" s="1"/>
  <c r="CU53" i="1" s="1"/>
  <c r="BI53" i="1"/>
  <c r="CH53" i="1" s="1"/>
  <c r="CS53" i="1" s="1"/>
  <c r="BM12" i="1"/>
  <c r="CL12" i="1" s="1"/>
  <c r="BK12" i="1"/>
  <c r="CJ12" i="1" s="1"/>
  <c r="CU12" i="1" s="1"/>
  <c r="BL12" i="1"/>
  <c r="CK12" i="1" s="1"/>
  <c r="CV12" i="1" s="1"/>
  <c r="BQ12" i="1"/>
  <c r="CP12" i="1" s="1"/>
  <c r="DA12" i="1" s="1"/>
  <c r="DC12" i="1" s="1"/>
  <c r="BN12" i="1"/>
  <c r="CM12" i="1" s="1"/>
  <c r="CX12" i="1" s="1"/>
  <c r="BI12" i="1"/>
  <c r="CH12" i="1" s="1"/>
  <c r="CS12" i="1" s="1"/>
  <c r="BH12" i="1"/>
  <c r="CG12" i="1" s="1"/>
  <c r="CR12" i="1" s="1"/>
  <c r="BO12" i="1"/>
  <c r="CN12" i="1" s="1"/>
  <c r="CY12" i="1" s="1"/>
  <c r="BJ12" i="1"/>
  <c r="CI12" i="1" s="1"/>
  <c r="CT12" i="1" s="1"/>
  <c r="BP12" i="1"/>
  <c r="CO12" i="1" s="1"/>
  <c r="CZ12" i="1" s="1"/>
  <c r="BN39" i="1"/>
  <c r="CM39" i="1" s="1"/>
  <c r="CX39" i="1" s="1"/>
  <c r="BP39" i="1"/>
  <c r="CO39" i="1" s="1"/>
  <c r="CZ39" i="1" s="1"/>
  <c r="BM39" i="1"/>
  <c r="CL39" i="1" s="1"/>
  <c r="CW39" i="1" s="1"/>
  <c r="BL39" i="1"/>
  <c r="CK39" i="1" s="1"/>
  <c r="CV39" i="1" s="1"/>
  <c r="BO39" i="1"/>
  <c r="CN39" i="1" s="1"/>
  <c r="CY39" i="1" s="1"/>
  <c r="BH39" i="1"/>
  <c r="CG39" i="1" s="1"/>
  <c r="CR39" i="1" s="1"/>
  <c r="BQ39" i="1"/>
  <c r="CP39" i="1" s="1"/>
  <c r="DA39" i="1" s="1"/>
  <c r="BK39" i="1"/>
  <c r="CJ39" i="1" s="1"/>
  <c r="CU39" i="1" s="1"/>
  <c r="BI39" i="1"/>
  <c r="CH39" i="1" s="1"/>
  <c r="CS39" i="1" s="1"/>
  <c r="BJ39" i="1"/>
  <c r="CI39" i="1" s="1"/>
  <c r="CT39" i="1" s="1"/>
  <c r="BZ26" i="1"/>
  <c r="BI44" i="1"/>
  <c r="CH44" i="1" s="1"/>
  <c r="CS44" i="1" s="1"/>
  <c r="BM44" i="1"/>
  <c r="CL44" i="1" s="1"/>
  <c r="CW44" i="1" s="1"/>
  <c r="BK44" i="1"/>
  <c r="CJ44" i="1" s="1"/>
  <c r="CU44" i="1" s="1"/>
  <c r="BL44" i="1"/>
  <c r="CK44" i="1" s="1"/>
  <c r="CV44" i="1" s="1"/>
  <c r="BP44" i="1"/>
  <c r="CO44" i="1" s="1"/>
  <c r="CZ44" i="1" s="1"/>
  <c r="BH44" i="1"/>
  <c r="CG44" i="1" s="1"/>
  <c r="CR44" i="1" s="1"/>
  <c r="BO44" i="1"/>
  <c r="CN44" i="1" s="1"/>
  <c r="CY44" i="1" s="1"/>
  <c r="BN44" i="1"/>
  <c r="CM44" i="1" s="1"/>
  <c r="CX44" i="1" s="1"/>
  <c r="BQ44" i="1"/>
  <c r="CP44" i="1" s="1"/>
  <c r="DA44" i="1" s="1"/>
  <c r="DC44" i="1" s="1"/>
  <c r="BJ44" i="1"/>
  <c r="CI44" i="1" s="1"/>
  <c r="CT44" i="1" s="1"/>
  <c r="BL52" i="1"/>
  <c r="CK52" i="1" s="1"/>
  <c r="CV52" i="1" s="1"/>
  <c r="BP52" i="1"/>
  <c r="CO52" i="1" s="1"/>
  <c r="CZ52" i="1" s="1"/>
  <c r="BO52" i="1"/>
  <c r="CN52" i="1" s="1"/>
  <c r="CY52" i="1" s="1"/>
  <c r="BH52" i="1"/>
  <c r="CG52" i="1" s="1"/>
  <c r="CR52" i="1" s="1"/>
  <c r="BN52" i="1"/>
  <c r="CM52" i="1" s="1"/>
  <c r="CX52" i="1" s="1"/>
  <c r="BQ52" i="1"/>
  <c r="CP52" i="1" s="1"/>
  <c r="DA52" i="1" s="1"/>
  <c r="DC52" i="1" s="1"/>
  <c r="BJ52" i="1"/>
  <c r="CI52" i="1" s="1"/>
  <c r="CT52" i="1" s="1"/>
  <c r="BM52" i="1"/>
  <c r="CL52" i="1" s="1"/>
  <c r="CW52" i="1" s="1"/>
  <c r="BK52" i="1"/>
  <c r="CJ52" i="1" s="1"/>
  <c r="CU52" i="1" s="1"/>
  <c r="BI52" i="1"/>
  <c r="CH52" i="1" s="1"/>
  <c r="CS52" i="1" s="1"/>
  <c r="BN30" i="1"/>
  <c r="CM30" i="1" s="1"/>
  <c r="CX30" i="1" s="1"/>
  <c r="BM30" i="1"/>
  <c r="CL30" i="1" s="1"/>
  <c r="CW30" i="1" s="1"/>
  <c r="BQ30" i="1"/>
  <c r="CP30" i="1" s="1"/>
  <c r="DA30" i="1" s="1"/>
  <c r="DC30" i="1" s="1"/>
  <c r="BO30" i="1"/>
  <c r="CN30" i="1" s="1"/>
  <c r="BJ30" i="1"/>
  <c r="CI30" i="1" s="1"/>
  <c r="CT30" i="1" s="1"/>
  <c r="BI30" i="1"/>
  <c r="CH30" i="1" s="1"/>
  <c r="CS30" i="1" s="1"/>
  <c r="BP30" i="1"/>
  <c r="CO30" i="1" s="1"/>
  <c r="CZ30" i="1" s="1"/>
  <c r="BH30" i="1"/>
  <c r="CG30" i="1" s="1"/>
  <c r="CR30" i="1" s="1"/>
  <c r="BK30" i="1"/>
  <c r="CJ30" i="1" s="1"/>
  <c r="CU30" i="1" s="1"/>
  <c r="BL30" i="1"/>
  <c r="CK30" i="1" s="1"/>
  <c r="CV30" i="1" s="1"/>
  <c r="CG31" i="1"/>
  <c r="CR31" i="1" s="1"/>
  <c r="DB31" i="1" s="1"/>
  <c r="BS31" i="1"/>
  <c r="BK11" i="1"/>
  <c r="CJ11" i="1" s="1"/>
  <c r="CU11" i="1" s="1"/>
  <c r="BN11" i="1"/>
  <c r="CM11" i="1" s="1"/>
  <c r="BQ11" i="1"/>
  <c r="CP11" i="1" s="1"/>
  <c r="DA11" i="1" s="1"/>
  <c r="BO11" i="1"/>
  <c r="CN11" i="1" s="1"/>
  <c r="CY11" i="1" s="1"/>
  <c r="BI11" i="1"/>
  <c r="CH11" i="1" s="1"/>
  <c r="CS11" i="1" s="1"/>
  <c r="BP11" i="1"/>
  <c r="CO11" i="1" s="1"/>
  <c r="CZ11" i="1" s="1"/>
  <c r="BJ11" i="1"/>
  <c r="CI11" i="1" s="1"/>
  <c r="CT11" i="1" s="1"/>
  <c r="BM11" i="1"/>
  <c r="CL11" i="1" s="1"/>
  <c r="CW11" i="1" s="1"/>
  <c r="BH11" i="1"/>
  <c r="CG11" i="1" s="1"/>
  <c r="CR11" i="1" s="1"/>
  <c r="BL11" i="1"/>
  <c r="CK11" i="1" s="1"/>
  <c r="CV11" i="1" s="1"/>
  <c r="BW24" i="1"/>
  <c r="CA38" i="1"/>
  <c r="BJ21" i="1"/>
  <c r="CI21" i="1" s="1"/>
  <c r="CT21" i="1" s="1"/>
  <c r="BL21" i="1"/>
  <c r="CK21" i="1" s="1"/>
  <c r="CV21" i="1" s="1"/>
  <c r="BN21" i="1"/>
  <c r="CM21" i="1" s="1"/>
  <c r="CX21" i="1" s="1"/>
  <c r="BK21" i="1"/>
  <c r="CJ21" i="1" s="1"/>
  <c r="BQ21" i="1"/>
  <c r="CP21" i="1" s="1"/>
  <c r="DA21" i="1" s="1"/>
  <c r="DC21" i="1" s="1"/>
  <c r="BO21" i="1"/>
  <c r="CN21" i="1" s="1"/>
  <c r="CY21" i="1" s="1"/>
  <c r="BI21" i="1"/>
  <c r="CH21" i="1" s="1"/>
  <c r="BP21" i="1"/>
  <c r="CO21" i="1" s="1"/>
  <c r="BH21" i="1"/>
  <c r="CG21" i="1" s="1"/>
  <c r="CR21" i="1" s="1"/>
  <c r="BM21" i="1"/>
  <c r="CL21" i="1" s="1"/>
  <c r="BI23" i="1"/>
  <c r="CH23" i="1" s="1"/>
  <c r="BL23" i="1"/>
  <c r="CK23" i="1" s="1"/>
  <c r="CV23" i="1" s="1"/>
  <c r="BP23" i="1"/>
  <c r="CO23" i="1" s="1"/>
  <c r="CZ23" i="1" s="1"/>
  <c r="BK23" i="1"/>
  <c r="CJ23" i="1" s="1"/>
  <c r="CU23" i="1" s="1"/>
  <c r="BO23" i="1"/>
  <c r="CN23" i="1" s="1"/>
  <c r="CY23" i="1" s="1"/>
  <c r="BM23" i="1"/>
  <c r="CL23" i="1" s="1"/>
  <c r="CW23" i="1" s="1"/>
  <c r="BH23" i="1"/>
  <c r="CG23" i="1" s="1"/>
  <c r="CR23" i="1" s="1"/>
  <c r="BN23" i="1"/>
  <c r="CM23" i="1" s="1"/>
  <c r="CX23" i="1" s="1"/>
  <c r="BJ23" i="1"/>
  <c r="CI23" i="1" s="1"/>
  <c r="CT23" i="1" s="1"/>
  <c r="BQ23" i="1"/>
  <c r="CP23" i="1" s="1"/>
  <c r="DA23" i="1" s="1"/>
  <c r="BO25" i="1"/>
  <c r="CN25" i="1" s="1"/>
  <c r="CY25" i="1" s="1"/>
  <c r="BQ25" i="1"/>
  <c r="CP25" i="1" s="1"/>
  <c r="DA25" i="1" s="1"/>
  <c r="DC25" i="1" s="1"/>
  <c r="BL25" i="1"/>
  <c r="CK25" i="1" s="1"/>
  <c r="CV25" i="1" s="1"/>
  <c r="BK25" i="1"/>
  <c r="CJ25" i="1" s="1"/>
  <c r="CU25" i="1" s="1"/>
  <c r="BI25" i="1"/>
  <c r="CH25" i="1" s="1"/>
  <c r="CS25" i="1" s="1"/>
  <c r="BJ25" i="1"/>
  <c r="CI25" i="1" s="1"/>
  <c r="CT25" i="1" s="1"/>
  <c r="BN25" i="1"/>
  <c r="CM25" i="1" s="1"/>
  <c r="CX25" i="1" s="1"/>
  <c r="BM25" i="1"/>
  <c r="CL25" i="1" s="1"/>
  <c r="CW25" i="1" s="1"/>
  <c r="BH25" i="1"/>
  <c r="CG25" i="1" s="1"/>
  <c r="CR25" i="1" s="1"/>
  <c r="BP25" i="1"/>
  <c r="CO25" i="1" s="1"/>
  <c r="CZ25" i="1" s="1"/>
  <c r="BH16" i="1"/>
  <c r="CG16" i="1" s="1"/>
  <c r="BO16" i="1"/>
  <c r="CN16" i="1" s="1"/>
  <c r="BM16" i="1"/>
  <c r="CL16" i="1" s="1"/>
  <c r="BK16" i="1"/>
  <c r="CJ16" i="1" s="1"/>
  <c r="BL16" i="1"/>
  <c r="CK16" i="1" s="1"/>
  <c r="BN16" i="1"/>
  <c r="CM16" i="1" s="1"/>
  <c r="BI16" i="1"/>
  <c r="CH16" i="1" s="1"/>
  <c r="BP16" i="1"/>
  <c r="CO16" i="1" s="1"/>
  <c r="BJ16" i="1"/>
  <c r="CI16" i="1" s="1"/>
  <c r="BQ16" i="1"/>
  <c r="CP16" i="1" s="1"/>
  <c r="BL36" i="1"/>
  <c r="CK36" i="1" s="1"/>
  <c r="CV36" i="1" s="1"/>
  <c r="BH36" i="1"/>
  <c r="CG36" i="1" s="1"/>
  <c r="CR36" i="1" s="1"/>
  <c r="BI36" i="1"/>
  <c r="CH36" i="1" s="1"/>
  <c r="BQ36" i="1"/>
  <c r="CP36" i="1" s="1"/>
  <c r="DA36" i="1" s="1"/>
  <c r="DC36" i="1" s="1"/>
  <c r="BK36" i="1"/>
  <c r="CJ36" i="1" s="1"/>
  <c r="CU36" i="1" s="1"/>
  <c r="BJ36" i="1"/>
  <c r="CI36" i="1" s="1"/>
  <c r="CT36" i="1" s="1"/>
  <c r="BN36" i="1"/>
  <c r="CM36" i="1" s="1"/>
  <c r="CX36" i="1" s="1"/>
  <c r="BP36" i="1"/>
  <c r="CO36" i="1" s="1"/>
  <c r="CZ36" i="1" s="1"/>
  <c r="BM36" i="1"/>
  <c r="CL36" i="1" s="1"/>
  <c r="CW36" i="1" s="1"/>
  <c r="BO36" i="1"/>
  <c r="CN36" i="1" s="1"/>
  <c r="CY36" i="1" s="1"/>
  <c r="BK45" i="1"/>
  <c r="CJ45" i="1" s="1"/>
  <c r="CU45" i="1" s="1"/>
  <c r="BI45" i="1"/>
  <c r="CH45" i="1" s="1"/>
  <c r="CS45" i="1" s="1"/>
  <c r="BJ45" i="1"/>
  <c r="CI45" i="1" s="1"/>
  <c r="CT45" i="1" s="1"/>
  <c r="BN45" i="1"/>
  <c r="CM45" i="1" s="1"/>
  <c r="CX45" i="1" s="1"/>
  <c r="BP45" i="1"/>
  <c r="CO45" i="1" s="1"/>
  <c r="CZ45" i="1" s="1"/>
  <c r="BQ45" i="1"/>
  <c r="CP45" i="1" s="1"/>
  <c r="DA45" i="1" s="1"/>
  <c r="DC45" i="1" s="1"/>
  <c r="BL45" i="1"/>
  <c r="CK45" i="1" s="1"/>
  <c r="CV45" i="1" s="1"/>
  <c r="BM45" i="1"/>
  <c r="CL45" i="1" s="1"/>
  <c r="CW45" i="1" s="1"/>
  <c r="BO45" i="1"/>
  <c r="CN45" i="1" s="1"/>
  <c r="CY45" i="1" s="1"/>
  <c r="BH45" i="1"/>
  <c r="CG45" i="1" s="1"/>
  <c r="CR45" i="1" s="1"/>
  <c r="BW20" i="1"/>
  <c r="BU20" i="1"/>
  <c r="BS20" i="1"/>
  <c r="CA24" i="1"/>
  <c r="BH14" i="1"/>
  <c r="CG14" i="1" s="1"/>
  <c r="CR14" i="1" s="1"/>
  <c r="BM14" i="1"/>
  <c r="CL14" i="1" s="1"/>
  <c r="CW14" i="1" s="1"/>
  <c r="BJ14" i="1"/>
  <c r="CI14" i="1" s="1"/>
  <c r="CT14" i="1" s="1"/>
  <c r="BN14" i="1"/>
  <c r="CM14" i="1" s="1"/>
  <c r="CX14" i="1" s="1"/>
  <c r="BI14" i="1"/>
  <c r="CH14" i="1" s="1"/>
  <c r="CS14" i="1" s="1"/>
  <c r="BP14" i="1"/>
  <c r="CO14" i="1" s="1"/>
  <c r="CZ14" i="1" s="1"/>
  <c r="BL14" i="1"/>
  <c r="CK14" i="1" s="1"/>
  <c r="CV14" i="1" s="1"/>
  <c r="BK14" i="1"/>
  <c r="CJ14" i="1" s="1"/>
  <c r="CU14" i="1" s="1"/>
  <c r="BQ14" i="1"/>
  <c r="CP14" i="1" s="1"/>
  <c r="DA14" i="1" s="1"/>
  <c r="DC14" i="1" s="1"/>
  <c r="BO14" i="1"/>
  <c r="CN14" i="1" s="1"/>
  <c r="CY14" i="1" s="1"/>
  <c r="BJ56" i="1"/>
  <c r="CI56" i="1" s="1"/>
  <c r="CT56" i="1" s="1"/>
  <c r="BQ56" i="1"/>
  <c r="CP56" i="1" s="1"/>
  <c r="DA56" i="1" s="1"/>
  <c r="DC56" i="1" s="1"/>
  <c r="BN56" i="1"/>
  <c r="CM56" i="1" s="1"/>
  <c r="CX56" i="1" s="1"/>
  <c r="BI56" i="1"/>
  <c r="CH56" i="1" s="1"/>
  <c r="CS56" i="1" s="1"/>
  <c r="BM56" i="1"/>
  <c r="CL56" i="1" s="1"/>
  <c r="CW56" i="1" s="1"/>
  <c r="BK56" i="1"/>
  <c r="CJ56" i="1" s="1"/>
  <c r="BL56" i="1"/>
  <c r="CK56" i="1" s="1"/>
  <c r="CV56" i="1" s="1"/>
  <c r="BP56" i="1"/>
  <c r="CO56" i="1" s="1"/>
  <c r="CZ56" i="1" s="1"/>
  <c r="BO56" i="1"/>
  <c r="CN56" i="1" s="1"/>
  <c r="CY56" i="1" s="1"/>
  <c r="BH56" i="1"/>
  <c r="CG56" i="1" s="1"/>
  <c r="BP43" i="1"/>
  <c r="CO43" i="1" s="1"/>
  <c r="CZ43" i="1" s="1"/>
  <c r="BL43" i="1"/>
  <c r="CK43" i="1" s="1"/>
  <c r="CV43" i="1" s="1"/>
  <c r="BH43" i="1"/>
  <c r="CG43" i="1" s="1"/>
  <c r="CR43" i="1" s="1"/>
  <c r="BK43" i="1"/>
  <c r="CJ43" i="1" s="1"/>
  <c r="CU43" i="1" s="1"/>
  <c r="BO43" i="1"/>
  <c r="CN43" i="1" s="1"/>
  <c r="CY43" i="1" s="1"/>
  <c r="BN43" i="1"/>
  <c r="CM43" i="1" s="1"/>
  <c r="CX43" i="1" s="1"/>
  <c r="BI43" i="1"/>
  <c r="CH43" i="1" s="1"/>
  <c r="CS43" i="1" s="1"/>
  <c r="BM43" i="1"/>
  <c r="CL43" i="1" s="1"/>
  <c r="CW43" i="1" s="1"/>
  <c r="BJ43" i="1"/>
  <c r="CI43" i="1" s="1"/>
  <c r="CT43" i="1" s="1"/>
  <c r="BQ43" i="1"/>
  <c r="CP43" i="1" s="1"/>
  <c r="DA43" i="1" s="1"/>
  <c r="CC47" i="1"/>
  <c r="BV15" i="1"/>
  <c r="BS51" i="1"/>
  <c r="BX22" i="1"/>
  <c r="BW38" i="1"/>
  <c r="BV42" i="1"/>
  <c r="CB24" i="1"/>
  <c r="CD24" i="1" s="1"/>
  <c r="BT48" i="1"/>
  <c r="BX55" i="1"/>
  <c r="CA26" i="1"/>
  <c r="BU22" i="1"/>
  <c r="BX26" i="1"/>
  <c r="CB51" i="1"/>
  <c r="CD51" i="1" s="1"/>
  <c r="CA55" i="1"/>
  <c r="CA42" i="1"/>
  <c r="BZ48" i="1"/>
  <c r="DB13" i="1"/>
  <c r="BV51" i="1"/>
  <c r="BX38" i="1"/>
  <c r="BA16" i="1"/>
  <c r="CA48" i="1"/>
  <c r="BT15" i="1"/>
  <c r="BX48" i="1"/>
  <c r="BY26" i="1"/>
  <c r="BS22" i="1"/>
  <c r="CY33" i="1"/>
  <c r="BZ33" i="1"/>
  <c r="CT33" i="1"/>
  <c r="BU33" i="1"/>
  <c r="DB32" i="1"/>
  <c r="BT51" i="1"/>
  <c r="CS24" i="1"/>
  <c r="BT24" i="1"/>
  <c r="CS33" i="1"/>
  <c r="BT33" i="1"/>
  <c r="CB42" i="1"/>
  <c r="CD42" i="1" s="1"/>
  <c r="BS24" i="1"/>
  <c r="CR24" i="1"/>
  <c r="CX33" i="1"/>
  <c r="BY33" i="1"/>
  <c r="DA15" i="1"/>
  <c r="DC15" i="1" s="1"/>
  <c r="CB15" i="1"/>
  <c r="CD15" i="1" s="1"/>
  <c r="CB22" i="1"/>
  <c r="CD22" i="1" s="1"/>
  <c r="BW15" i="1"/>
  <c r="BZ24" i="1"/>
  <c r="DA33" i="1"/>
  <c r="DC33" i="1" s="1"/>
  <c r="CB33" i="1"/>
  <c r="CD33" i="1" s="1"/>
  <c r="CC9" i="1"/>
  <c r="CR33" i="1"/>
  <c r="BS33" i="1"/>
  <c r="CV33" i="1"/>
  <c r="BW33" i="1"/>
  <c r="BS55" i="1"/>
  <c r="CU33" i="1"/>
  <c r="BV33" i="1"/>
  <c r="DB19" i="1"/>
  <c r="CW33" i="1"/>
  <c r="BX33" i="1"/>
  <c r="CZ33" i="1"/>
  <c r="CA33" i="1"/>
  <c r="CA40" i="1"/>
  <c r="CZ40" i="1"/>
  <c r="DB35" i="1"/>
  <c r="DC35" i="1"/>
  <c r="DB55" i="1"/>
  <c r="DC55" i="1"/>
  <c r="BV37" i="1"/>
  <c r="CU37" i="1"/>
  <c r="BU50" i="1"/>
  <c r="CT50" i="1"/>
  <c r="BU40" i="1"/>
  <c r="CT40" i="1"/>
  <c r="CB40" i="1"/>
  <c r="CD40" i="1" s="1"/>
  <c r="DA40" i="1"/>
  <c r="DC40" i="1" s="1"/>
  <c r="BT37" i="1"/>
  <c r="CS37" i="1"/>
  <c r="BY37" i="1"/>
  <c r="CX37" i="1"/>
  <c r="CA50" i="1"/>
  <c r="CZ50" i="1"/>
  <c r="DB28" i="1"/>
  <c r="DB20" i="1"/>
  <c r="DB8" i="1"/>
  <c r="CC10" i="1"/>
  <c r="BX50" i="1"/>
  <c r="CW50" i="1"/>
  <c r="DB18" i="1"/>
  <c r="DB51" i="1"/>
  <c r="DC51" i="1"/>
  <c r="DB22" i="1"/>
  <c r="BU37" i="1"/>
  <c r="CT37" i="1"/>
  <c r="BT50" i="1"/>
  <c r="CS50" i="1"/>
  <c r="BZ50" i="1"/>
  <c r="CY50" i="1"/>
  <c r="CC32" i="1"/>
  <c r="CC13" i="1"/>
  <c r="CC27" i="1"/>
  <c r="DC31" i="1"/>
  <c r="CC18" i="1"/>
  <c r="CA37" i="1"/>
  <c r="CZ37" i="1"/>
  <c r="BW40" i="1"/>
  <c r="CV40" i="1"/>
  <c r="DB27" i="1"/>
  <c r="CB50" i="1"/>
  <c r="CD50" i="1" s="1"/>
  <c r="DA50" i="1"/>
  <c r="DC50" i="1" s="1"/>
  <c r="BS50" i="1"/>
  <c r="CR50" i="1"/>
  <c r="DB9" i="1"/>
  <c r="DB26" i="1"/>
  <c r="DB42" i="1"/>
  <c r="DB48" i="1"/>
  <c r="BY50" i="1"/>
  <c r="CX50" i="1"/>
  <c r="CC8" i="1"/>
  <c r="DB47" i="1"/>
  <c r="DC47" i="1"/>
  <c r="BX40" i="1"/>
  <c r="CW40" i="1"/>
  <c r="BW37" i="1"/>
  <c r="CV37" i="1"/>
  <c r="BZ40" i="1"/>
  <c r="CY40" i="1"/>
  <c r="DB41" i="1"/>
  <c r="DB29" i="1"/>
  <c r="BV40" i="1"/>
  <c r="CU40" i="1"/>
  <c r="CC35" i="1"/>
  <c r="CB37" i="1"/>
  <c r="CD37" i="1" s="1"/>
  <c r="DA37" i="1"/>
  <c r="DC37" i="1" s="1"/>
  <c r="BS40" i="1"/>
  <c r="CR40" i="1"/>
  <c r="BY40" i="1"/>
  <c r="CX40" i="1"/>
  <c r="BX37" i="1"/>
  <c r="CW37" i="1"/>
  <c r="BV50" i="1"/>
  <c r="CU50" i="1"/>
  <c r="BT40" i="1"/>
  <c r="CS40" i="1"/>
  <c r="BB54" i="1"/>
  <c r="BZ37" i="1"/>
  <c r="CY37" i="1"/>
  <c r="BS37" i="1"/>
  <c r="CR37" i="1"/>
  <c r="BW50" i="1"/>
  <c r="CV50" i="1"/>
  <c r="BB36" i="1"/>
  <c r="CC41" i="1"/>
  <c r="CC28" i="1"/>
  <c r="CC19" i="1"/>
  <c r="DB10" i="1"/>
  <c r="BB17" i="1"/>
  <c r="BA54" i="1"/>
  <c r="BA11" i="1"/>
  <c r="BA21" i="1"/>
  <c r="BA17" i="1"/>
  <c r="BA34" i="1"/>
  <c r="BB56" i="1"/>
  <c r="BB43" i="1"/>
  <c r="BB39" i="1"/>
  <c r="BB12" i="1"/>
  <c r="BB30" i="1"/>
  <c r="BA49" i="1"/>
  <c r="BB34" i="1"/>
  <c r="BA45" i="1"/>
  <c r="BB52" i="1"/>
  <c r="BA43" i="1"/>
  <c r="BA14" i="1"/>
  <c r="BA53" i="1"/>
  <c r="BA30" i="1"/>
  <c r="BB25" i="1"/>
  <c r="BA25" i="1"/>
  <c r="BA23" i="1"/>
  <c r="BB40" i="1"/>
  <c r="BA52" i="1"/>
  <c r="BA36" i="1"/>
  <c r="BA37" i="1"/>
  <c r="BB50" i="1"/>
  <c r="BA50" i="1"/>
  <c r="BB14" i="1"/>
  <c r="BB37" i="1"/>
  <c r="BB45" i="1"/>
  <c r="BB44" i="1"/>
  <c r="BB23" i="1"/>
  <c r="BA12" i="1"/>
  <c r="BA40" i="1"/>
  <c r="BA39" i="1"/>
  <c r="BA44" i="1"/>
  <c r="BA56" i="1"/>
  <c r="CA23" i="1" l="1"/>
  <c r="CB12" i="1"/>
  <c r="CD12" i="1" s="1"/>
  <c r="BS23" i="1"/>
  <c r="BX49" i="1"/>
  <c r="BY54" i="1"/>
  <c r="CB44" i="1"/>
  <c r="CD44" i="1" s="1"/>
  <c r="BV36" i="1"/>
  <c r="BU45" i="1"/>
  <c r="BT12" i="1"/>
  <c r="BY56" i="1"/>
  <c r="BS25" i="1"/>
  <c r="CA14" i="1"/>
  <c r="BT30" i="1"/>
  <c r="BW11" i="1"/>
  <c r="BS12" i="1"/>
  <c r="BS43" i="1"/>
  <c r="BZ39" i="1"/>
  <c r="BZ21" i="1"/>
  <c r="BX44" i="1"/>
  <c r="BT17" i="1"/>
  <c r="BU54" i="1"/>
  <c r="CB25" i="1"/>
  <c r="CD25" i="1" s="1"/>
  <c r="BX53" i="1"/>
  <c r="BV23" i="1"/>
  <c r="CC29" i="1"/>
  <c r="BV12" i="1"/>
  <c r="BY34" i="1"/>
  <c r="BY36" i="1"/>
  <c r="BV11" i="1"/>
  <c r="CA30" i="1"/>
  <c r="CB43" i="1"/>
  <c r="CD43" i="1" s="1"/>
  <c r="BX56" i="1"/>
  <c r="CB54" i="1"/>
  <c r="CD54" i="1" s="1"/>
  <c r="BS11" i="1"/>
  <c r="BV17" i="1"/>
  <c r="BT43" i="1"/>
  <c r="CB21" i="1"/>
  <c r="CD21" i="1" s="1"/>
  <c r="CA43" i="1"/>
  <c r="BW25" i="1"/>
  <c r="CC20" i="1"/>
  <c r="CA45" i="1"/>
  <c r="BW52" i="1"/>
  <c r="BU30" i="1"/>
  <c r="BT44" i="1"/>
  <c r="BS39" i="1"/>
  <c r="BV49" i="1"/>
  <c r="BT14" i="1"/>
  <c r="BZ23" i="1"/>
  <c r="BW39" i="1"/>
  <c r="BZ12" i="1"/>
  <c r="CB11" i="1"/>
  <c r="CD11" i="1" s="1"/>
  <c r="BW14" i="1"/>
  <c r="BT53" i="1"/>
  <c r="BV52" i="1"/>
  <c r="CA34" i="1"/>
  <c r="BV44" i="1"/>
  <c r="BU49" i="1"/>
  <c r="BW54" i="1"/>
  <c r="CA49" i="1"/>
  <c r="CA53" i="1"/>
  <c r="BZ17" i="1"/>
  <c r="CB34" i="1"/>
  <c r="CD34" i="1" s="1"/>
  <c r="BW56" i="1"/>
  <c r="BS14" i="1"/>
  <c r="BX17" i="1"/>
  <c r="BY30" i="1"/>
  <c r="BY49" i="1"/>
  <c r="BS54" i="1"/>
  <c r="BU21" i="1"/>
  <c r="CA12" i="1"/>
  <c r="BW34" i="1"/>
  <c r="CC31" i="1"/>
  <c r="BW45" i="1"/>
  <c r="BW49" i="1"/>
  <c r="BV39" i="1"/>
  <c r="BW17" i="1"/>
  <c r="BV54" i="1"/>
  <c r="BT34" i="1"/>
  <c r="BX45" i="1"/>
  <c r="BU25" i="1"/>
  <c r="BS52" i="1"/>
  <c r="BS17" i="1"/>
  <c r="BZ43" i="1"/>
  <c r="BX11" i="1"/>
  <c r="BY12" i="1"/>
  <c r="BT45" i="1"/>
  <c r="BX54" i="1"/>
  <c r="CB23" i="1"/>
  <c r="CD23" i="1" s="1"/>
  <c r="CB36" i="1"/>
  <c r="CD36" i="1" s="1"/>
  <c r="BW23" i="1"/>
  <c r="BX25" i="1"/>
  <c r="BY17" i="1"/>
  <c r="BZ44" i="1"/>
  <c r="CB17" i="1"/>
  <c r="CD17" i="1" s="1"/>
  <c r="CA39" i="1"/>
  <c r="BU14" i="1"/>
  <c r="BU11" i="1"/>
  <c r="BY21" i="1"/>
  <c r="CB30" i="1"/>
  <c r="CD30" i="1" s="1"/>
  <c r="BS53" i="1"/>
  <c r="BU23" i="1"/>
  <c r="BZ56" i="1"/>
  <c r="BV45" i="1"/>
  <c r="BZ45" i="1"/>
  <c r="BY52" i="1"/>
  <c r="BZ54" i="1"/>
  <c r="BU39" i="1"/>
  <c r="BS34" i="1"/>
  <c r="CA11" i="1"/>
  <c r="BY39" i="1"/>
  <c r="BU12" i="1"/>
  <c r="DB15" i="1"/>
  <c r="BZ36" i="1"/>
  <c r="BT52" i="1"/>
  <c r="BX14" i="1"/>
  <c r="BY43" i="1"/>
  <c r="BX30" i="1"/>
  <c r="BZ49" i="1"/>
  <c r="BT39" i="1"/>
  <c r="BZ14" i="1"/>
  <c r="BX43" i="1"/>
  <c r="BW43" i="1"/>
  <c r="BV25" i="1"/>
  <c r="BU43" i="1"/>
  <c r="BS36" i="1"/>
  <c r="CB39" i="1"/>
  <c r="CD39" i="1" s="1"/>
  <c r="BT56" i="1"/>
  <c r="BV43" i="1"/>
  <c r="CB56" i="1"/>
  <c r="CD56" i="1" s="1"/>
  <c r="BW44" i="1"/>
  <c r="CA36" i="1"/>
  <c r="BS44" i="1"/>
  <c r="BX23" i="1"/>
  <c r="BW30" i="1"/>
  <c r="CC26" i="1"/>
  <c r="CC42" i="1"/>
  <c r="CC38" i="1"/>
  <c r="DB24" i="1"/>
  <c r="CC48" i="1"/>
  <c r="CC55" i="1"/>
  <c r="CC24" i="1"/>
  <c r="CC51" i="1"/>
  <c r="BZ25" i="1"/>
  <c r="CA17" i="1"/>
  <c r="BU36" i="1"/>
  <c r="BU56" i="1"/>
  <c r="CA44" i="1"/>
  <c r="CC22" i="1"/>
  <c r="BY53" i="1"/>
  <c r="BS21" i="1"/>
  <c r="BT25" i="1"/>
  <c r="BU34" i="1"/>
  <c r="BU52" i="1"/>
  <c r="BX34" i="1"/>
  <c r="BS30" i="1"/>
  <c r="CB14" i="1"/>
  <c r="CD14" i="1" s="1"/>
  <c r="BY14" i="1"/>
  <c r="CB45" i="1"/>
  <c r="CD45" i="1" s="1"/>
  <c r="BY23" i="1"/>
  <c r="BT11" i="1"/>
  <c r="BT49" i="1"/>
  <c r="BU44" i="1"/>
  <c r="CA54" i="1"/>
  <c r="BV34" i="1"/>
  <c r="CY16" i="1"/>
  <c r="BZ16" i="1"/>
  <c r="CC33" i="1"/>
  <c r="CA56" i="1"/>
  <c r="CS16" i="1"/>
  <c r="BT16" i="1"/>
  <c r="BS56" i="1"/>
  <c r="CR56" i="1"/>
  <c r="BX52" i="1"/>
  <c r="BZ53" i="1"/>
  <c r="BX39" i="1"/>
  <c r="BW36" i="1"/>
  <c r="BX36" i="1"/>
  <c r="BV53" i="1"/>
  <c r="BY44" i="1"/>
  <c r="BY25" i="1"/>
  <c r="BW21" i="1"/>
  <c r="CC15" i="1"/>
  <c r="BW53" i="1"/>
  <c r="BW12" i="1"/>
  <c r="DA16" i="1"/>
  <c r="DC16" i="1" s="1"/>
  <c r="CB16" i="1"/>
  <c r="CD16" i="1" s="1"/>
  <c r="DA49" i="1"/>
  <c r="DC49" i="1" s="1"/>
  <c r="CB49" i="1"/>
  <c r="CD49" i="1" s="1"/>
  <c r="CW12" i="1"/>
  <c r="DB12" i="1" s="1"/>
  <c r="BX12" i="1"/>
  <c r="CU56" i="1"/>
  <c r="BV56" i="1"/>
  <c r="CU21" i="1"/>
  <c r="BV21" i="1"/>
  <c r="CS23" i="1"/>
  <c r="DB23" i="1" s="1"/>
  <c r="BT23" i="1"/>
  <c r="BV14" i="1"/>
  <c r="BS49" i="1"/>
  <c r="CA52" i="1"/>
  <c r="CA25" i="1"/>
  <c r="CS36" i="1"/>
  <c r="DB36" i="1" s="1"/>
  <c r="BT36" i="1"/>
  <c r="CR16" i="1"/>
  <c r="BS16" i="1"/>
  <c r="CZ21" i="1"/>
  <c r="CA21" i="1"/>
  <c r="DB33" i="1"/>
  <c r="DA53" i="1"/>
  <c r="DC53" i="1" s="1"/>
  <c r="CB53" i="1"/>
  <c r="CD53" i="1" s="1"/>
  <c r="CX16" i="1"/>
  <c r="BY16" i="1"/>
  <c r="CX11" i="1"/>
  <c r="DB11" i="1" s="1"/>
  <c r="BY11" i="1"/>
  <c r="CT16" i="1"/>
  <c r="BU16" i="1"/>
  <c r="CU16" i="1"/>
  <c r="BV16" i="1"/>
  <c r="CW21" i="1"/>
  <c r="BX21" i="1"/>
  <c r="CT17" i="1"/>
  <c r="DB17" i="1" s="1"/>
  <c r="BU17" i="1"/>
  <c r="BZ52" i="1"/>
  <c r="BZ11" i="1"/>
  <c r="BS45" i="1"/>
  <c r="BV30" i="1"/>
  <c r="CB52" i="1"/>
  <c r="CD52" i="1" s="1"/>
  <c r="CC37" i="1"/>
  <c r="BU53" i="1"/>
  <c r="BY45" i="1"/>
  <c r="CW16" i="1"/>
  <c r="BX16" i="1"/>
  <c r="CZ16" i="1"/>
  <c r="CA16" i="1"/>
  <c r="CS54" i="1"/>
  <c r="DB54" i="1" s="1"/>
  <c r="BT54" i="1"/>
  <c r="CY30" i="1"/>
  <c r="DB30" i="1" s="1"/>
  <c r="BZ30" i="1"/>
  <c r="CY34" i="1"/>
  <c r="DB34" i="1" s="1"/>
  <c r="BZ34" i="1"/>
  <c r="CV16" i="1"/>
  <c r="BW16" i="1"/>
  <c r="CS21" i="1"/>
  <c r="BT21" i="1"/>
  <c r="DB39" i="1"/>
  <c r="DC39" i="1"/>
  <c r="DB50" i="1"/>
  <c r="DB43" i="1"/>
  <c r="DC43" i="1"/>
  <c r="CC50" i="1"/>
  <c r="DC11" i="1"/>
  <c r="DB14" i="1"/>
  <c r="DB44" i="1"/>
  <c r="DB37" i="1"/>
  <c r="DB40" i="1"/>
  <c r="DB52" i="1"/>
  <c r="CC40" i="1"/>
  <c r="DC23" i="1"/>
  <c r="DB45" i="1"/>
  <c r="DB25" i="1"/>
  <c r="CC39" i="1" l="1"/>
  <c r="CC43" i="1"/>
  <c r="CC54" i="1"/>
  <c r="CC44" i="1"/>
  <c r="DB49" i="1"/>
  <c r="CC49" i="1"/>
  <c r="CC14" i="1"/>
  <c r="CC36" i="1"/>
  <c r="CC23" i="1"/>
  <c r="CC17" i="1"/>
  <c r="CC52" i="1"/>
  <c r="CC53" i="1"/>
  <c r="DB56" i="1"/>
  <c r="DB21" i="1"/>
  <c r="CC30" i="1"/>
  <c r="CC45" i="1"/>
  <c r="CC25" i="1"/>
  <c r="CC56" i="1"/>
  <c r="CC12" i="1"/>
  <c r="CC34" i="1"/>
  <c r="CC11" i="1"/>
  <c r="CC21" i="1"/>
  <c r="CC16" i="1"/>
  <c r="DB16" i="1"/>
  <c r="DB53" i="1"/>
</calcChain>
</file>

<file path=xl/sharedStrings.xml><?xml version="1.0" encoding="utf-8"?>
<sst xmlns="http://schemas.openxmlformats.org/spreadsheetml/2006/main" count="1303" uniqueCount="217">
  <si>
    <t>Step 2 (HRI)</t>
  </si>
  <si>
    <t>Step 3a &amp; 3b (Redispatch)</t>
  </si>
  <si>
    <t>Step 4a Nuclear</t>
  </si>
  <si>
    <t>Step 4b Renewable (MWh)</t>
  </si>
  <si>
    <t>Step 6&amp;7 (State Goal Phase I &amp; II (lbs/MWh))</t>
  </si>
  <si>
    <t>State</t>
  </si>
  <si>
    <t>Coal Rate (lb/MWh)</t>
  </si>
  <si>
    <t>NGCC Rate (lb/MWh)</t>
  </si>
  <si>
    <t>Other Emissions (lbs)</t>
  </si>
  <si>
    <t>Hist Coal Gen (MWh)</t>
  </si>
  <si>
    <t>Hist NGCC Gen. (MWh)</t>
  </si>
  <si>
    <t>Historic OG steam Gen. (MWh)</t>
  </si>
  <si>
    <t>Other Gen. (MWh)</t>
  </si>
  <si>
    <t>NGCC Capacity (MW )</t>
  </si>
  <si>
    <t>Under Construction NGCC Capacity (MW)</t>
  </si>
  <si>
    <t>Adj. Coal Rate (lbs/MWh)</t>
  </si>
  <si>
    <t>Redispatched Coal Gen. (MWh)</t>
  </si>
  <si>
    <t>Redispatched NGCC Gen. (MWh)</t>
  </si>
  <si>
    <t>2012 NGCC Capacity Factor*</t>
  </si>
  <si>
    <t>Post Redispatch Assumed NGCC Capacity Factor for Existing Fleet</t>
  </si>
  <si>
    <t>Nuclear Generation Under Construction and "At Risk" (MWh)</t>
  </si>
  <si>
    <t>2020 Existing and Incremental RE</t>
  </si>
  <si>
    <t>2021 Existing and Incremental RE</t>
  </si>
  <si>
    <t>2022 Existing and Incremental RE</t>
  </si>
  <si>
    <t>2023 Existing and Incremental RE</t>
  </si>
  <si>
    <t>2024 Existing and Incremental RE</t>
  </si>
  <si>
    <t>2025 Existing and Incremental RE</t>
  </si>
  <si>
    <t>2026 Existing and Incremental RE</t>
  </si>
  <si>
    <t>2027 Existing and Incremental RE</t>
  </si>
  <si>
    <t>2028 Existing and Incremental RE</t>
  </si>
  <si>
    <t>2029 Existing and Incremental RE</t>
  </si>
  <si>
    <t>2020 EE Potential</t>
  </si>
  <si>
    <t>2021 EE Potential</t>
  </si>
  <si>
    <t>2022 EE Potential</t>
  </si>
  <si>
    <t>2023 EE Potential</t>
  </si>
  <si>
    <t>2024 EE Potential</t>
  </si>
  <si>
    <t>2025 EE Potential</t>
  </si>
  <si>
    <t>2026 EE Potential</t>
  </si>
  <si>
    <t>2027 EE Potential</t>
  </si>
  <si>
    <t>2028 EE Potential</t>
  </si>
  <si>
    <t>2029 EE Potential (%)</t>
  </si>
  <si>
    <t>State Generation as % of sales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</si>
  <si>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</si>
  <si>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</si>
  <si>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</si>
  <si>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</si>
  <si>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</si>
  <si>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</si>
  <si>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</si>
  <si>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</si>
  <si>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</si>
  <si>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</si>
  <si>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</si>
  <si>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</si>
  <si>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</si>
  <si>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</si>
  <si>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</si>
  <si>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</si>
  <si>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</si>
  <si>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</si>
  <si>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</si>
  <si>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</si>
  <si>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</si>
  <si>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</si>
  <si>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</si>
  <si>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</si>
  <si>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</si>
  <si>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</si>
  <si>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</si>
  <si>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</si>
  <si>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</si>
  <si>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</si>
  <si>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</si>
  <si>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</si>
  <si>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</si>
  <si>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</si>
  <si>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</si>
  <si>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</si>
  <si>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</si>
  <si>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</si>
  <si>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</si>
  <si>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</si>
  <si>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</si>
  <si>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</si>
  <si>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</si>
  <si>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</si>
  <si>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</si>
  <si>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</si>
  <si>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</si>
  <si>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</si>
  <si>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</si>
  <si>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2012 Total MWh (sales x 1.0751)</t>
  </si>
  <si>
    <t>Step 1 (2012 Data for Fossil Sources)</t>
  </si>
  <si>
    <t>Interim Goal (2020 - 2029 average)</t>
  </si>
  <si>
    <t>Step 5 (Demand Side EE - % of avoided MWh sales)</t>
  </si>
  <si>
    <t>O/G rate (lb/MWh)</t>
  </si>
  <si>
    <t>Redispatch O/G steam Gen. (MWh)</t>
  </si>
  <si>
    <t>Final Goal (2030 and thereafter)</t>
  </si>
  <si>
    <t>GWh</t>
  </si>
  <si>
    <t>SRSE</t>
  </si>
  <si>
    <t>AZNM</t>
  </si>
  <si>
    <t>SRDA</t>
  </si>
  <si>
    <t>CAMX</t>
  </si>
  <si>
    <t>RMPA</t>
  </si>
  <si>
    <t>NEWE</t>
  </si>
  <si>
    <t>RFCE</t>
  </si>
  <si>
    <t>FRCC</t>
  </si>
  <si>
    <t>NWPP</t>
  </si>
  <si>
    <t>RFCW</t>
  </si>
  <si>
    <t>MROW</t>
  </si>
  <si>
    <t>SPNO</t>
  </si>
  <si>
    <t>SRCE</t>
  </si>
  <si>
    <t>RFCM</t>
  </si>
  <si>
    <t>SRGW</t>
  </si>
  <si>
    <t>NYCW</t>
  </si>
  <si>
    <t>SRVC</t>
  </si>
  <si>
    <t>SPSO</t>
  </si>
  <si>
    <t>ERCT</t>
  </si>
  <si>
    <t>MROE</t>
  </si>
  <si>
    <t>SERC Southeastern</t>
  </si>
  <si>
    <t>WECC Southwest</t>
  </si>
  <si>
    <t>SERC Delta</t>
  </si>
  <si>
    <t>WECC California</t>
  </si>
  <si>
    <t>WECC Rockies</t>
  </si>
  <si>
    <t>New England</t>
  </si>
  <si>
    <t>RFC East</t>
  </si>
  <si>
    <t>WECC Northwest Power Pool Area</t>
  </si>
  <si>
    <t>RFC West</t>
  </si>
  <si>
    <t>MRO West</t>
  </si>
  <si>
    <t>SPP North</t>
  </si>
  <si>
    <t>SERC Central</t>
  </si>
  <si>
    <t>RFC Michigan</t>
  </si>
  <si>
    <t>SERC Gateway</t>
  </si>
  <si>
    <t>NYC - Westchester</t>
  </si>
  <si>
    <t>SERC Virginia/Carolina</t>
  </si>
  <si>
    <t>SPP South</t>
  </si>
  <si>
    <t>MRO East</t>
  </si>
  <si>
    <t>US</t>
  </si>
  <si>
    <t>Continental US</t>
  </si>
  <si>
    <t>Under Construction NGCC</t>
  </si>
  <si>
    <t>MW</t>
  </si>
  <si>
    <t>Average Annual Growth Rates (2012-2029)</t>
  </si>
  <si>
    <t>Transmission
Losses</t>
  </si>
  <si>
    <t>2012 Sales
(GWh)</t>
  </si>
  <si>
    <t>Incremental RE Under Building Block Three (MWh)</t>
  </si>
  <si>
    <t>Appendix 1 - Proposed Goals from 'Goal Computation TSD'</t>
  </si>
  <si>
    <t>Under Construction Nuclear</t>
  </si>
  <si>
    <t>MWh</t>
  </si>
  <si>
    <t>Interim Mass Equivalent (2020 - 2029)</t>
  </si>
  <si>
    <t>Final Mass Equivalent (2030 - )</t>
  </si>
  <si>
    <t>Mass Equivalent Generation - Existing Affected Sources (MWh)</t>
  </si>
  <si>
    <t>Mass Equivalent Generation - Existing Affected and New Sources (MWh)</t>
  </si>
  <si>
    <t>Historical (2012) Affected Fossil Generation, Plus Expected Under Construction NGCC Generation (MWh)</t>
  </si>
  <si>
    <t>EMM Region Abbreviation</t>
  </si>
  <si>
    <t>Primary Associated EMM Region</t>
  </si>
  <si>
    <t>Average Annual Growth Rate of Associated EMM Region (AEO2013, 2012-2029)</t>
  </si>
  <si>
    <t>Hist Coal Gen. (MWh)</t>
  </si>
  <si>
    <t>Hist NGCC Gen (MWh)</t>
  </si>
  <si>
    <t>Post Redispatch Assumed  NGCC Capacity Factor for Existing Fleet</t>
  </si>
  <si>
    <t>Nuclear Generation Under Construction and "At Risk" MWh</t>
  </si>
  <si>
    <t>2012 Total MWh</t>
  </si>
  <si>
    <t>Interim Goal (2020 - 2024 average)</t>
  </si>
  <si>
    <t>Final Goal (2025 and thereafter)</t>
  </si>
  <si>
    <t>Steps 6&amp;7 (State Goal Phase I &amp; II)</t>
  </si>
  <si>
    <t>Steps 3a &amp; 3b (Redispatch)</t>
  </si>
  <si>
    <t>Step 4b - Existing and New Renewable (MWh)</t>
  </si>
  <si>
    <t>Interim Mass Equivalent (2020 - 2024)</t>
  </si>
  <si>
    <t>Final Mass Equivalent (2025 - )</t>
  </si>
  <si>
    <t>Appendix 2 - Alternative Goals from 'Goal Computation TSD'</t>
  </si>
  <si>
    <t>Average Annual Growth Rate of Associated EMM Region (AEO2013, 2012-2024)</t>
  </si>
  <si>
    <t>Incremental Demand for New Generation, Proposed Goals (MWh)</t>
  </si>
  <si>
    <t>Incremental Demand for New Generation, Alternative Goals (MWh)</t>
  </si>
  <si>
    <t>Generation to Support State Sales, Alternative Goals (GWh)</t>
  </si>
  <si>
    <t>Generation to Support State Sales, Proposed Goals (GWh)</t>
  </si>
  <si>
    <t>Incremental Demand for New Generation for Proposed Goals (Option 1)</t>
  </si>
  <si>
    <t>Incremental Demand for New Generation for Alternative Goals (Option 2)</t>
  </si>
  <si>
    <t>EE Avoided Generation Under Building Block Three, Proposed Goals (MWh)</t>
  </si>
  <si>
    <t>EE Avoided Generation Under Building Block Three, Alternative Goals (MWh)</t>
  </si>
  <si>
    <t xml:space="preserve">Columns A - BB are taken directly from Appendix 1 of the Goal Computation TSD and do not represent any new information or updates from the June proposal.  </t>
  </si>
  <si>
    <t xml:space="preserve">Columns A - AM are taken directly from Appendix 2 of the Goal Computation TSD and do not represent any new information or updates from the June proposal.  </t>
  </si>
  <si>
    <t>Option 1A - 2030 goal (6% HRI, 70% NGCC utilization) w/ 2012 non-hydro renewable generation</t>
  </si>
  <si>
    <t>Step 5 (Demand Side EE - % of avoided MWh)</t>
  </si>
  <si>
    <t>Redispatched O/G steam Gen. (MWh)</t>
  </si>
  <si>
    <t>Post Redispatched Assumed NGCC Capacity Factor for Existing Fleet</t>
  </si>
  <si>
    <t>2012 Total MWh (+7.51% T&amp;D losses)</t>
  </si>
  <si>
    <t>Final Goal (2030)</t>
  </si>
  <si>
    <t>Puerto Rico</t>
  </si>
  <si>
    <t>Guam</t>
  </si>
  <si>
    <t>Navajo</t>
  </si>
  <si>
    <t>Ute</t>
  </si>
  <si>
    <t>Fort Mojave</t>
  </si>
  <si>
    <t>Option 1B - 2030 goal (6% HRI, 70% NGCC utilization) w/ 2012 US lowest non-zero renewable generation</t>
  </si>
  <si>
    <t>Option 1 Alternative - 2030 goal (6% HRI, 70% NGCC utilization) w/ 2012 technical potential renewable generation</t>
  </si>
  <si>
    <t>Option 2A - 2025 goal (4% HRI, 65% NGCC utilization) w/ 2012 non-hydro renewable generation</t>
  </si>
  <si>
    <t>Final Goal (2025)</t>
  </si>
  <si>
    <t>Option 2B - 2025 goal (4% HRI, 65% NGCC utilization) w/ 2012 US lowest non-zero renewable generation</t>
  </si>
  <si>
    <t>With No Qualifying 2012 Non-Hydro RE, RE Target Generation is Equivalent to Incremental RE Generation</t>
  </si>
  <si>
    <t>N/A</t>
  </si>
  <si>
    <t>Historical (2012) Existing Affected Source CO2 Emissions (Thousand Metric Tons)</t>
  </si>
  <si>
    <t>Jurisdiction</t>
  </si>
  <si>
    <t>Jursidiction</t>
  </si>
  <si>
    <t>Option 1A</t>
  </si>
  <si>
    <t>Option 1B</t>
  </si>
  <si>
    <t>Option 2A</t>
  </si>
  <si>
    <t>Option 1 Alternative</t>
  </si>
  <si>
    <t>Option 2B</t>
  </si>
  <si>
    <t>Mass-Based Equivalent - Existing Affected and New Sources (Thousand Metric Tons)</t>
  </si>
  <si>
    <t>Mass-Based Equivalent - Existing Affected Sources (Thousand Metric Tons)</t>
  </si>
  <si>
    <t xml:space="preserve">Columns A - BB are taken directly from Appendix 2 of the Clean Power Plan Supplemental Proposal.  </t>
  </si>
  <si>
    <t>Areas of Indian Country and U.S. Territories with Affected EGUs: Proposed Emission Rate-Based CO2 Goals and Illustrative Mass-Based Equivalents</t>
  </si>
  <si>
    <t>Alternative Emission Rate-Based CO2 Goals and Illustrative Mass-Based Equivalents</t>
  </si>
  <si>
    <t>Proposed Emission Rate-Based CO2 Goals and Illustrative Mass-Based Equivalents</t>
  </si>
  <si>
    <t>EIA 2012 Non-Hydro RE Net Generation (MWh)</t>
  </si>
  <si>
    <t>Please refer to the 'Translation of the Clean Power Plan Emission Rate-Based CO2 Goals to Mass-Based Equivalents' TSD for further detail on the illustrative methodologies contained in this data file.</t>
  </si>
  <si>
    <t>The calculations for determining the mass equivalent generation level and the mass-based equivalents are shown starting in column BE; column BF displays 2012 emissions from affected EGUs.</t>
  </si>
  <si>
    <t>The calculations for determining the mass equivalent generation level and the mass-based equivalent are shown starting in column AP; column AQ displays 2012 emissions from affected EGUs.</t>
  </si>
  <si>
    <t>The calculations for determining the mass equivalent generation level and the mass-based equivalent are shown starting in column BE; column BF displays 2012 emissions from affected EGUs.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</si>
</sst>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color theme="1"/>
      <name val="Calibri"/>
      <family val="2"/>
      <scheme val="minor"/>
    </font>
    <font>
      <sz val="10"/>
      <name val="MS Sans Serif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0" fontId="13" fillId="0" borderId="24" applyNumberFormat="0" applyFill="0" applyAlignment="0" applyProtection="0"/>
  </cellStyleXfs>
  <cellXfs count="334">
    <xf numFmtId="0" fontId="0" fillId="0" borderId="0" xfId="0"/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9" fontId="0" fillId="4" borderId="1" xfId="1" applyFon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10" fontId="0" fillId="7" borderId="1" xfId="1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ont="1" applyFill="1" applyBorder="1"/>
    <xf numFmtId="3" fontId="2" fillId="8" borderId="1" xfId="0" applyNumberFormat="1" applyFont="1" applyFill="1" applyBorder="1"/>
    <xf numFmtId="0" fontId="0" fillId="0" borderId="0" xfId="0" applyFill="1"/>
    <xf numFmtId="3" fontId="3" fillId="0" borderId="0" xfId="0" applyNumberFormat="1" applyFont="1"/>
    <xf numFmtId="3" fontId="0" fillId="0" borderId="0" xfId="0" applyNumberFormat="1" applyFill="1"/>
    <xf numFmtId="0" fontId="0" fillId="0" borderId="1" xfId="0" applyFill="1" applyBorder="1"/>
    <xf numFmtId="3" fontId="0" fillId="0" borderId="0" xfId="0" applyNumberFormat="1"/>
    <xf numFmtId="0" fontId="0" fillId="0" borderId="7" xfId="0" applyFill="1" applyBorder="1"/>
    <xf numFmtId="0" fontId="0" fillId="7" borderId="0" xfId="0" applyFill="1"/>
    <xf numFmtId="0" fontId="0" fillId="0" borderId="0" xfId="0" applyBorder="1"/>
    <xf numFmtId="0" fontId="0" fillId="0" borderId="0" xfId="0" applyFill="1" applyBorder="1"/>
    <xf numFmtId="10" fontId="0" fillId="0" borderId="0" xfId="1" applyNumberFormat="1" applyFo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10" fontId="0" fillId="0" borderId="9" xfId="1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right" indent="1"/>
    </xf>
    <xf numFmtId="165" fontId="0" fillId="0" borderId="0" xfId="1" applyNumberFormat="1" applyFont="1" applyBorder="1" applyAlignment="1">
      <alignment horizontal="right" indent="1"/>
    </xf>
    <xf numFmtId="164" fontId="0" fillId="0" borderId="8" xfId="2" applyNumberFormat="1" applyFont="1" applyBorder="1"/>
    <xf numFmtId="164" fontId="0" fillId="0" borderId="9" xfId="2" applyNumberFormat="1" applyFont="1" applyBorder="1"/>
    <xf numFmtId="164" fontId="0" fillId="0" borderId="10" xfId="2" applyNumberFormat="1" applyFont="1" applyBorder="1"/>
    <xf numFmtId="164" fontId="0" fillId="0" borderId="12" xfId="2" applyNumberFormat="1" applyFont="1" applyBorder="1"/>
    <xf numFmtId="0" fontId="0" fillId="0" borderId="8" xfId="0" applyBorder="1"/>
    <xf numFmtId="164" fontId="0" fillId="0" borderId="0" xfId="2" applyNumberFormat="1" applyFont="1" applyBorder="1"/>
    <xf numFmtId="164" fontId="0" fillId="0" borderId="11" xfId="2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6" fillId="0" borderId="16" xfId="3" applyNumberFormat="1" applyFont="1" applyBorder="1"/>
    <xf numFmtId="164" fontId="6" fillId="0" borderId="16" xfId="4" applyNumberFormat="1" applyFont="1" applyBorder="1"/>
    <xf numFmtId="164" fontId="6" fillId="0" borderId="17" xfId="3" applyNumberFormat="1" applyFont="1" applyBorder="1"/>
    <xf numFmtId="164" fontId="6" fillId="0" borderId="17" xfId="4" applyNumberFormat="1" applyFont="1" applyBorder="1"/>
    <xf numFmtId="164" fontId="6" fillId="0" borderId="18" xfId="3" applyNumberFormat="1" applyFont="1" applyBorder="1"/>
    <xf numFmtId="164" fontId="6" fillId="0" borderId="18" xfId="4" applyNumberFormat="1" applyFont="1" applyBorder="1"/>
    <xf numFmtId="0" fontId="0" fillId="0" borderId="10" xfId="0" applyBorder="1"/>
    <xf numFmtId="0" fontId="0" fillId="0" borderId="11" xfId="0" applyBorder="1"/>
    <xf numFmtId="164" fontId="3" fillId="0" borderId="8" xfId="2" applyNumberFormat="1" applyFont="1" applyBorder="1"/>
    <xf numFmtId="164" fontId="3" fillId="0" borderId="0" xfId="2" applyNumberFormat="1" applyFont="1" applyBorder="1"/>
    <xf numFmtId="164" fontId="3" fillId="0" borderId="9" xfId="2" applyNumberFormat="1" applyFont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164" fontId="3" fillId="0" borderId="12" xfId="2" applyNumberFormat="1" applyFont="1" applyBorder="1"/>
    <xf numFmtId="164" fontId="0" fillId="0" borderId="0" xfId="0" applyNumberFormat="1" applyFill="1" applyBorder="1"/>
    <xf numFmtId="3" fontId="11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ill="1" applyBorder="1"/>
    <xf numFmtId="3" fontId="0" fillId="0" borderId="0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12" xfId="0" applyNumberFormat="1" applyFont="1" applyFill="1" applyBorder="1"/>
    <xf numFmtId="3" fontId="3" fillId="0" borderId="21" xfId="0" applyNumberFormat="1" applyFont="1" applyBorder="1"/>
    <xf numFmtId="3" fontId="3" fillId="0" borderId="19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8" xfId="0" applyFill="1" applyBorder="1"/>
    <xf numFmtId="0" fontId="9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Border="1"/>
    <xf numFmtId="164" fontId="0" fillId="0" borderId="0" xfId="2" applyNumberFormat="1" applyFont="1" applyFill="1" applyBorder="1"/>
    <xf numFmtId="3" fontId="0" fillId="0" borderId="11" xfId="0" applyNumberFormat="1" applyBorder="1" applyAlignment="1">
      <alignment horizontal="right" indent="1"/>
    </xf>
    <xf numFmtId="165" fontId="0" fillId="0" borderId="11" xfId="1" applyNumberFormat="1" applyFont="1" applyBorder="1" applyAlignment="1">
      <alignment horizontal="right" indent="1"/>
    </xf>
    <xf numFmtId="10" fontId="0" fillId="0" borderId="0" xfId="1" applyNumberFormat="1" applyFont="1" applyBorder="1"/>
    <xf numFmtId="0" fontId="8" fillId="0" borderId="0" xfId="0" applyFont="1" applyFill="1"/>
    <xf numFmtId="0" fontId="12" fillId="0" borderId="0" xfId="0" applyFont="1" applyFill="1"/>
    <xf numFmtId="0" fontId="2" fillId="0" borderId="0" xfId="0" applyFont="1" applyBorder="1" applyAlignment="1">
      <alignment horizontal="center" vertical="center" wrapText="1"/>
    </xf>
    <xf numFmtId="164" fontId="0" fillId="0" borderId="0" xfId="2" applyNumberFormat="1" applyFont="1" applyFill="1"/>
    <xf numFmtId="0" fontId="10" fillId="0" borderId="0" xfId="0" applyFont="1" applyBorder="1" applyAlignment="1"/>
    <xf numFmtId="0" fontId="10" fillId="0" borderId="0" xfId="0" applyFont="1"/>
    <xf numFmtId="0" fontId="13" fillId="0" borderId="24" xfId="5"/>
    <xf numFmtId="0" fontId="14" fillId="0" borderId="1" xfId="0" applyFont="1" applyBorder="1"/>
    <xf numFmtId="0" fontId="14" fillId="3" borderId="1" xfId="0" applyFont="1" applyFill="1" applyBorder="1" applyAlignment="1">
      <alignment horizontal="center" wrapText="1"/>
    </xf>
    <xf numFmtId="3" fontId="14" fillId="5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15" fillId="5" borderId="1" xfId="0" applyFont="1" applyFill="1" applyBorder="1" applyAlignment="1">
      <alignment wrapText="1"/>
    </xf>
    <xf numFmtId="0" fontId="15" fillId="6" borderId="1" xfId="0" applyFont="1" applyFill="1" applyBorder="1" applyAlignment="1">
      <alignment wrapText="1"/>
    </xf>
    <xf numFmtId="0" fontId="15" fillId="7" borderId="1" xfId="0" applyFont="1" applyFill="1" applyBorder="1" applyAlignment="1">
      <alignment wrapText="1"/>
    </xf>
    <xf numFmtId="3" fontId="15" fillId="7" borderId="1" xfId="0" applyNumberFormat="1" applyFont="1" applyFill="1" applyBorder="1" applyAlignment="1">
      <alignment wrapText="1"/>
    </xf>
    <xf numFmtId="0" fontId="15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wrapText="1"/>
    </xf>
    <xf numFmtId="0" fontId="15" fillId="0" borderId="1" xfId="0" applyFont="1" applyBorder="1"/>
    <xf numFmtId="3" fontId="15" fillId="2" borderId="1" xfId="0" applyNumberFormat="1" applyFont="1" applyFill="1" applyBorder="1"/>
    <xf numFmtId="3" fontId="15" fillId="3" borderId="1" xfId="0" applyNumberFormat="1" applyFont="1" applyFill="1" applyBorder="1"/>
    <xf numFmtId="3" fontId="15" fillId="4" borderId="1" xfId="0" applyNumberFormat="1" applyFont="1" applyFill="1" applyBorder="1"/>
    <xf numFmtId="9" fontId="15" fillId="4" borderId="1" xfId="1" applyFont="1" applyFill="1" applyBorder="1"/>
    <xf numFmtId="3" fontId="15" fillId="5" borderId="1" xfId="0" applyNumberFormat="1" applyFont="1" applyFill="1" applyBorder="1"/>
    <xf numFmtId="3" fontId="15" fillId="6" borderId="1" xfId="0" applyNumberFormat="1" applyFont="1" applyFill="1" applyBorder="1"/>
    <xf numFmtId="10" fontId="15" fillId="7" borderId="1" xfId="1" applyNumberFormat="1" applyFont="1" applyFill="1" applyBorder="1"/>
    <xf numFmtId="9" fontId="15" fillId="7" borderId="1" xfId="1" applyFont="1" applyFill="1" applyBorder="1"/>
    <xf numFmtId="3" fontId="15" fillId="7" borderId="1" xfId="0" applyNumberFormat="1" applyFont="1" applyFill="1" applyBorder="1"/>
    <xf numFmtId="3" fontId="15" fillId="8" borderId="1" xfId="0" applyNumberFormat="1" applyFont="1" applyFill="1" applyBorder="1"/>
    <xf numFmtId="3" fontId="14" fillId="8" borderId="1" xfId="0" applyNumberFormat="1" applyFont="1" applyFill="1" applyBorder="1"/>
    <xf numFmtId="0" fontId="15" fillId="0" borderId="0" xfId="0" applyFont="1"/>
    <xf numFmtId="0" fontId="0" fillId="0" borderId="13" xfId="0" applyFill="1" applyBorder="1"/>
    <xf numFmtId="0" fontId="0" fillId="0" borderId="15" xfId="0" applyBorder="1"/>
    <xf numFmtId="0" fontId="0" fillId="0" borderId="13" xfId="0" applyBorder="1"/>
    <xf numFmtId="0" fontId="0" fillId="0" borderId="9" xfId="0" applyBorder="1"/>
    <xf numFmtId="164" fontId="0" fillId="0" borderId="15" xfId="2" applyNumberFormat="1" applyFont="1" applyBorder="1"/>
    <xf numFmtId="164" fontId="15" fillId="0" borderId="0" xfId="2" applyNumberFormat="1" applyFont="1"/>
    <xf numFmtId="43" fontId="0" fillId="0" borderId="12" xfId="2" applyFont="1" applyBorder="1"/>
    <xf numFmtId="164" fontId="0" fillId="0" borderId="13" xfId="2" applyNumberFormat="1" applyFont="1" applyBorder="1"/>
    <xf numFmtId="164" fontId="0" fillId="0" borderId="14" xfId="2" applyNumberFormat="1" applyFont="1" applyBorder="1"/>
    <xf numFmtId="43" fontId="0" fillId="0" borderId="14" xfId="2" applyFont="1" applyBorder="1"/>
    <xf numFmtId="43" fontId="0" fillId="0" borderId="9" xfId="2" applyFont="1" applyBorder="1"/>
    <xf numFmtId="164" fontId="0" fillId="0" borderId="0" xfId="2" applyNumberFormat="1" applyFont="1"/>
    <xf numFmtId="164" fontId="6" fillId="0" borderId="17" xfId="4" applyNumberFormat="1" applyFont="1" applyFill="1" applyBorder="1"/>
    <xf numFmtId="0" fontId="0" fillId="0" borderId="26" xfId="0" applyBorder="1"/>
    <xf numFmtId="164" fontId="6" fillId="0" borderId="27" xfId="4" applyNumberFormat="1" applyFont="1" applyFill="1" applyBorder="1"/>
    <xf numFmtId="0" fontId="0" fillId="0" borderId="2" xfId="0" applyBorder="1"/>
    <xf numFmtId="164" fontId="6" fillId="0" borderId="28" xfId="4" applyNumberFormat="1" applyFont="1" applyFill="1" applyBorder="1"/>
    <xf numFmtId="0" fontId="0" fillId="0" borderId="29" xfId="0" applyBorder="1"/>
    <xf numFmtId="164" fontId="6" fillId="0" borderId="16" xfId="4" applyNumberFormat="1" applyFont="1" applyFill="1" applyBorder="1"/>
    <xf numFmtId="0" fontId="0" fillId="0" borderId="15" xfId="0" applyBorder="1" applyAlignment="1">
      <alignment horizontal="center"/>
    </xf>
    <xf numFmtId="10" fontId="0" fillId="0" borderId="0" xfId="1" applyNumberFormat="1" applyFont="1" applyBorder="1" applyAlignment="1">
      <alignment horizontal="right" indent="1"/>
    </xf>
    <xf numFmtId="10" fontId="0" fillId="0" borderId="11" xfId="1" applyNumberFormat="1" applyFont="1" applyBorder="1" applyAlignment="1">
      <alignment horizontal="right" indent="1"/>
    </xf>
    <xf numFmtId="0" fontId="0" fillId="0" borderId="15" xfId="0" applyFill="1" applyBorder="1" applyAlignment="1">
      <alignment horizontal="center"/>
    </xf>
    <xf numFmtId="10" fontId="0" fillId="0" borderId="14" xfId="1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0" fontId="0" fillId="0" borderId="12" xfId="1" applyNumberFormat="1" applyFont="1" applyFill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10" fontId="0" fillId="0" borderId="15" xfId="1" applyNumberFormat="1" applyFont="1" applyBorder="1" applyAlignment="1">
      <alignment horizontal="right" indent="1"/>
    </xf>
    <xf numFmtId="3" fontId="0" fillId="0" borderId="13" xfId="0" applyNumberFormat="1" applyBorder="1"/>
    <xf numFmtId="3" fontId="0" fillId="0" borderId="8" xfId="0" applyNumberFormat="1" applyBorder="1"/>
    <xf numFmtId="3" fontId="0" fillId="0" borderId="10" xfId="0" applyNumberFormat="1" applyBorder="1"/>
    <xf numFmtId="3" fontId="0" fillId="0" borderId="22" xfId="0" applyNumberFormat="1" applyBorder="1"/>
    <xf numFmtId="164" fontId="0" fillId="0" borderId="23" xfId="2" applyNumberFormat="1" applyFont="1" applyBorder="1"/>
    <xf numFmtId="3" fontId="0" fillId="0" borderId="30" xfId="0" applyNumberFormat="1" applyBorder="1"/>
    <xf numFmtId="164" fontId="0" fillId="0" borderId="31" xfId="2" applyNumberFormat="1" applyFont="1" applyBorder="1"/>
    <xf numFmtId="3" fontId="0" fillId="0" borderId="32" xfId="0" applyNumberFormat="1" applyBorder="1"/>
    <xf numFmtId="164" fontId="0" fillId="0" borderId="33" xfId="2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14" fillId="0" borderId="1" xfId="0" applyFont="1" applyBorder="1" applyAlignment="1">
      <alignment wrapText="1"/>
    </xf>
    <xf numFmtId="164" fontId="2" fillId="0" borderId="8" xfId="0" applyNumberFormat="1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0" fontId="0" fillId="0" borderId="21" xfId="0" applyBorder="1"/>
    <xf numFmtId="0" fontId="0" fillId="0" borderId="19" xfId="0" applyBorder="1"/>
    <xf numFmtId="164" fontId="2" fillId="0" borderId="9" xfId="2" applyNumberFormat="1" applyFont="1" applyBorder="1"/>
    <xf numFmtId="164" fontId="2" fillId="0" borderId="12" xfId="2" applyNumberFormat="1" applyFont="1" applyBorder="1"/>
    <xf numFmtId="164" fontId="2" fillId="0" borderId="8" xfId="2" applyNumberFormat="1" applyFont="1" applyBorder="1"/>
    <xf numFmtId="164" fontId="2" fillId="0" borderId="10" xfId="2" applyNumberFormat="1" applyFont="1" applyBorder="1"/>
    <xf numFmtId="164" fontId="0" fillId="0" borderId="22" xfId="2" applyNumberFormat="1" applyFont="1" applyBorder="1"/>
    <xf numFmtId="164" fontId="0" fillId="0" borderId="2" xfId="2" applyNumberFormat="1" applyFont="1" applyBorder="1"/>
    <xf numFmtId="164" fontId="2" fillId="0" borderId="22" xfId="2" applyNumberFormat="1" applyFont="1" applyBorder="1"/>
    <xf numFmtId="164" fontId="2" fillId="0" borderId="23" xfId="2" applyNumberFormat="1" applyFont="1" applyBorder="1"/>
    <xf numFmtId="0" fontId="0" fillId="0" borderId="5" xfId="0" applyBorder="1"/>
    <xf numFmtId="3" fontId="0" fillId="0" borderId="2" xfId="0" applyNumberFormat="1" applyBorder="1"/>
    <xf numFmtId="3" fontId="0" fillId="0" borderId="23" xfId="0" applyNumberFormat="1" applyBorder="1"/>
    <xf numFmtId="3" fontId="0" fillId="0" borderId="5" xfId="0" applyNumberFormat="1" applyBorder="1"/>
    <xf numFmtId="3" fontId="0" fillId="0" borderId="31" xfId="0" applyNumberForma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164" fontId="0" fillId="0" borderId="38" xfId="2" applyNumberFormat="1" applyFont="1" applyBorder="1"/>
    <xf numFmtId="164" fontId="0" fillId="0" borderId="39" xfId="2" applyNumberFormat="1" applyFont="1" applyBorder="1"/>
    <xf numFmtId="164" fontId="2" fillId="0" borderId="38" xfId="0" applyNumberFormat="1" applyFont="1" applyBorder="1"/>
    <xf numFmtId="164" fontId="2" fillId="0" borderId="40" xfId="0" applyNumberFormat="1" applyFont="1" applyBorder="1"/>
    <xf numFmtId="164" fontId="0" fillId="0" borderId="32" xfId="2" applyNumberFormat="1" applyFont="1" applyBorder="1"/>
    <xf numFmtId="164" fontId="0" fillId="0" borderId="29" xfId="2" applyNumberFormat="1" applyFont="1" applyBorder="1"/>
    <xf numFmtId="164" fontId="2" fillId="0" borderId="32" xfId="0" applyNumberFormat="1" applyFont="1" applyBorder="1"/>
    <xf numFmtId="164" fontId="2" fillId="0" borderId="33" xfId="0" applyNumberFormat="1" applyFont="1" applyBorder="1"/>
    <xf numFmtId="164" fontId="0" fillId="0" borderId="40" xfId="2" applyNumberFormat="1" applyFont="1" applyBorder="1"/>
    <xf numFmtId="0" fontId="2" fillId="0" borderId="30" xfId="0" applyFont="1" applyBorder="1"/>
    <xf numFmtId="0" fontId="2" fillId="0" borderId="31" xfId="0" applyFont="1" applyBorder="1"/>
    <xf numFmtId="0" fontId="8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3" fontId="14" fillId="4" borderId="4" xfId="0" applyNumberFormat="1" applyFont="1" applyFill="1" applyBorder="1" applyAlignment="1">
      <alignment horizontal="center"/>
    </xf>
    <xf numFmtId="3" fontId="14" fillId="4" borderId="5" xfId="0" applyNumberFormat="1" applyFont="1" applyFill="1" applyBorder="1" applyAlignment="1">
      <alignment horizontal="center"/>
    </xf>
    <xf numFmtId="3" fontId="14" fillId="4" borderId="6" xfId="0" applyNumberFormat="1" applyFont="1" applyFill="1" applyBorder="1" applyAlignment="1">
      <alignment horizontal="center"/>
    </xf>
    <xf numFmtId="3" fontId="14" fillId="6" borderId="4" xfId="0" applyNumberFormat="1" applyFont="1" applyFill="1" applyBorder="1" applyAlignment="1">
      <alignment horizontal="center"/>
    </xf>
    <xf numFmtId="3" fontId="14" fillId="6" borderId="5" xfId="0" applyNumberFormat="1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3" fontId="14" fillId="6" borderId="6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8" fillId="9" borderId="15" xfId="0" applyFont="1" applyFill="1" applyBorder="1" applyAlignment="1">
      <alignment horizontal="center" vertical="center"/>
    </xf>
    <xf numFmtId="0" fontId="18" fillId="9" borderId="14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 wrapText="1"/>
    </xf>
    <xf numFmtId="0" fontId="18" fillId="9" borderId="14" xfId="0" applyFont="1" applyFill="1" applyBorder="1" applyAlignment="1">
      <alignment horizontal="center" wrapText="1"/>
    </xf>
    <xf numFmtId="0" fontId="18" fillId="9" borderId="13" xfId="0" applyFont="1" applyFill="1" applyBorder="1" applyAlignment="1">
      <alignment horizontal="center"/>
    </xf>
    <xf numFmtId="0" fontId="18" fillId="9" borderId="15" xfId="0" applyFont="1" applyFill="1" applyBorder="1" applyAlignment="1">
      <alignment horizontal="center"/>
    </xf>
    <xf numFmtId="0" fontId="18" fillId="9" borderId="14" xfId="0" applyFont="1" applyFill="1" applyBorder="1" applyAlignment="1">
      <alignment horizontal="center"/>
    </xf>
    <xf numFmtId="0" fontId="16" fillId="9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164" fontId="19" fillId="9" borderId="4" xfId="2" applyNumberFormat="1" applyFont="1" applyFill="1" applyBorder="1" applyAlignment="1">
      <alignment horizontal="center" vertical="center" wrapText="1"/>
    </xf>
    <xf numFmtId="164" fontId="19" fillId="9" borderId="6" xfId="2" applyNumberFormat="1" applyFont="1" applyFill="1" applyBorder="1" applyAlignment="1">
      <alignment horizontal="center" vertical="center" wrapText="1"/>
    </xf>
    <xf numFmtId="0" fontId="20" fillId="9" borderId="13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0" fontId="20" fillId="9" borderId="14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16" fillId="9" borderId="15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 wrapText="1"/>
    </xf>
    <xf numFmtId="0" fontId="16" fillId="9" borderId="22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 wrapText="1"/>
    </xf>
    <xf numFmtId="0" fontId="19" fillId="9" borderId="20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horizontal="center" vertical="center" wrapText="1"/>
    </xf>
    <xf numFmtId="0" fontId="19" fillId="9" borderId="13" xfId="0" applyFont="1" applyFill="1" applyBorder="1" applyAlignment="1">
      <alignment horizontal="center" vertical="center"/>
    </xf>
    <xf numFmtId="0" fontId="17" fillId="9" borderId="36" xfId="0" applyFont="1" applyFill="1" applyBorder="1"/>
    <xf numFmtId="0" fontId="17" fillId="9" borderId="37" xfId="0" applyFont="1" applyFill="1" applyBorder="1"/>
    <xf numFmtId="0" fontId="19" fillId="9" borderId="13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12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7" fillId="9" borderId="13" xfId="0" applyFont="1" applyFill="1" applyBorder="1"/>
    <xf numFmtId="0" fontId="17" fillId="9" borderId="14" xfId="0" applyFont="1" applyFill="1" applyBorder="1"/>
    <xf numFmtId="0" fontId="18" fillId="10" borderId="13" xfId="0" applyFont="1" applyFill="1" applyBorder="1" applyAlignment="1">
      <alignment horizontal="center"/>
    </xf>
    <xf numFmtId="0" fontId="18" fillId="10" borderId="15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9" fillId="10" borderId="13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horizontal="center" vertical="center" wrapText="1"/>
    </xf>
    <xf numFmtId="0" fontId="16" fillId="11" borderId="9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wrapText="1"/>
    </xf>
    <xf numFmtId="0" fontId="18" fillId="11" borderId="15" xfId="0" applyFont="1" applyFill="1" applyBorder="1" applyAlignment="1">
      <alignment horizontal="center" wrapText="1"/>
    </xf>
    <xf numFmtId="0" fontId="18" fillId="11" borderId="14" xfId="0" applyFont="1" applyFill="1" applyBorder="1" applyAlignment="1">
      <alignment horizontal="center" wrapText="1"/>
    </xf>
    <xf numFmtId="0" fontId="18" fillId="10" borderId="13" xfId="0" applyFont="1" applyFill="1" applyBorder="1" applyAlignment="1">
      <alignment horizontal="center" wrapText="1"/>
    </xf>
    <xf numFmtId="0" fontId="18" fillId="10" borderId="15" xfId="0" applyFont="1" applyFill="1" applyBorder="1" applyAlignment="1">
      <alignment horizontal="center" wrapText="1"/>
    </xf>
    <xf numFmtId="0" fontId="18" fillId="10" borderId="14" xfId="0" applyFont="1" applyFill="1" applyBorder="1" applyAlignment="1">
      <alignment horizontal="center" wrapText="1"/>
    </xf>
    <xf numFmtId="0" fontId="16" fillId="10" borderId="1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0" fillId="10" borderId="22" xfId="0" applyFill="1" applyBorder="1"/>
    <xf numFmtId="0" fontId="0" fillId="10" borderId="2" xfId="0" applyFill="1" applyBorder="1"/>
    <xf numFmtId="0" fontId="0" fillId="10" borderId="23" xfId="0" applyFill="1" applyBorder="1"/>
    <xf numFmtId="0" fontId="19" fillId="10" borderId="34" xfId="0" applyFont="1" applyFill="1" applyBorder="1" applyAlignment="1">
      <alignment horizontal="center" vertical="center" wrapText="1"/>
    </xf>
    <xf numFmtId="0" fontId="19" fillId="10" borderId="35" xfId="0" applyFont="1" applyFill="1" applyBorder="1" applyAlignment="1">
      <alignment horizontal="center" vertical="center" wrapText="1"/>
    </xf>
    <xf numFmtId="0" fontId="0" fillId="10" borderId="8" xfId="0" applyFill="1" applyBorder="1"/>
    <xf numFmtId="0" fontId="0" fillId="10" borderId="0" xfId="0" applyFill="1" applyBorder="1"/>
    <xf numFmtId="0" fontId="2" fillId="10" borderId="8" xfId="0" applyFont="1" applyFill="1" applyBorder="1"/>
    <xf numFmtId="0" fontId="2" fillId="10" borderId="9" xfId="0" applyFont="1" applyFill="1" applyBorder="1"/>
    <xf numFmtId="0" fontId="16" fillId="11" borderId="10" xfId="0" applyFont="1" applyFill="1" applyBorder="1" applyAlignment="1">
      <alignment horizontal="center" vertical="center" wrapText="1"/>
    </xf>
    <xf numFmtId="0" fontId="16" fillId="11" borderId="11" xfId="0" applyFont="1" applyFill="1" applyBorder="1" applyAlignment="1">
      <alignment horizontal="center" vertical="center" wrapText="1"/>
    </xf>
    <xf numFmtId="0" fontId="16" fillId="11" borderId="12" xfId="0" applyFont="1" applyFill="1" applyBorder="1" applyAlignment="1">
      <alignment horizontal="center" vertical="center" wrapText="1"/>
    </xf>
    <xf numFmtId="0" fontId="0" fillId="11" borderId="22" xfId="0" applyFill="1" applyBorder="1"/>
    <xf numFmtId="0" fontId="0" fillId="11" borderId="2" xfId="0" applyFill="1" applyBorder="1"/>
    <xf numFmtId="0" fontId="0" fillId="11" borderId="23" xfId="0" applyFill="1" applyBorder="1"/>
    <xf numFmtId="0" fontId="19" fillId="11" borderId="34" xfId="0" applyFont="1" applyFill="1" applyBorder="1" applyAlignment="1">
      <alignment horizontal="center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0" fillId="11" borderId="8" xfId="0" applyFill="1" applyBorder="1"/>
    <xf numFmtId="0" fontId="0" fillId="11" borderId="0" xfId="0" applyFill="1" applyBorder="1"/>
    <xf numFmtId="0" fontId="0" fillId="11" borderId="9" xfId="0" applyFill="1" applyBorder="1"/>
    <xf numFmtId="0" fontId="2" fillId="11" borderId="22" xfId="0" applyFont="1" applyFill="1" applyBorder="1"/>
    <xf numFmtId="0" fontId="2" fillId="11" borderId="23" xfId="0" applyFont="1" applyFill="1" applyBorder="1"/>
  </cellXfs>
  <cellStyles count="6">
    <cellStyle name="Comma" xfId="2" builtinId="3"/>
    <cellStyle name="Comma 2" xfId="4"/>
    <cellStyle name="Heading 1" xfId="5" builtinId="16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ims/Downloads/20141028-tribal-territory-go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 - Info"/>
      <sheetName val="App 1 - Guam"/>
      <sheetName val="App 1 - PR"/>
      <sheetName val="App 1 - Tribes"/>
      <sheetName val="App 2 - Goals option 1"/>
      <sheetName val="App 2 - Goals option 2"/>
      <sheetName val="App 3 - Cost info"/>
      <sheetName val="App 3 - Cost analysis"/>
      <sheetName val="20141028-tribal-territory-goals"/>
    </sheetNames>
    <sheetDataSet>
      <sheetData sheetId="0">
        <row r="11">
          <cell r="B11">
            <v>8784</v>
          </cell>
        </row>
        <row r="25">
          <cell r="B25">
            <v>2205</v>
          </cell>
        </row>
        <row r="26">
          <cell r="B26">
            <v>0.7</v>
          </cell>
        </row>
        <row r="27">
          <cell r="B27">
            <v>0.65</v>
          </cell>
        </row>
        <row r="28">
          <cell r="B28">
            <v>18150330</v>
          </cell>
        </row>
        <row r="29">
          <cell r="B29">
            <v>1563475</v>
          </cell>
        </row>
        <row r="30">
          <cell r="B30">
            <v>676014</v>
          </cell>
        </row>
        <row r="32">
          <cell r="B32">
            <v>48000</v>
          </cell>
        </row>
        <row r="33">
          <cell r="B33">
            <v>7.51E-2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61"/>
  <sheetViews>
    <sheetView tabSelected="1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2" style="27" customWidth="1"/>
    <col min="13" max="13" width="11.140625" style="27" customWidth="1"/>
    <col min="14" max="14" width="10.5703125" style="27" customWidth="1"/>
    <col min="15" max="15" width="11.7109375" style="27" customWidth="1"/>
    <col min="16" max="16" width="13.85546875" style="27" bestFit="1" customWidth="1"/>
    <col min="17" max="17" width="11.7109375" style="27" customWidth="1"/>
    <col min="18" max="18" width="12" style="27" customWidth="1"/>
    <col min="19" max="19" width="14.7109375" style="27" customWidth="1"/>
    <col min="20" max="30" width="15.5703125" style="27" customWidth="1"/>
    <col min="31" max="34" width="13.42578125" style="33" customWidth="1"/>
    <col min="35" max="39" width="13.42578125" style="27" customWidth="1"/>
    <col min="40" max="41" width="14.85546875" style="27" customWidth="1"/>
    <col min="42" max="42" width="15.5703125" style="29" customWidth="1"/>
    <col min="43" max="43" width="14.85546875" style="27" bestFit="1" customWidth="1"/>
    <col min="44" max="51" width="9.140625" style="27"/>
    <col min="52" max="52" width="10.140625" style="27" bestFit="1" customWidth="1"/>
    <col min="53" max="53" width="12.5703125" style="4" customWidth="1"/>
    <col min="54" max="54" width="10.85546875" style="27" customWidth="1"/>
    <col min="55" max="55" width="11.5703125" style="27" bestFit="1" customWidth="1"/>
    <col min="56" max="56" width="11.140625" style="27" bestFit="1" customWidth="1"/>
    <col min="57" max="59" width="18.7109375" style="27" customWidth="1"/>
    <col min="60" max="60" width="14.140625" style="27" customWidth="1"/>
    <col min="61" max="69" width="14" style="27" bestFit="1" customWidth="1"/>
    <col min="70" max="70" width="9.140625" style="27"/>
    <col min="71" max="71" width="14.85546875" style="27" bestFit="1" customWidth="1"/>
    <col min="72" max="80" width="9.140625" style="27"/>
    <col min="81" max="82" width="14.85546875" style="27" customWidth="1"/>
    <col min="83" max="84" width="9.140625" style="27"/>
    <col min="85" max="105" width="12.85546875" style="27" customWidth="1"/>
    <col min="106" max="107" width="15.85546875" style="27" customWidth="1"/>
    <col min="108" max="16384" width="9.140625" style="27"/>
  </cols>
  <sheetData>
    <row r="1" spans="1:107" ht="23.25" x14ac:dyDescent="0.35">
      <c r="A1" s="89" t="s">
        <v>211</v>
      </c>
      <c r="AE1" s="27"/>
      <c r="AF1" s="27"/>
      <c r="AG1" s="27"/>
      <c r="AH1" s="27"/>
    </row>
    <row r="2" spans="1:107" x14ac:dyDescent="0.25">
      <c r="A2" s="90" t="s">
        <v>178</v>
      </c>
      <c r="AE2" s="27"/>
      <c r="AF2" s="27"/>
      <c r="AG2" s="27"/>
      <c r="AH2" s="27"/>
    </row>
    <row r="3" spans="1:107" x14ac:dyDescent="0.25">
      <c r="A3" s="90" t="s">
        <v>214</v>
      </c>
      <c r="AE3" s="27"/>
      <c r="AF3" s="27"/>
      <c r="AG3" s="27"/>
      <c r="AH3" s="27"/>
    </row>
    <row r="4" spans="1:107" x14ac:dyDescent="0.25">
      <c r="A4" s="90" t="s">
        <v>213</v>
      </c>
      <c r="AE4" s="27"/>
      <c r="AF4" s="27"/>
      <c r="AG4" s="27"/>
      <c r="AH4" s="27"/>
    </row>
    <row r="5" spans="1:107" ht="24" thickBot="1" x14ac:dyDescent="0.4">
      <c r="A5" s="203" t="s">
        <v>145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G5" s="35"/>
    </row>
    <row r="6" spans="1:107" s="4" customFormat="1" ht="21.75" thickBot="1" x14ac:dyDescent="0.4">
      <c r="A6" s="1"/>
      <c r="B6" s="204" t="s">
        <v>92</v>
      </c>
      <c r="C6" s="204"/>
      <c r="D6" s="204"/>
      <c r="E6" s="204"/>
      <c r="F6" s="204"/>
      <c r="G6" s="204"/>
      <c r="H6" s="204"/>
      <c r="I6" s="204"/>
      <c r="J6" s="204"/>
      <c r="K6" s="205"/>
      <c r="L6" s="2" t="s">
        <v>0</v>
      </c>
      <c r="M6" s="206" t="s">
        <v>1</v>
      </c>
      <c r="N6" s="207"/>
      <c r="O6" s="207"/>
      <c r="P6" s="207"/>
      <c r="Q6" s="207"/>
      <c r="R6" s="207"/>
      <c r="S6" s="208"/>
      <c r="T6" s="3" t="s">
        <v>2</v>
      </c>
      <c r="U6" s="209" t="s">
        <v>3</v>
      </c>
      <c r="V6" s="210"/>
      <c r="W6" s="210"/>
      <c r="X6" s="210"/>
      <c r="Y6" s="210"/>
      <c r="Z6" s="210"/>
      <c r="AA6" s="210"/>
      <c r="AB6" s="210"/>
      <c r="AC6" s="210"/>
      <c r="AD6" s="211"/>
      <c r="AE6" s="212" t="s">
        <v>94</v>
      </c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4" t="s">
        <v>4</v>
      </c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6"/>
      <c r="BE6" s="276" t="s">
        <v>152</v>
      </c>
      <c r="BF6" s="276" t="s">
        <v>198</v>
      </c>
      <c r="BG6" s="83"/>
      <c r="BH6" s="287" t="s">
        <v>150</v>
      </c>
      <c r="BI6" s="288"/>
      <c r="BJ6" s="288"/>
      <c r="BK6" s="288"/>
      <c r="BL6" s="288"/>
      <c r="BM6" s="288"/>
      <c r="BN6" s="288"/>
      <c r="BO6" s="288"/>
      <c r="BP6" s="288"/>
      <c r="BQ6" s="289"/>
      <c r="BS6" s="287" t="s">
        <v>207</v>
      </c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9"/>
      <c r="CG6" s="295" t="s">
        <v>151</v>
      </c>
      <c r="CH6" s="296"/>
      <c r="CI6" s="296"/>
      <c r="CJ6" s="296"/>
      <c r="CK6" s="296"/>
      <c r="CL6" s="296"/>
      <c r="CM6" s="296"/>
      <c r="CN6" s="296"/>
      <c r="CO6" s="296"/>
      <c r="CP6" s="297"/>
      <c r="CR6" s="295" t="s">
        <v>206</v>
      </c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7"/>
    </row>
    <row r="7" spans="1:107" s="15" customFormat="1" ht="90" customHeight="1" x14ac:dyDescent="0.25">
      <c r="A7" s="5" t="s">
        <v>5</v>
      </c>
      <c r="B7" s="6" t="s">
        <v>6</v>
      </c>
      <c r="C7" s="6" t="s">
        <v>7</v>
      </c>
      <c r="D7" s="6" t="s">
        <v>95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  <c r="N7" s="8" t="s">
        <v>96</v>
      </c>
      <c r="O7" s="8" t="s">
        <v>17</v>
      </c>
      <c r="P7" s="8" t="s">
        <v>8</v>
      </c>
      <c r="Q7" s="8" t="s">
        <v>12</v>
      </c>
      <c r="R7" s="8" t="s">
        <v>18</v>
      </c>
      <c r="S7" s="8" t="s">
        <v>19</v>
      </c>
      <c r="T7" s="9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27</v>
      </c>
      <c r="AB7" s="10" t="s">
        <v>28</v>
      </c>
      <c r="AC7" s="10" t="s">
        <v>29</v>
      </c>
      <c r="AD7" s="10" t="s">
        <v>30</v>
      </c>
      <c r="AE7" s="11" t="s">
        <v>31</v>
      </c>
      <c r="AF7" s="11" t="s">
        <v>32</v>
      </c>
      <c r="AG7" s="11" t="s">
        <v>33</v>
      </c>
      <c r="AH7" s="11" t="s">
        <v>34</v>
      </c>
      <c r="AI7" s="11" t="s">
        <v>35</v>
      </c>
      <c r="AJ7" s="11" t="s">
        <v>36</v>
      </c>
      <c r="AK7" s="11" t="s">
        <v>37</v>
      </c>
      <c r="AL7" s="11" t="s">
        <v>38</v>
      </c>
      <c r="AM7" s="11" t="s">
        <v>39</v>
      </c>
      <c r="AN7" s="11" t="s">
        <v>40</v>
      </c>
      <c r="AO7" s="11" t="s">
        <v>41</v>
      </c>
      <c r="AP7" s="12" t="s">
        <v>91</v>
      </c>
      <c r="AQ7" s="13">
        <v>2020</v>
      </c>
      <c r="AR7" s="13">
        <v>2021</v>
      </c>
      <c r="AS7" s="13">
        <v>2022</v>
      </c>
      <c r="AT7" s="13">
        <v>2023</v>
      </c>
      <c r="AU7" s="13">
        <v>2024</v>
      </c>
      <c r="AV7" s="13">
        <v>2025</v>
      </c>
      <c r="AW7" s="13">
        <v>2026</v>
      </c>
      <c r="AX7" s="13">
        <v>2027</v>
      </c>
      <c r="AY7" s="13">
        <v>2028</v>
      </c>
      <c r="AZ7" s="13">
        <v>2029</v>
      </c>
      <c r="BA7" s="14" t="s">
        <v>93</v>
      </c>
      <c r="BB7" s="14" t="s">
        <v>97</v>
      </c>
      <c r="BE7" s="277"/>
      <c r="BF7" s="277"/>
      <c r="BG7" s="83"/>
      <c r="BH7" s="290">
        <v>2020</v>
      </c>
      <c r="BI7" s="291">
        <v>2021</v>
      </c>
      <c r="BJ7" s="291">
        <v>2022</v>
      </c>
      <c r="BK7" s="291">
        <v>2023</v>
      </c>
      <c r="BL7" s="291">
        <v>2024</v>
      </c>
      <c r="BM7" s="291">
        <v>2025</v>
      </c>
      <c r="BN7" s="291">
        <v>2026</v>
      </c>
      <c r="BO7" s="291">
        <v>2027</v>
      </c>
      <c r="BP7" s="291">
        <v>2028</v>
      </c>
      <c r="BQ7" s="292">
        <v>2029</v>
      </c>
      <c r="BS7" s="290">
        <v>2020</v>
      </c>
      <c r="BT7" s="291">
        <v>2021</v>
      </c>
      <c r="BU7" s="291">
        <v>2022</v>
      </c>
      <c r="BV7" s="291">
        <v>2023</v>
      </c>
      <c r="BW7" s="291">
        <v>2024</v>
      </c>
      <c r="BX7" s="291">
        <v>2025</v>
      </c>
      <c r="BY7" s="291">
        <v>2026</v>
      </c>
      <c r="BZ7" s="291">
        <v>2027</v>
      </c>
      <c r="CA7" s="291">
        <v>2028</v>
      </c>
      <c r="CB7" s="291">
        <v>2029</v>
      </c>
      <c r="CC7" s="293" t="s">
        <v>148</v>
      </c>
      <c r="CD7" s="294" t="s">
        <v>149</v>
      </c>
      <c r="CG7" s="298">
        <v>2020</v>
      </c>
      <c r="CH7" s="299">
        <v>2021</v>
      </c>
      <c r="CI7" s="299">
        <v>2022</v>
      </c>
      <c r="CJ7" s="299">
        <v>2023</v>
      </c>
      <c r="CK7" s="299">
        <v>2024</v>
      </c>
      <c r="CL7" s="299">
        <v>2025</v>
      </c>
      <c r="CM7" s="299">
        <v>2026</v>
      </c>
      <c r="CN7" s="299">
        <v>2027</v>
      </c>
      <c r="CO7" s="299">
        <v>2028</v>
      </c>
      <c r="CP7" s="300">
        <v>2029</v>
      </c>
      <c r="CR7" s="298">
        <v>2020</v>
      </c>
      <c r="CS7" s="299">
        <v>2021</v>
      </c>
      <c r="CT7" s="299">
        <v>2022</v>
      </c>
      <c r="CU7" s="299">
        <v>2023</v>
      </c>
      <c r="CV7" s="299">
        <v>2024</v>
      </c>
      <c r="CW7" s="299">
        <v>2025</v>
      </c>
      <c r="CX7" s="299">
        <v>2026</v>
      </c>
      <c r="CY7" s="299">
        <v>2027</v>
      </c>
      <c r="CZ7" s="299">
        <v>2028</v>
      </c>
      <c r="DA7" s="299">
        <v>2029</v>
      </c>
      <c r="DB7" s="301" t="s">
        <v>148</v>
      </c>
      <c r="DC7" s="302" t="s">
        <v>149</v>
      </c>
    </row>
    <row r="8" spans="1:107" ht="15" customHeight="1" x14ac:dyDescent="0.25">
      <c r="A8" s="16" t="s">
        <v>42</v>
      </c>
      <c r="B8" s="17">
        <v>2264.0354115</v>
      </c>
      <c r="C8" s="17">
        <v>876.68376069999999</v>
      </c>
      <c r="D8" s="17">
        <v>0</v>
      </c>
      <c r="E8" s="17">
        <v>0</v>
      </c>
      <c r="F8" s="17">
        <v>46045176</v>
      </c>
      <c r="G8" s="17">
        <v>53492095.964400001</v>
      </c>
      <c r="H8" s="17">
        <v>0</v>
      </c>
      <c r="I8" s="17">
        <v>0</v>
      </c>
      <c r="J8" s="17">
        <v>10333.1</v>
      </c>
      <c r="K8" s="17">
        <v>0</v>
      </c>
      <c r="L8" s="18">
        <f>B8*0.94</f>
        <v>2128.1932868099998</v>
      </c>
      <c r="M8" s="19">
        <f t="shared" ref="M8:M18" si="0">MAX(F8-((O8-G8)*(F8/(F8+H8))), 0)</f>
        <v>36001106.6844</v>
      </c>
      <c r="N8" s="19">
        <f t="shared" ref="N8:N18" si="1">MAX(H8-((O8-G8)*(H8/(H8+F8))),0)</f>
        <v>0</v>
      </c>
      <c r="O8" s="19">
        <f t="shared" ref="O8:O56" si="2">MIN(((J8*8784*0.7)+(0.15*K8*8784)), SUM(F8:H8))</f>
        <v>63536165.280000001</v>
      </c>
      <c r="P8" s="19">
        <f>0.55*8784*C8*K8+E8</f>
        <v>0</v>
      </c>
      <c r="Q8" s="19">
        <f>K8*8784*0.55+I8</f>
        <v>0</v>
      </c>
      <c r="R8" s="20">
        <f>G8/(8784*J8)</f>
        <v>0.5893409998866711</v>
      </c>
      <c r="S8" s="20">
        <f>(O8-(0.15*8784*K8))/(8784*J8)</f>
        <v>0.7</v>
      </c>
      <c r="T8" s="21">
        <v>2329528.2830145163</v>
      </c>
      <c r="U8" s="22">
        <v>4596882.7422880698</v>
      </c>
      <c r="V8" s="22">
        <v>5214380.8872008417</v>
      </c>
      <c r="W8" s="22">
        <v>5914827.408295366</v>
      </c>
      <c r="X8" s="22">
        <v>6709364.7408451298</v>
      </c>
      <c r="Y8" s="22">
        <v>7610632.0807540147</v>
      </c>
      <c r="Z8" s="22">
        <v>8632966.4440490995</v>
      </c>
      <c r="AA8" s="22">
        <v>9792630.7346464135</v>
      </c>
      <c r="AB8" s="22">
        <v>11108072.448404405</v>
      </c>
      <c r="AC8" s="22">
        <v>12600217.128830224</v>
      </c>
      <c r="AD8" s="22">
        <v>14292801.242619921</v>
      </c>
      <c r="AE8" s="23">
        <v>1.3565448857668829E-2</v>
      </c>
      <c r="AF8" s="23">
        <v>2.1110249168110995E-2</v>
      </c>
      <c r="AG8" s="23">
        <v>3.0020743411710758E-2</v>
      </c>
      <c r="AH8" s="23">
        <v>4.0142900821594239E-2</v>
      </c>
      <c r="AI8" s="23">
        <v>5.1321765299617413E-2</v>
      </c>
      <c r="AJ8" s="23">
        <v>6.1878068330440204E-2</v>
      </c>
      <c r="AK8" s="23">
        <v>7.1467168062364167E-2</v>
      </c>
      <c r="AL8" s="23">
        <v>8.0128552787421717E-2</v>
      </c>
      <c r="AM8" s="23">
        <v>8.7899819948471861E-2</v>
      </c>
      <c r="AN8" s="23">
        <v>9.4816763133538096E-2</v>
      </c>
      <c r="AO8" s="23">
        <v>1.5062729353312405</v>
      </c>
      <c r="AP8" s="24">
        <v>92654857.354800001</v>
      </c>
      <c r="AQ8" s="25">
        <f t="shared" ref="AQ8:AZ34" si="3">(($L8*$M8)+($N8*$D8)+($C8*$O8)+$P8)/($M8+$N8+$O8+$Q8+$T8+U8+(MIN(AE8*$AP8,$AP8*$AO8*AE8)))</f>
        <v>1228.3486442470935</v>
      </c>
      <c r="AR8" s="25">
        <f t="shared" si="3"/>
        <v>1213.5170443569389</v>
      </c>
      <c r="AS8" s="25">
        <f t="shared" si="3"/>
        <v>1196.767490824541</v>
      </c>
      <c r="AT8" s="25">
        <f t="shared" si="3"/>
        <v>1178.3047438250137</v>
      </c>
      <c r="AU8" s="25">
        <f t="shared" si="3"/>
        <v>1158.3242250929225</v>
      </c>
      <c r="AV8" s="25">
        <f t="shared" si="3"/>
        <v>1138.3889073566238</v>
      </c>
      <c r="AW8" s="25">
        <f t="shared" si="3"/>
        <v>1118.6767237964684</v>
      </c>
      <c r="AX8" s="25">
        <f t="shared" si="3"/>
        <v>1098.9979027854151</v>
      </c>
      <c r="AY8" s="25">
        <f t="shared" si="3"/>
        <v>1079.1694588194223</v>
      </c>
      <c r="AZ8" s="25">
        <f t="shared" si="3"/>
        <v>1059.0148661971609</v>
      </c>
      <c r="BA8" s="26">
        <f>AVERAGE(AQ8:AZ8)</f>
        <v>1146.9510007301601</v>
      </c>
      <c r="BB8" s="26">
        <f>AZ8</f>
        <v>1059.0148661971609</v>
      </c>
      <c r="BC8" s="69"/>
      <c r="BD8" s="70"/>
      <c r="BE8" s="79">
        <f>M8+N8+O8+Q8</f>
        <v>99537271.964399993</v>
      </c>
      <c r="BF8" s="79">
        <f>((B8*F8)+(C8*G8)+(D8*H8)+E8)/2204.62*10^-3</f>
        <v>68557.647508661554</v>
      </c>
      <c r="BG8" s="84"/>
      <c r="BH8" s="63">
        <f>MAX($BE8-VLOOKUP($A8,'RE Generation'!$A$4:$M$52,'Mass Equivalents - States, Opt1'!BH$7-2016,0)-VLOOKUP('Mass Equivalents - States, Opt1'!$A8,'EE Avoided Generation'!$A$4:$K$52,'Mass Equivalents - States, Opt1'!BH$7-2018,0)-VLOOKUP($A8,'Under Construction Nuclear'!$B$5:$D$53,3,0),0)+U8+$T8+VLOOKUP('Mass Equivalents - States, Opt1'!$A8,'EE Avoided Generation'!$A$4:$K$52,'Mass Equivalents - States, Opt1'!BH$7-2018,0)</f>
        <v>104643354.24741451</v>
      </c>
      <c r="BI8" s="64">
        <f>MAX($BE8-VLOOKUP($A8,'RE Generation'!$A$4:$M$52,'Mass Equivalents - States, Opt1'!BI$7-2016,0)-VLOOKUP('Mass Equivalents - States, Opt1'!$A8,'EE Avoided Generation'!$A$4:$K$52,'Mass Equivalents - States, Opt1'!BI$7-2018,0)-VLOOKUP($A8,'Under Construction Nuclear'!$B$5:$D$53,3,0),0)+V8+$T8+VLOOKUP('Mass Equivalents - States, Opt1'!$A8,'EE Avoided Generation'!$A$4:$K$52,'Mass Equivalents - States, Opt1'!BI$7-2018,0)</f>
        <v>104643354.24741451</v>
      </c>
      <c r="BJ8" s="64">
        <f>MAX($BE8-VLOOKUP($A8,'RE Generation'!$A$4:$M$52,'Mass Equivalents - States, Opt1'!BJ$7-2016,0)-VLOOKUP('Mass Equivalents - States, Opt1'!$A8,'EE Avoided Generation'!$A$4:$K$52,'Mass Equivalents - States, Opt1'!BJ$7-2018,0)-VLOOKUP($A8,'Under Construction Nuclear'!$B$5:$D$53,3,0),0)+W8+$T8+VLOOKUP('Mass Equivalents - States, Opt1'!$A8,'EE Avoided Generation'!$A$4:$K$52,'Mass Equivalents - States, Opt1'!BJ$7-2018,0)</f>
        <v>104643354.24741451</v>
      </c>
      <c r="BK8" s="64">
        <f>MAX($BE8-VLOOKUP($A8,'RE Generation'!$A$4:$M$52,'Mass Equivalents - States, Opt1'!BK$7-2016,0)-VLOOKUP('Mass Equivalents - States, Opt1'!$A8,'EE Avoided Generation'!$A$4:$K$52,'Mass Equivalents - States, Opt1'!BK$7-2018,0)-VLOOKUP($A8,'Under Construction Nuclear'!$B$5:$D$53,3,0),0)+X8+$T8+VLOOKUP('Mass Equivalents - States, Opt1'!$A8,'EE Avoided Generation'!$A$4:$K$52,'Mass Equivalents - States, Opt1'!BK$7-2018,0)</f>
        <v>104643354.24741451</v>
      </c>
      <c r="BL8" s="64">
        <f>MAX($BE8-VLOOKUP($A8,'RE Generation'!$A$4:$M$52,'Mass Equivalents - States, Opt1'!BL$7-2016,0)-VLOOKUP('Mass Equivalents - States, Opt1'!$A8,'EE Avoided Generation'!$A$4:$K$52,'Mass Equivalents - States, Opt1'!BL$7-2018,0)-VLOOKUP($A8,'Under Construction Nuclear'!$B$5:$D$53,3,0),0)+Y8+$T8+VLOOKUP('Mass Equivalents - States, Opt1'!$A8,'EE Avoided Generation'!$A$4:$K$52,'Mass Equivalents - States, Opt1'!BL$7-2018,0)</f>
        <v>104643354.24741453</v>
      </c>
      <c r="BM8" s="64">
        <f>MAX($BE8-VLOOKUP($A8,'RE Generation'!$A$4:$M$52,'Mass Equivalents - States, Opt1'!BM$7-2016,0)-VLOOKUP('Mass Equivalents - States, Opt1'!$A8,'EE Avoided Generation'!$A$4:$K$52,'Mass Equivalents - States, Opt1'!BM$7-2018,0)-VLOOKUP($A8,'Under Construction Nuclear'!$B$5:$D$53,3,0),0)+Z8+$T8+VLOOKUP('Mass Equivalents - States, Opt1'!$A8,'EE Avoided Generation'!$A$4:$K$52,'Mass Equivalents - States, Opt1'!BM$7-2018,0)</f>
        <v>104643354.24741451</v>
      </c>
      <c r="BN8" s="64">
        <f>MAX($BE8-VLOOKUP($A8,'RE Generation'!$A$4:$M$52,'Mass Equivalents - States, Opt1'!BN$7-2016,0)-VLOOKUP('Mass Equivalents - States, Opt1'!$A8,'EE Avoided Generation'!$A$4:$K$52,'Mass Equivalents - States, Opt1'!BN$7-2018,0)-VLOOKUP($A8,'Under Construction Nuclear'!$B$5:$D$53,3,0),0)+AA8+$T8+VLOOKUP('Mass Equivalents - States, Opt1'!$A8,'EE Avoided Generation'!$A$4:$K$52,'Mass Equivalents - States, Opt1'!BN$7-2018,0)</f>
        <v>104643354.24741451</v>
      </c>
      <c r="BO8" s="64">
        <f>MAX($BE8-VLOOKUP($A8,'RE Generation'!$A$4:$M$52,'Mass Equivalents - States, Opt1'!BO$7-2016,0)-VLOOKUP('Mass Equivalents - States, Opt1'!$A8,'EE Avoided Generation'!$A$4:$K$52,'Mass Equivalents - States, Opt1'!BO$7-2018,0)-VLOOKUP($A8,'Under Construction Nuclear'!$B$5:$D$53,3,0),0)+AB8+$T8+VLOOKUP('Mass Equivalents - States, Opt1'!$A8,'EE Avoided Generation'!$A$4:$K$52,'Mass Equivalents - States, Opt1'!BO$7-2018,0)</f>
        <v>104643354.24741451</v>
      </c>
      <c r="BP8" s="64">
        <f>MAX($BE8-VLOOKUP($A8,'RE Generation'!$A$4:$M$52,'Mass Equivalents - States, Opt1'!BP$7-2016,0)-VLOOKUP('Mass Equivalents - States, Opt1'!$A8,'EE Avoided Generation'!$A$4:$K$52,'Mass Equivalents - States, Opt1'!BP$7-2018,0)-VLOOKUP($A8,'Under Construction Nuclear'!$B$5:$D$53,3,0),0)+AC8+$T8+VLOOKUP('Mass Equivalents - States, Opt1'!$A8,'EE Avoided Generation'!$A$4:$K$52,'Mass Equivalents - States, Opt1'!BP$7-2018,0)</f>
        <v>104643354.24741451</v>
      </c>
      <c r="BQ8" s="65">
        <f>MAX($BE8-VLOOKUP($A8,'RE Generation'!$A$4:$M$52,'Mass Equivalents - States, Opt1'!BQ$7-2016,0)-VLOOKUP('Mass Equivalents - States, Opt1'!$A8,'EE Avoided Generation'!$A$4:$K$52,'Mass Equivalents - States, Opt1'!BQ$7-2018,0)-VLOOKUP($A8,'Under Construction Nuclear'!$B$5:$D$53,3,0),0)+AD8+$T8+VLOOKUP('Mass Equivalents - States, Opt1'!$A8,'EE Avoided Generation'!$A$4:$K$52,'Mass Equivalents - States, Opt1'!BQ$7-2018,0)</f>
        <v>104643354.24741451</v>
      </c>
      <c r="BR8" s="29"/>
      <c r="BS8" s="71">
        <f t="shared" ref="BS8:BS39" si="4">BH8*AQ8/2204.62*10^-3</f>
        <v>58304.16231336011</v>
      </c>
      <c r="BT8" s="72">
        <f t="shared" ref="BT8:BT39" si="5">BI8*AR8/2204.62*10^-3</f>
        <v>57600.173253403576</v>
      </c>
      <c r="BU8" s="72">
        <f t="shared" ref="BU8:BU39" si="6">BJ8*AS8/2204.62*10^-3</f>
        <v>56805.147596475523</v>
      </c>
      <c r="BV8" s="72">
        <f t="shared" ref="BV8:BV39" si="7">BK8*AT8/2204.62*10^-3</f>
        <v>55928.80438329051</v>
      </c>
      <c r="BW8" s="72">
        <f t="shared" ref="BW8:BW39" si="8">BL8*AU8/2204.62*10^-3</f>
        <v>54980.419400967337</v>
      </c>
      <c r="BX8" s="72">
        <f t="shared" ref="BX8:BX39" si="9">BM8*AV8/2204.62*10^-3</f>
        <v>54034.179905764409</v>
      </c>
      <c r="BY8" s="72">
        <f t="shared" ref="BY8:BY39" si="10">BN8*AW8/2204.62*10^-3</f>
        <v>53098.531582118885</v>
      </c>
      <c r="BZ8" s="72">
        <f t="shared" ref="BZ8:BZ39" si="11">BO8*AX8/2204.62*10^-3</f>
        <v>52164.466827997487</v>
      </c>
      <c r="CA8" s="72">
        <f t="shared" ref="CA8:CA39" si="12">BP8*AY8/2204.62*10^-3</f>
        <v>51223.300147976261</v>
      </c>
      <c r="CB8" s="72">
        <f t="shared" ref="CB8:CB39" si="13">BQ8*AZ8/2204.62*10^-3</f>
        <v>50266.652664290355</v>
      </c>
      <c r="CC8" s="75">
        <f>AVERAGE(BS8:CB8)</f>
        <v>54440.583807564442</v>
      </c>
      <c r="CD8" s="76">
        <f>CB8</f>
        <v>50266.652664290355</v>
      </c>
      <c r="CG8" s="63">
        <f>BH8+VLOOKUP($A8,'Incremental Demand for New Gen'!$AG$5:$AQ$53,'Mass Equivalents - States, Opt1'!BH$7-2018,0)</f>
        <v>112984567.52881372</v>
      </c>
      <c r="CH8" s="64">
        <f>BI8+VLOOKUP($A8,'Incremental Demand for New Gen'!$AG$5:$AQ$53,'Mass Equivalents - States, Opt1'!BI$7-2018,0)</f>
        <v>114078654.51541176</v>
      </c>
      <c r="CI8" s="64">
        <f>BJ8+VLOOKUP($A8,'Incremental Demand for New Gen'!$AG$5:$AQ$53,'Mass Equivalents - States, Opt1'!BJ$7-2018,0)</f>
        <v>115184586.64222044</v>
      </c>
      <c r="CJ8" s="64">
        <f>BK8+VLOOKUP($A8,'Incremental Demand for New Gen'!$AG$5:$AQ$53,'Mass Equivalents - States, Opt1'!BK$7-2018,0)</f>
        <v>116302492.15073086</v>
      </c>
      <c r="CK8" s="64">
        <f>BL8+VLOOKUP($A8,'Incremental Demand for New Gen'!$AG$5:$AQ$53,'Mass Equivalents - States, Opt1'!BL$7-2018,0)</f>
        <v>117432500.67084163</v>
      </c>
      <c r="CL8" s="64">
        <f>BM8+VLOOKUP($A8,'Incremental Demand for New Gen'!$AG$5:$AQ$53,'Mass Equivalents - States, Opt1'!BM$7-2018,0)</f>
        <v>118574743.23589016</v>
      </c>
      <c r="CM8" s="64">
        <f>BN8+VLOOKUP($A8,'Incremental Demand for New Gen'!$AG$5:$AQ$53,'Mass Equivalents - States, Opt1'!BN$7-2018,0)</f>
        <v>119729352.29784735</v>
      </c>
      <c r="CN8" s="64">
        <f>BO8+VLOOKUP($A8,'Incremental Demand for New Gen'!$AG$5:$AQ$53,'Mass Equivalents - States, Opt1'!BO$7-2018,0)</f>
        <v>120896461.74267614</v>
      </c>
      <c r="CO8" s="64">
        <f>BP8+VLOOKUP($A8,'Incremental Demand for New Gen'!$AG$5:$AQ$53,'Mass Equivalents - States, Opt1'!BP$7-2018,0)</f>
        <v>122076206.90585686</v>
      </c>
      <c r="CP8" s="65">
        <f>BQ8+VLOOKUP($A8,'Incremental Demand for New Gen'!$AG$5:$AQ$53,'Mass Equivalents - States, Opt1'!BQ$7-2018,0)</f>
        <v>123268724.58808027</v>
      </c>
      <c r="CQ8" s="29"/>
      <c r="CR8" s="71">
        <f t="shared" ref="CR8:CR39" si="14">CG8*AQ8/2204.62*10^-3</f>
        <v>62951.638080423167</v>
      </c>
      <c r="CS8" s="72">
        <f t="shared" ref="CS8:CS39" si="15">CH8*AR8/2204.62*10^-3</f>
        <v>62793.765661093006</v>
      </c>
      <c r="CT8" s="72">
        <f t="shared" ref="CT8:CT39" si="16">CI8*AS8/2204.62*10^-3</f>
        <v>62527.40551091441</v>
      </c>
      <c r="CU8" s="72">
        <f t="shared" ref="CU8:CU39" si="17">CJ8*AT8/2204.62*10^-3</f>
        <v>62160.271711169094</v>
      </c>
      <c r="CV8" s="72">
        <f t="shared" ref="CV8:CV39" si="18">CK8*AU8/2204.62*10^-3</f>
        <v>61699.934836968161</v>
      </c>
      <c r="CW8" s="72">
        <f t="shared" ref="CW8:CW39" si="19">CL8*AV8/2204.62*10^-3</f>
        <v>61227.863483229412</v>
      </c>
      <c r="CX8" s="72">
        <f t="shared" ref="CX8:CX39" si="20">CM8*AW8/2204.62*10^-3</f>
        <v>60753.526490201955</v>
      </c>
      <c r="CY8" s="72">
        <f t="shared" ref="CY8:CY39" si="21">CN8*AX8/2204.62*10^-3</f>
        <v>60266.602820158689</v>
      </c>
      <c r="CZ8" s="72">
        <f t="shared" ref="CZ8:CZ39" si="22">CO8*AY8/2204.62*10^-3</f>
        <v>59756.744537072773</v>
      </c>
      <c r="DA8" s="72">
        <f t="shared" ref="DA8:DA39" si="23">CP8*AZ8/2204.62*10^-3</f>
        <v>59213.566000462895</v>
      </c>
      <c r="DB8" s="75">
        <f>AVERAGE(CR8:DA8)</f>
        <v>61335.131913169345</v>
      </c>
      <c r="DC8" s="76">
        <f>DA8</f>
        <v>59213.566000462895</v>
      </c>
    </row>
    <row r="9" spans="1:107" x14ac:dyDescent="0.25">
      <c r="A9" s="16" t="s">
        <v>43</v>
      </c>
      <c r="B9" s="17">
        <v>2851.8639784000002</v>
      </c>
      <c r="C9" s="17">
        <v>1149.0343319000001</v>
      </c>
      <c r="D9" s="17">
        <v>0</v>
      </c>
      <c r="E9" s="17">
        <v>1179006933.8139415</v>
      </c>
      <c r="F9" s="17">
        <v>215407</v>
      </c>
      <c r="G9" s="17">
        <v>2204942.0011</v>
      </c>
      <c r="H9" s="17">
        <v>0</v>
      </c>
      <c r="I9" s="17">
        <v>741852.83059999999</v>
      </c>
      <c r="J9" s="17">
        <v>589</v>
      </c>
      <c r="K9" s="17">
        <v>0</v>
      </c>
      <c r="L9" s="18">
        <f t="shared" ref="L9:L56" si="24">B9*0.94</f>
        <v>2680.7521396960001</v>
      </c>
      <c r="M9" s="19">
        <f t="shared" si="0"/>
        <v>0</v>
      </c>
      <c r="N9" s="19">
        <f t="shared" si="1"/>
        <v>0</v>
      </c>
      <c r="O9" s="19">
        <f t="shared" si="2"/>
        <v>2420349.0011</v>
      </c>
      <c r="P9" s="19">
        <f t="shared" ref="P9:P55" si="25">0.55*8784*C9*K9+E9</f>
        <v>1179006933.8139415</v>
      </c>
      <c r="Q9" s="19">
        <f t="shared" ref="Q9:Q56" si="26">K9*8784*0.55+I9</f>
        <v>741852.83059999999</v>
      </c>
      <c r="R9" s="20">
        <f t="shared" ref="R9:R55" si="27">G9/(8784*J9)</f>
        <v>0.42617654902338253</v>
      </c>
      <c r="S9" s="20">
        <f t="shared" ref="S9:S55" si="28">(O9-(0.15*8784*K9))/(8784*J9)</f>
        <v>0.46781093752416031</v>
      </c>
      <c r="T9" s="21"/>
      <c r="U9" s="22">
        <v>61595</v>
      </c>
      <c r="V9" s="22">
        <v>68633</v>
      </c>
      <c r="W9" s="22">
        <v>76475</v>
      </c>
      <c r="X9" s="22">
        <v>85213</v>
      </c>
      <c r="Y9" s="22">
        <v>94950</v>
      </c>
      <c r="Z9" s="22">
        <v>105799</v>
      </c>
      <c r="AA9" s="22">
        <v>117887</v>
      </c>
      <c r="AB9" s="22">
        <v>131357</v>
      </c>
      <c r="AC9" s="22">
        <v>146365</v>
      </c>
      <c r="AD9" s="22">
        <v>163089</v>
      </c>
      <c r="AE9" s="23">
        <v>1.2212421844644984E-2</v>
      </c>
      <c r="AF9" s="23">
        <v>1.9521570512016733E-2</v>
      </c>
      <c r="AG9" s="23">
        <v>2.8244504204679194E-2</v>
      </c>
      <c r="AH9" s="23">
        <v>3.8228870530589272E-2</v>
      </c>
      <c r="AI9" s="23">
        <v>4.9320367399744186E-2</v>
      </c>
      <c r="AJ9" s="23">
        <v>6.0204737187786357E-2</v>
      </c>
      <c r="AK9" s="23">
        <v>7.0126534583745154E-2</v>
      </c>
      <c r="AL9" s="23">
        <v>7.9121468770809833E-2</v>
      </c>
      <c r="AM9" s="23">
        <v>8.7223586883008228E-2</v>
      </c>
      <c r="AN9" s="23">
        <v>9.4465345874631207E-2</v>
      </c>
      <c r="AO9" s="23">
        <v>0.95575594451088541</v>
      </c>
      <c r="AP9" s="24">
        <v>6898283.4660999998</v>
      </c>
      <c r="AQ9" s="25">
        <f t="shared" si="3"/>
        <v>1198.4547266160848</v>
      </c>
      <c r="AR9" s="25">
        <f t="shared" si="3"/>
        <v>1178.753237597163</v>
      </c>
      <c r="AS9" s="25">
        <f t="shared" si="3"/>
        <v>1156.2605733137525</v>
      </c>
      <c r="AT9" s="25">
        <f t="shared" si="3"/>
        <v>1131.6232464035427</v>
      </c>
      <c r="AU9" s="25">
        <f t="shared" si="3"/>
        <v>1105.4472514645827</v>
      </c>
      <c r="AV9" s="25">
        <f t="shared" si="3"/>
        <v>1080.5296163593198</v>
      </c>
      <c r="AW9" s="25">
        <f t="shared" si="3"/>
        <v>1058.1526390736981</v>
      </c>
      <c r="AX9" s="25">
        <f t="shared" si="3"/>
        <v>1037.9686275410008</v>
      </c>
      <c r="AY9" s="25">
        <f t="shared" si="3"/>
        <v>1019.6806452543434</v>
      </c>
      <c r="AZ9" s="25">
        <f t="shared" si="3"/>
        <v>1003.0300713079674</v>
      </c>
      <c r="BA9" s="26">
        <f t="shared" ref="BA9:BA56" si="29">AVERAGE(AQ9:AZ9)</f>
        <v>1096.9900634931455</v>
      </c>
      <c r="BB9" s="26">
        <f t="shared" ref="BB9:BB56" si="30">AZ9</f>
        <v>1003.0300713079674</v>
      </c>
      <c r="BC9" s="69"/>
      <c r="BD9" s="70"/>
      <c r="BE9" s="79">
        <f t="shared" ref="BE9:BE56" si="31">M9+N9+O9+Q9</f>
        <v>3162201.8317</v>
      </c>
      <c r="BF9" s="79">
        <f t="shared" ref="BF9:BF56" si="32">((B9*F9)+(C9*G9)+(D9*H9)+E9)/2204.62*10^-3</f>
        <v>1962.6386664918846</v>
      </c>
      <c r="BG9" s="84"/>
      <c r="BH9" s="63">
        <f>MAX($BE9-VLOOKUP($A9,'RE Generation'!$A$4:$M$52,'Mass Equivalents - States, Opt1'!BH$7-2016,0)-VLOOKUP('Mass Equivalents - States, Opt1'!$A9,'EE Avoided Generation'!$A$4:$K$52,'Mass Equivalents - States, Opt1'!BH$7-2018,0)-VLOOKUP($A9,'Under Construction Nuclear'!$B$5:$D$53,3,0),0)+U9+$T9+VLOOKUP('Mass Equivalents - States, Opt1'!$A9,'EE Avoided Generation'!$A$4:$K$52,'Mass Equivalents - States, Opt1'!BH$7-2018,0)</f>
        <v>3202159.8217000002</v>
      </c>
      <c r="BI9" s="64">
        <f>MAX($BE9-VLOOKUP($A9,'RE Generation'!$A$4:$M$52,'Mass Equivalents - States, Opt1'!BI$7-2016,0)-VLOOKUP('Mass Equivalents - States, Opt1'!$A9,'EE Avoided Generation'!$A$4:$K$52,'Mass Equivalents - States, Opt1'!BI$7-2018,0)-VLOOKUP($A9,'Under Construction Nuclear'!$B$5:$D$53,3,0),0)+V9+$T9+VLOOKUP('Mass Equivalents - States, Opt1'!$A9,'EE Avoided Generation'!$A$4:$K$52,'Mass Equivalents - States, Opt1'!BI$7-2018,0)</f>
        <v>3202159.8217000002</v>
      </c>
      <c r="BJ9" s="64">
        <f>MAX($BE9-VLOOKUP($A9,'RE Generation'!$A$4:$M$52,'Mass Equivalents - States, Opt1'!BJ$7-2016,0)-VLOOKUP('Mass Equivalents - States, Opt1'!$A9,'EE Avoided Generation'!$A$4:$K$52,'Mass Equivalents - States, Opt1'!BJ$7-2018,0)-VLOOKUP($A9,'Under Construction Nuclear'!$B$5:$D$53,3,0),0)+W9+$T9+VLOOKUP('Mass Equivalents - States, Opt1'!$A9,'EE Avoided Generation'!$A$4:$K$52,'Mass Equivalents - States, Opt1'!BJ$7-2018,0)</f>
        <v>3202159.8217000002</v>
      </c>
      <c r="BK9" s="64">
        <f>MAX($BE9-VLOOKUP($A9,'RE Generation'!$A$4:$M$52,'Mass Equivalents - States, Opt1'!BK$7-2016,0)-VLOOKUP('Mass Equivalents - States, Opt1'!$A9,'EE Avoided Generation'!$A$4:$K$52,'Mass Equivalents - States, Opt1'!BK$7-2018,0)-VLOOKUP($A9,'Under Construction Nuclear'!$B$5:$D$53,3,0),0)+X9+$T9+VLOOKUP('Mass Equivalents - States, Opt1'!$A9,'EE Avoided Generation'!$A$4:$K$52,'Mass Equivalents - States, Opt1'!BK$7-2018,0)</f>
        <v>3202159.8217000002</v>
      </c>
      <c r="BL9" s="64">
        <f>MAX($BE9-VLOOKUP($A9,'RE Generation'!$A$4:$M$52,'Mass Equivalents - States, Opt1'!BL$7-2016,0)-VLOOKUP('Mass Equivalents - States, Opt1'!$A9,'EE Avoided Generation'!$A$4:$K$52,'Mass Equivalents - States, Opt1'!BL$7-2018,0)-VLOOKUP($A9,'Under Construction Nuclear'!$B$5:$D$53,3,0),0)+Y9+$T9+VLOOKUP('Mass Equivalents - States, Opt1'!$A9,'EE Avoided Generation'!$A$4:$K$52,'Mass Equivalents - States, Opt1'!BL$7-2018,0)</f>
        <v>3202159.8217000002</v>
      </c>
      <c r="BM9" s="64">
        <f>MAX($BE9-VLOOKUP($A9,'RE Generation'!$A$4:$M$52,'Mass Equivalents - States, Opt1'!BM$7-2016,0)-VLOOKUP('Mass Equivalents - States, Opt1'!$A9,'EE Avoided Generation'!$A$4:$K$52,'Mass Equivalents - States, Opt1'!BM$7-2018,0)-VLOOKUP($A9,'Under Construction Nuclear'!$B$5:$D$53,3,0),0)+Z9+$T9+VLOOKUP('Mass Equivalents - States, Opt1'!$A9,'EE Avoided Generation'!$A$4:$K$52,'Mass Equivalents - States, Opt1'!BM$7-2018,0)</f>
        <v>3202159.8217000002</v>
      </c>
      <c r="BN9" s="64">
        <f>MAX($BE9-VLOOKUP($A9,'RE Generation'!$A$4:$M$52,'Mass Equivalents - States, Opt1'!BN$7-2016,0)-VLOOKUP('Mass Equivalents - States, Opt1'!$A9,'EE Avoided Generation'!$A$4:$K$52,'Mass Equivalents - States, Opt1'!BN$7-2018,0)-VLOOKUP($A9,'Under Construction Nuclear'!$B$5:$D$53,3,0),0)+AA9+$T9+VLOOKUP('Mass Equivalents - States, Opt1'!$A9,'EE Avoided Generation'!$A$4:$K$52,'Mass Equivalents - States, Opt1'!BN$7-2018,0)</f>
        <v>3202159.8217000002</v>
      </c>
      <c r="BO9" s="64">
        <f>MAX($BE9-VLOOKUP($A9,'RE Generation'!$A$4:$M$52,'Mass Equivalents - States, Opt1'!BO$7-2016,0)-VLOOKUP('Mass Equivalents - States, Opt1'!$A9,'EE Avoided Generation'!$A$4:$K$52,'Mass Equivalents - States, Opt1'!BO$7-2018,0)-VLOOKUP($A9,'Under Construction Nuclear'!$B$5:$D$53,3,0),0)+AB9+$T9+VLOOKUP('Mass Equivalents - States, Opt1'!$A9,'EE Avoided Generation'!$A$4:$K$52,'Mass Equivalents - States, Opt1'!BO$7-2018,0)</f>
        <v>3202159.8217000002</v>
      </c>
      <c r="BP9" s="64">
        <f>MAX($BE9-VLOOKUP($A9,'RE Generation'!$A$4:$M$52,'Mass Equivalents - States, Opt1'!BP$7-2016,0)-VLOOKUP('Mass Equivalents - States, Opt1'!$A9,'EE Avoided Generation'!$A$4:$K$52,'Mass Equivalents - States, Opt1'!BP$7-2018,0)-VLOOKUP($A9,'Under Construction Nuclear'!$B$5:$D$53,3,0),0)+AC9+$T9+VLOOKUP('Mass Equivalents - States, Opt1'!$A9,'EE Avoided Generation'!$A$4:$K$52,'Mass Equivalents - States, Opt1'!BP$7-2018,0)</f>
        <v>3202159.8217000002</v>
      </c>
      <c r="BQ9" s="65">
        <f>MAX($BE9-VLOOKUP($A9,'RE Generation'!$A$4:$M$52,'Mass Equivalents - States, Opt1'!BQ$7-2016,0)-VLOOKUP('Mass Equivalents - States, Opt1'!$A9,'EE Avoided Generation'!$A$4:$K$52,'Mass Equivalents - States, Opt1'!BQ$7-2018,0)-VLOOKUP($A9,'Under Construction Nuclear'!$B$5:$D$53,3,0),0)+AD9+$T9+VLOOKUP('Mass Equivalents - States, Opt1'!$A9,'EE Avoided Generation'!$A$4:$K$52,'Mass Equivalents - States, Opt1'!BQ$7-2018,0)</f>
        <v>3202159.8217000002</v>
      </c>
      <c r="BR9" s="29"/>
      <c r="BS9" s="71">
        <f t="shared" si="4"/>
        <v>1740.7279139699742</v>
      </c>
      <c r="BT9" s="72">
        <f t="shared" si="5"/>
        <v>1712.1119545011975</v>
      </c>
      <c r="BU9" s="72">
        <f t="shared" si="6"/>
        <v>1679.4418771856854</v>
      </c>
      <c r="BV9" s="72">
        <f t="shared" si="7"/>
        <v>1643.6567267534285</v>
      </c>
      <c r="BW9" s="72">
        <f t="shared" si="8"/>
        <v>1605.6366964141591</v>
      </c>
      <c r="BX9" s="72">
        <f t="shared" si="9"/>
        <v>1569.4444047784787</v>
      </c>
      <c r="BY9" s="72">
        <f t="shared" si="10"/>
        <v>1536.9423601652975</v>
      </c>
      <c r="BZ9" s="72">
        <f t="shared" si="11"/>
        <v>1507.6255478481032</v>
      </c>
      <c r="CA9" s="72">
        <f t="shared" si="12"/>
        <v>1481.0626743831542</v>
      </c>
      <c r="CB9" s="72">
        <f t="shared" si="13"/>
        <v>1456.878098855703</v>
      </c>
      <c r="CC9" s="75">
        <f t="shared" ref="CC9:CC56" si="33">AVERAGE(BS9:CB9)</f>
        <v>1593.3528254855182</v>
      </c>
      <c r="CD9" s="76">
        <f t="shared" ref="CD9:CD56" si="34">CB9</f>
        <v>1456.878098855703</v>
      </c>
      <c r="CG9" s="63">
        <f>BH9+VLOOKUP($A9,'Incremental Demand for New Gen'!$AG$5:$AQ$53,'Mass Equivalents - States, Opt1'!BH$7-2018,0)</f>
        <v>3655898.2031483548</v>
      </c>
      <c r="CH9" s="64">
        <f>BI9+VLOOKUP($A9,'Incremental Demand for New Gen'!$AG$5:$AQ$53,'Mass Equivalents - States, Opt1'!BI$7-2018,0)</f>
        <v>3714674.4299752209</v>
      </c>
      <c r="CI9" s="64">
        <f>BJ9+VLOOKUP($A9,'Incremental Demand for New Gen'!$AG$5:$AQ$53,'Mass Equivalents - States, Opt1'!BJ$7-2018,0)</f>
        <v>3773920.4430356859</v>
      </c>
      <c r="CJ9" s="64">
        <f>BK9+VLOOKUP($A9,'Incremental Demand for New Gen'!$AG$5:$AQ$53,'Mass Equivalents - States, Opt1'!BK$7-2018,0)</f>
        <v>3833639.9972340222</v>
      </c>
      <c r="CK9" s="64">
        <f>BL9+VLOOKUP($A9,'Incremental Demand for New Gen'!$AG$5:$AQ$53,'Mass Equivalents - States, Opt1'!BL$7-2018,0)</f>
        <v>3893836.8774866769</v>
      </c>
      <c r="CL9" s="64">
        <f>BM9+VLOOKUP($A9,'Incremental Demand for New Gen'!$AG$5:$AQ$53,'Mass Equivalents - States, Opt1'!BM$7-2018,0)</f>
        <v>3954514.8989621522</v>
      </c>
      <c r="CM9" s="64">
        <f>BN9+VLOOKUP($A9,'Incremental Demand for New Gen'!$AG$5:$AQ$53,'Mass Equivalents - States, Opt1'!BN$7-2018,0)</f>
        <v>4015677.9073228035</v>
      </c>
      <c r="CN9" s="64">
        <f>BO9+VLOOKUP($A9,'Incremental Demand for New Gen'!$AG$5:$AQ$53,'Mass Equivalents - States, Opt1'!BO$7-2018,0)</f>
        <v>4077329.7789685703</v>
      </c>
      <c r="CO9" s="64">
        <f>BP9+VLOOKUP($A9,'Incremental Demand for New Gen'!$AG$5:$AQ$53,'Mass Equivalents - States, Opt1'!BP$7-2018,0)</f>
        <v>4139474.4212826565</v>
      </c>
      <c r="CP9" s="65">
        <f>BQ9+VLOOKUP($A9,'Incremental Demand for New Gen'!$AG$5:$AQ$53,'Mass Equivalents - States, Opt1'!BQ$7-2018,0)</f>
        <v>4202115.7728791712</v>
      </c>
      <c r="CQ9" s="29"/>
      <c r="CR9" s="71">
        <f t="shared" si="14"/>
        <v>1987.3848924487654</v>
      </c>
      <c r="CS9" s="72">
        <f t="shared" si="15"/>
        <v>1986.1402468238007</v>
      </c>
      <c r="CT9" s="72">
        <f t="shared" si="16"/>
        <v>1979.3140836538419</v>
      </c>
      <c r="CU9" s="72">
        <f t="shared" si="17"/>
        <v>1967.7931522042045</v>
      </c>
      <c r="CV9" s="72">
        <f t="shared" si="18"/>
        <v>1952.4595049800328</v>
      </c>
      <c r="CW9" s="72">
        <f t="shared" si="19"/>
        <v>1938.1891059061375</v>
      </c>
      <c r="CX9" s="72">
        <f t="shared" si="20"/>
        <v>1927.4070702903766</v>
      </c>
      <c r="CY9" s="72">
        <f t="shared" si="21"/>
        <v>1919.6688747757255</v>
      </c>
      <c r="CZ9" s="72">
        <f t="shared" si="22"/>
        <v>1914.5893391638238</v>
      </c>
      <c r="DA9" s="72">
        <f t="shared" si="23"/>
        <v>1911.8253863773937</v>
      </c>
      <c r="DB9" s="75">
        <f t="shared" ref="DB9:DB56" si="35">AVERAGE(CR9:DA9)</f>
        <v>1948.4771656624102</v>
      </c>
      <c r="DC9" s="76">
        <f t="shared" ref="DC9:DC56" si="36">DA9</f>
        <v>1911.8253863773937</v>
      </c>
    </row>
    <row r="10" spans="1:107" x14ac:dyDescent="0.25">
      <c r="A10" s="16" t="s">
        <v>44</v>
      </c>
      <c r="B10" s="17">
        <v>2268.1042771000002</v>
      </c>
      <c r="C10" s="17">
        <v>899.86091399999998</v>
      </c>
      <c r="D10" s="17">
        <v>1562.9144492</v>
      </c>
      <c r="E10" s="17">
        <v>17227768.092891555</v>
      </c>
      <c r="F10" s="17">
        <v>24335930</v>
      </c>
      <c r="G10" s="17">
        <v>26782325.404100001</v>
      </c>
      <c r="H10" s="17">
        <v>1033871.4028</v>
      </c>
      <c r="I10" s="17">
        <v>19361.3842611</v>
      </c>
      <c r="J10" s="17">
        <v>11201.5</v>
      </c>
      <c r="K10" s="17">
        <v>0</v>
      </c>
      <c r="L10" s="18">
        <f t="shared" si="24"/>
        <v>2132.018020474</v>
      </c>
      <c r="M10" s="19">
        <f t="shared" si="0"/>
        <v>0</v>
      </c>
      <c r="N10" s="19">
        <f t="shared" si="1"/>
        <v>0</v>
      </c>
      <c r="O10" s="19">
        <f t="shared" si="2"/>
        <v>52152126.806900002</v>
      </c>
      <c r="P10" s="19">
        <f t="shared" si="25"/>
        <v>17227768.092891555</v>
      </c>
      <c r="Q10" s="19">
        <f t="shared" si="26"/>
        <v>19361.3842611</v>
      </c>
      <c r="R10" s="20">
        <f t="shared" si="27"/>
        <v>0.27219476733108133</v>
      </c>
      <c r="S10" s="20">
        <f t="shared" si="28"/>
        <v>0.53003373709484003</v>
      </c>
      <c r="T10" s="21">
        <v>1818486.110605574</v>
      </c>
      <c r="U10" s="22">
        <v>2150929.7962148427</v>
      </c>
      <c r="V10" s="22">
        <v>2282026.0444199638</v>
      </c>
      <c r="W10" s="22">
        <v>2421112.4308079784</v>
      </c>
      <c r="X10" s="22">
        <v>2568675.943443425</v>
      </c>
      <c r="Y10" s="22">
        <v>2725233.2516516135</v>
      </c>
      <c r="Z10" s="22">
        <v>2891332.5150511358</v>
      </c>
      <c r="AA10" s="22">
        <v>3067555.3028444485</v>
      </c>
      <c r="AB10" s="22">
        <v>3254518.6300866101</v>
      </c>
      <c r="AC10" s="22">
        <v>3452877.1180618308</v>
      </c>
      <c r="AD10" s="22">
        <v>3663325.286332035</v>
      </c>
      <c r="AE10" s="23">
        <v>5.2367999867446578E-2</v>
      </c>
      <c r="AF10" s="23">
        <v>6.2772281450957992E-2</v>
      </c>
      <c r="AG10" s="23">
        <v>7.2197706945918413E-2</v>
      </c>
      <c r="AH10" s="23">
        <v>8.0688243125984341E-2</v>
      </c>
      <c r="AI10" s="23">
        <v>8.828567033371125E-2</v>
      </c>
      <c r="AJ10" s="23">
        <v>9.5029689261253603E-2</v>
      </c>
      <c r="AK10" s="23">
        <v>0.10095802249991032</v>
      </c>
      <c r="AL10" s="23">
        <v>0.10610651111465083</v>
      </c>
      <c r="AM10" s="23">
        <v>0.11050920648721524</v>
      </c>
      <c r="AN10" s="23">
        <v>0.11419845765945275</v>
      </c>
      <c r="AO10" s="23">
        <v>1.4251222105415922</v>
      </c>
      <c r="AP10" s="24">
        <v>80700600.059299991</v>
      </c>
      <c r="AQ10" s="25">
        <f t="shared" si="3"/>
        <v>777.69083296047597</v>
      </c>
      <c r="AR10" s="25">
        <f t="shared" si="3"/>
        <v>765.38314084976446</v>
      </c>
      <c r="AS10" s="25">
        <f t="shared" si="3"/>
        <v>754.31853101159254</v>
      </c>
      <c r="AT10" s="25">
        <f t="shared" si="3"/>
        <v>744.35880298741824</v>
      </c>
      <c r="AU10" s="25">
        <f t="shared" si="3"/>
        <v>735.3845772872661</v>
      </c>
      <c r="AV10" s="25">
        <f t="shared" si="3"/>
        <v>727.29201145726518</v>
      </c>
      <c r="AW10" s="25">
        <f t="shared" si="3"/>
        <v>719.99016010742127</v>
      </c>
      <c r="AX10" s="25">
        <f t="shared" si="3"/>
        <v>713.39883465656169</v>
      </c>
      <c r="AY10" s="25">
        <f t="shared" si="3"/>
        <v>707.44685428414061</v>
      </c>
      <c r="AZ10" s="25">
        <f t="shared" si="3"/>
        <v>702.07060566763369</v>
      </c>
      <c r="BA10" s="26">
        <f t="shared" si="29"/>
        <v>734.73343512695396</v>
      </c>
      <c r="BB10" s="26">
        <f t="shared" si="30"/>
        <v>702.07060566763369</v>
      </c>
      <c r="BC10" s="69"/>
      <c r="BD10" s="70"/>
      <c r="BE10" s="79">
        <f t="shared" si="31"/>
        <v>52171488.191161104</v>
      </c>
      <c r="BF10" s="79">
        <f t="shared" si="32"/>
        <v>36709.217488514463</v>
      </c>
      <c r="BG10" s="84"/>
      <c r="BH10" s="63">
        <f>MAX($BE10-VLOOKUP($A10,'RE Generation'!$A$4:$M$52,'Mass Equivalents - States, Opt1'!BH$7-2016,0)-VLOOKUP('Mass Equivalents - States, Opt1'!$A10,'EE Avoided Generation'!$A$4:$K$52,'Mass Equivalents - States, Opt1'!BH$7-2018,0)-VLOOKUP($A10,'Under Construction Nuclear'!$B$5:$D$53,3,0),0)+U10+$T10+VLOOKUP('Mass Equivalents - States, Opt1'!$A10,'EE Avoided Generation'!$A$4:$K$52,'Mass Equivalents - States, Opt1'!BH$7-2018,0)</f>
        <v>55687626.781766683</v>
      </c>
      <c r="BI10" s="64">
        <f>MAX($BE10-VLOOKUP($A10,'RE Generation'!$A$4:$M$52,'Mass Equivalents - States, Opt1'!BI$7-2016,0)-VLOOKUP('Mass Equivalents - States, Opt1'!$A10,'EE Avoided Generation'!$A$4:$K$52,'Mass Equivalents - States, Opt1'!BI$7-2018,0)-VLOOKUP($A10,'Under Construction Nuclear'!$B$5:$D$53,3,0),0)+V10+$T10+VLOOKUP('Mass Equivalents - States, Opt1'!$A10,'EE Avoided Generation'!$A$4:$K$52,'Mass Equivalents - States, Opt1'!BI$7-2018,0)</f>
        <v>55687626.781766683</v>
      </c>
      <c r="BJ10" s="64">
        <f>MAX($BE10-VLOOKUP($A10,'RE Generation'!$A$4:$M$52,'Mass Equivalents - States, Opt1'!BJ$7-2016,0)-VLOOKUP('Mass Equivalents - States, Opt1'!$A10,'EE Avoided Generation'!$A$4:$K$52,'Mass Equivalents - States, Opt1'!BJ$7-2018,0)-VLOOKUP($A10,'Under Construction Nuclear'!$B$5:$D$53,3,0),0)+W10+$T10+VLOOKUP('Mass Equivalents - States, Opt1'!$A10,'EE Avoided Generation'!$A$4:$K$52,'Mass Equivalents - States, Opt1'!BJ$7-2018,0)</f>
        <v>55687626.781766675</v>
      </c>
      <c r="BK10" s="64">
        <f>MAX($BE10-VLOOKUP($A10,'RE Generation'!$A$4:$M$52,'Mass Equivalents - States, Opt1'!BK$7-2016,0)-VLOOKUP('Mass Equivalents - States, Opt1'!$A10,'EE Avoided Generation'!$A$4:$K$52,'Mass Equivalents - States, Opt1'!BK$7-2018,0)-VLOOKUP($A10,'Under Construction Nuclear'!$B$5:$D$53,3,0),0)+X10+$T10+VLOOKUP('Mass Equivalents - States, Opt1'!$A10,'EE Avoided Generation'!$A$4:$K$52,'Mass Equivalents - States, Opt1'!BK$7-2018,0)</f>
        <v>55687626.781766683</v>
      </c>
      <c r="BL10" s="64">
        <f>MAX($BE10-VLOOKUP($A10,'RE Generation'!$A$4:$M$52,'Mass Equivalents - States, Opt1'!BL$7-2016,0)-VLOOKUP('Mass Equivalents - States, Opt1'!$A10,'EE Avoided Generation'!$A$4:$K$52,'Mass Equivalents - States, Opt1'!BL$7-2018,0)-VLOOKUP($A10,'Under Construction Nuclear'!$B$5:$D$53,3,0),0)+Y10+$T10+VLOOKUP('Mass Equivalents - States, Opt1'!$A10,'EE Avoided Generation'!$A$4:$K$52,'Mass Equivalents - States, Opt1'!BL$7-2018,0)</f>
        <v>55687626.781766683</v>
      </c>
      <c r="BM10" s="64">
        <f>MAX($BE10-VLOOKUP($A10,'RE Generation'!$A$4:$M$52,'Mass Equivalents - States, Opt1'!BM$7-2016,0)-VLOOKUP('Mass Equivalents - States, Opt1'!$A10,'EE Avoided Generation'!$A$4:$K$52,'Mass Equivalents - States, Opt1'!BM$7-2018,0)-VLOOKUP($A10,'Under Construction Nuclear'!$B$5:$D$53,3,0),0)+Z10+$T10+VLOOKUP('Mass Equivalents - States, Opt1'!$A10,'EE Avoided Generation'!$A$4:$K$52,'Mass Equivalents - States, Opt1'!BM$7-2018,0)</f>
        <v>55687626.781766683</v>
      </c>
      <c r="BN10" s="64">
        <f>MAX($BE10-VLOOKUP($A10,'RE Generation'!$A$4:$M$52,'Mass Equivalents - States, Opt1'!BN$7-2016,0)-VLOOKUP('Mass Equivalents - States, Opt1'!$A10,'EE Avoided Generation'!$A$4:$K$52,'Mass Equivalents - States, Opt1'!BN$7-2018,0)-VLOOKUP($A10,'Under Construction Nuclear'!$B$5:$D$53,3,0),0)+AA10+$T10+VLOOKUP('Mass Equivalents - States, Opt1'!$A10,'EE Avoided Generation'!$A$4:$K$52,'Mass Equivalents - States, Opt1'!BN$7-2018,0)</f>
        <v>55687626.781766683</v>
      </c>
      <c r="BO10" s="64">
        <f>MAX($BE10-VLOOKUP($A10,'RE Generation'!$A$4:$M$52,'Mass Equivalents - States, Opt1'!BO$7-2016,0)-VLOOKUP('Mass Equivalents - States, Opt1'!$A10,'EE Avoided Generation'!$A$4:$K$52,'Mass Equivalents - States, Opt1'!BO$7-2018,0)-VLOOKUP($A10,'Under Construction Nuclear'!$B$5:$D$53,3,0),0)+AB10+$T10+VLOOKUP('Mass Equivalents - States, Opt1'!$A10,'EE Avoided Generation'!$A$4:$K$52,'Mass Equivalents - States, Opt1'!BO$7-2018,0)</f>
        <v>55687626.781766675</v>
      </c>
      <c r="BP10" s="64">
        <f>MAX($BE10-VLOOKUP($A10,'RE Generation'!$A$4:$M$52,'Mass Equivalents - States, Opt1'!BP$7-2016,0)-VLOOKUP('Mass Equivalents - States, Opt1'!$A10,'EE Avoided Generation'!$A$4:$K$52,'Mass Equivalents - States, Opt1'!BP$7-2018,0)-VLOOKUP($A10,'Under Construction Nuclear'!$B$5:$D$53,3,0),0)+AC10+$T10+VLOOKUP('Mass Equivalents - States, Opt1'!$A10,'EE Avoided Generation'!$A$4:$K$52,'Mass Equivalents - States, Opt1'!BP$7-2018,0)</f>
        <v>55687626.781766683</v>
      </c>
      <c r="BQ10" s="65">
        <f>MAX($BE10-VLOOKUP($A10,'RE Generation'!$A$4:$M$52,'Mass Equivalents - States, Opt1'!BQ$7-2016,0)-VLOOKUP('Mass Equivalents - States, Opt1'!$A10,'EE Avoided Generation'!$A$4:$K$52,'Mass Equivalents - States, Opt1'!BQ$7-2018,0)-VLOOKUP($A10,'Under Construction Nuclear'!$B$5:$D$53,3,0),0)+AD10+$T10+VLOOKUP('Mass Equivalents - States, Opt1'!$A10,'EE Avoided Generation'!$A$4:$K$52,'Mass Equivalents - States, Opt1'!BQ$7-2018,0)</f>
        <v>55687626.781766675</v>
      </c>
      <c r="BR10" s="29"/>
      <c r="BS10" s="71">
        <f t="shared" si="4"/>
        <v>19644.091434126629</v>
      </c>
      <c r="BT10" s="72">
        <f t="shared" si="5"/>
        <v>19333.205129545251</v>
      </c>
      <c r="BU10" s="72">
        <f t="shared" si="6"/>
        <v>19053.718477353948</v>
      </c>
      <c r="BV10" s="72">
        <f t="shared" si="7"/>
        <v>18802.140601321742</v>
      </c>
      <c r="BW10" s="72">
        <f t="shared" si="8"/>
        <v>18575.456033711267</v>
      </c>
      <c r="BX10" s="72">
        <f t="shared" si="9"/>
        <v>18371.041764745201</v>
      </c>
      <c r="BY10" s="72">
        <f t="shared" si="10"/>
        <v>18186.60055819439</v>
      </c>
      <c r="BZ10" s="72">
        <f t="shared" si="11"/>
        <v>18020.106889578194</v>
      </c>
      <c r="CA10" s="72">
        <f t="shared" si="12"/>
        <v>17869.762766059506</v>
      </c>
      <c r="CB10" s="72">
        <f t="shared" si="13"/>
        <v>17733.961346113196</v>
      </c>
      <c r="CC10" s="75">
        <f t="shared" si="33"/>
        <v>18559.008500074931</v>
      </c>
      <c r="CD10" s="76">
        <f t="shared" si="34"/>
        <v>17733.961346113196</v>
      </c>
      <c r="CG10" s="63">
        <f>BH10+VLOOKUP($A10,'Incremental Demand for New Gen'!$AG$5:$AQ$53,'Mass Equivalents - States, Opt1'!BH$7-2018,0)</f>
        <v>64675971.885314181</v>
      </c>
      <c r="CH10" s="64">
        <f>BI10+VLOOKUP($A10,'Incremental Demand for New Gen'!$AG$5:$AQ$53,'Mass Equivalents - States, Opt1'!BI$7-2018,0)</f>
        <v>65866680.430923373</v>
      </c>
      <c r="CI10" s="64">
        <f>BJ10+VLOOKUP($A10,'Incremental Demand for New Gen'!$AG$5:$AQ$53,'Mass Equivalents - States, Opt1'!BJ$7-2018,0)</f>
        <v>67072970.579881579</v>
      </c>
      <c r="CJ10" s="64">
        <f>BK10+VLOOKUP($A10,'Incremental Demand for New Gen'!$AG$5:$AQ$53,'Mass Equivalents - States, Opt1'!BK$7-2018,0)</f>
        <v>68295046.23293668</v>
      </c>
      <c r="CK10" s="64">
        <f>BL10+VLOOKUP($A10,'Incremental Demand for New Gen'!$AG$5:$AQ$53,'Mass Equivalents - States, Opt1'!BL$7-2018,0)</f>
        <v>69533113.959080189</v>
      </c>
      <c r="CL10" s="64">
        <f>BM10+VLOOKUP($A10,'Incremental Demand for New Gen'!$AG$5:$AQ$53,'Mass Equivalents - States, Opt1'!BM$7-2018,0)</f>
        <v>70787383.030464023</v>
      </c>
      <c r="CM10" s="64">
        <f>BN10+VLOOKUP($A10,'Incremental Demand for New Gen'!$AG$5:$AQ$53,'Mass Equivalents - States, Opt1'!BN$7-2018,0)</f>
        <v>72058065.457773894</v>
      </c>
      <c r="CN10" s="64">
        <f>BO10+VLOOKUP($A10,'Incremental Demand for New Gen'!$AG$5:$AQ$53,'Mass Equivalents - States, Opt1'!BO$7-2018,0)</f>
        <v>73345376.026065797</v>
      </c>
      <c r="CO10" s="64">
        <f>BP10+VLOOKUP($A10,'Incremental Demand for New Gen'!$AG$5:$AQ$53,'Mass Equivalents - States, Opt1'!BP$7-2018,0)</f>
        <v>74649532.331071466</v>
      </c>
      <c r="CP10" s="65">
        <f>BQ10+VLOOKUP($A10,'Incremental Demand for New Gen'!$AG$5:$AQ$53,'Mass Equivalents - States, Opt1'!BQ$7-2018,0)</f>
        <v>75970754.815978706</v>
      </c>
      <c r="CQ10" s="29"/>
      <c r="CR10" s="71">
        <f t="shared" si="14"/>
        <v>22814.775538649887</v>
      </c>
      <c r="CS10" s="72">
        <f t="shared" si="15"/>
        <v>22867.091265418916</v>
      </c>
      <c r="CT10" s="72">
        <f t="shared" si="16"/>
        <v>22949.254129237714</v>
      </c>
      <c r="CU10" s="72">
        <f t="shared" si="17"/>
        <v>23058.857700610148</v>
      </c>
      <c r="CV10" s="72">
        <f t="shared" si="18"/>
        <v>23193.829148000787</v>
      </c>
      <c r="CW10" s="72">
        <f t="shared" si="19"/>
        <v>23352.368294772823</v>
      </c>
      <c r="CX10" s="72">
        <f t="shared" si="20"/>
        <v>23532.898225532597</v>
      </c>
      <c r="CY10" s="72">
        <f t="shared" si="21"/>
        <v>23734.024813547305</v>
      </c>
      <c r="CZ10" s="72">
        <f t="shared" si="22"/>
        <v>23954.503189392624</v>
      </c>
      <c r="DA10" s="72">
        <f t="shared" si="23"/>
        <v>24193.209644601549</v>
      </c>
      <c r="DB10" s="75">
        <f t="shared" si="35"/>
        <v>23365.081194976432</v>
      </c>
      <c r="DC10" s="76">
        <f t="shared" si="36"/>
        <v>24193.209644601549</v>
      </c>
    </row>
    <row r="11" spans="1:107" x14ac:dyDescent="0.25">
      <c r="A11" s="16" t="s">
        <v>45</v>
      </c>
      <c r="B11" s="17">
        <v>2276.1671658999999</v>
      </c>
      <c r="C11" s="17">
        <v>827.20611759999997</v>
      </c>
      <c r="D11" s="17">
        <v>1446.3626015</v>
      </c>
      <c r="E11" s="17">
        <v>789080955.25707102</v>
      </c>
      <c r="F11" s="17">
        <v>28378831</v>
      </c>
      <c r="G11" s="17">
        <v>15651184.9989</v>
      </c>
      <c r="H11" s="17">
        <v>860469.77339999995</v>
      </c>
      <c r="I11" s="17">
        <v>1310917.1879999998</v>
      </c>
      <c r="J11" s="17">
        <v>5588.4</v>
      </c>
      <c r="K11" s="17">
        <v>0</v>
      </c>
      <c r="L11" s="18">
        <f t="shared" si="24"/>
        <v>2139.597135946</v>
      </c>
      <c r="M11" s="19">
        <f t="shared" si="0"/>
        <v>10218692.588789813</v>
      </c>
      <c r="N11" s="19">
        <f t="shared" si="1"/>
        <v>309839.26351019286</v>
      </c>
      <c r="O11" s="19">
        <f t="shared" si="2"/>
        <v>34361953.919999994</v>
      </c>
      <c r="P11" s="19">
        <f t="shared" si="25"/>
        <v>789080955.25707102</v>
      </c>
      <c r="Q11" s="19">
        <f t="shared" si="26"/>
        <v>1310917.1879999998</v>
      </c>
      <c r="R11" s="20">
        <f t="shared" si="27"/>
        <v>0.31883604537555943</v>
      </c>
      <c r="S11" s="20">
        <f t="shared" si="28"/>
        <v>0.7</v>
      </c>
      <c r="T11" s="21">
        <v>842037.12970128574</v>
      </c>
      <c r="U11" s="22">
        <v>2288229.0213397061</v>
      </c>
      <c r="V11" s="22">
        <v>2479266.0746687674</v>
      </c>
      <c r="W11" s="22">
        <v>2686252.2115048999</v>
      </c>
      <c r="X11" s="22">
        <v>2910518.9707317012</v>
      </c>
      <c r="Y11" s="22">
        <v>3153509.0572316013</v>
      </c>
      <c r="Z11" s="22">
        <v>3416785.6227859175</v>
      </c>
      <c r="AA11" s="22">
        <v>3702042.3218080997</v>
      </c>
      <c r="AB11" s="22">
        <v>4011114.2065985613</v>
      </c>
      <c r="AC11" s="22">
        <v>4345989.5322101079</v>
      </c>
      <c r="AD11" s="22">
        <v>4708822.5468645049</v>
      </c>
      <c r="AE11" s="23">
        <v>1.5237756645043206E-2</v>
      </c>
      <c r="AF11" s="23">
        <v>2.3140612618675508E-2</v>
      </c>
      <c r="AG11" s="23">
        <v>3.238611909352046E-2</v>
      </c>
      <c r="AH11" s="23">
        <v>4.2820567914841019E-2</v>
      </c>
      <c r="AI11" s="23">
        <v>5.4211349179579094E-2</v>
      </c>
      <c r="AJ11" s="23">
        <v>6.4613667196547847E-2</v>
      </c>
      <c r="AK11" s="23">
        <v>7.4065695082287608E-2</v>
      </c>
      <c r="AL11" s="23">
        <v>8.2603816043337261E-2</v>
      </c>
      <c r="AM11" s="23">
        <v>9.026270259875846E-2</v>
      </c>
      <c r="AN11" s="23">
        <v>9.7075392238470892E-2</v>
      </c>
      <c r="AO11" s="23">
        <v>1.1398795462238362</v>
      </c>
      <c r="AP11" s="24">
        <v>50378720.481699996</v>
      </c>
      <c r="AQ11" s="25">
        <f t="shared" si="3"/>
        <v>1028.4673874588877</v>
      </c>
      <c r="AR11" s="25">
        <f t="shared" si="3"/>
        <v>1016.5130974497691</v>
      </c>
      <c r="AS11" s="25">
        <f t="shared" si="3"/>
        <v>1003.1981539342876</v>
      </c>
      <c r="AT11" s="25">
        <f t="shared" si="3"/>
        <v>988.76096381723312</v>
      </c>
      <c r="AU11" s="25">
        <f t="shared" si="3"/>
        <v>973.50133153565127</v>
      </c>
      <c r="AV11" s="25">
        <f t="shared" si="3"/>
        <v>959.23225641246893</v>
      </c>
      <c r="AW11" s="25">
        <f t="shared" si="3"/>
        <v>945.82479787364241</v>
      </c>
      <c r="AX11" s="25">
        <f t="shared" si="3"/>
        <v>933.16245006438544</v>
      </c>
      <c r="AY11" s="25">
        <f t="shared" si="3"/>
        <v>921.13906530978852</v>
      </c>
      <c r="AZ11" s="25">
        <f t="shared" si="3"/>
        <v>909.65714587854814</v>
      </c>
      <c r="BA11" s="26">
        <f t="shared" si="29"/>
        <v>967.94566497346625</v>
      </c>
      <c r="BB11" s="26">
        <f t="shared" si="30"/>
        <v>909.65714587854814</v>
      </c>
      <c r="BC11" s="69"/>
      <c r="BD11" s="70"/>
      <c r="BE11" s="79">
        <f t="shared" si="31"/>
        <v>46201402.960300006</v>
      </c>
      <c r="BF11" s="79">
        <f t="shared" si="32"/>
        <v>36094.815234747257</v>
      </c>
      <c r="BG11" s="84"/>
      <c r="BH11" s="63">
        <f>MAX($BE11-VLOOKUP($A11,'RE Generation'!$A$4:$M$52,'Mass Equivalents - States, Opt1'!BH$7-2016,0)-VLOOKUP('Mass Equivalents - States, Opt1'!$A11,'EE Avoided Generation'!$A$4:$K$52,'Mass Equivalents - States, Opt1'!BH$7-2018,0)-VLOOKUP($A11,'Under Construction Nuclear'!$B$5:$D$53,3,0),0)+U11+$T11+VLOOKUP('Mass Equivalents - States, Opt1'!$A11,'EE Avoided Generation'!$A$4:$K$52,'Mass Equivalents - States, Opt1'!BH$7-2018,0)</f>
        <v>48703810.160001293</v>
      </c>
      <c r="BI11" s="64">
        <f>MAX($BE11-VLOOKUP($A11,'RE Generation'!$A$4:$M$52,'Mass Equivalents - States, Opt1'!BI$7-2016,0)-VLOOKUP('Mass Equivalents - States, Opt1'!$A11,'EE Avoided Generation'!$A$4:$K$52,'Mass Equivalents - States, Opt1'!BI$7-2018,0)-VLOOKUP($A11,'Under Construction Nuclear'!$B$5:$D$53,3,0),0)+V11+$T11+VLOOKUP('Mass Equivalents - States, Opt1'!$A11,'EE Avoided Generation'!$A$4:$K$52,'Mass Equivalents - States, Opt1'!BI$7-2018,0)</f>
        <v>48703810.160001293</v>
      </c>
      <c r="BJ11" s="64">
        <f>MAX($BE11-VLOOKUP($A11,'RE Generation'!$A$4:$M$52,'Mass Equivalents - States, Opt1'!BJ$7-2016,0)-VLOOKUP('Mass Equivalents - States, Opt1'!$A11,'EE Avoided Generation'!$A$4:$K$52,'Mass Equivalents - States, Opt1'!BJ$7-2018,0)-VLOOKUP($A11,'Under Construction Nuclear'!$B$5:$D$53,3,0),0)+W11+$T11+VLOOKUP('Mass Equivalents - States, Opt1'!$A11,'EE Avoided Generation'!$A$4:$K$52,'Mass Equivalents - States, Opt1'!BJ$7-2018,0)</f>
        <v>48703810.160001293</v>
      </c>
      <c r="BK11" s="64">
        <f>MAX($BE11-VLOOKUP($A11,'RE Generation'!$A$4:$M$52,'Mass Equivalents - States, Opt1'!BK$7-2016,0)-VLOOKUP('Mass Equivalents - States, Opt1'!$A11,'EE Avoided Generation'!$A$4:$K$52,'Mass Equivalents - States, Opt1'!BK$7-2018,0)-VLOOKUP($A11,'Under Construction Nuclear'!$B$5:$D$53,3,0),0)+X11+$T11+VLOOKUP('Mass Equivalents - States, Opt1'!$A11,'EE Avoided Generation'!$A$4:$K$52,'Mass Equivalents - States, Opt1'!BK$7-2018,0)</f>
        <v>48703810.160001293</v>
      </c>
      <c r="BL11" s="64">
        <f>MAX($BE11-VLOOKUP($A11,'RE Generation'!$A$4:$M$52,'Mass Equivalents - States, Opt1'!BL$7-2016,0)-VLOOKUP('Mass Equivalents - States, Opt1'!$A11,'EE Avoided Generation'!$A$4:$K$52,'Mass Equivalents - States, Opt1'!BL$7-2018,0)-VLOOKUP($A11,'Under Construction Nuclear'!$B$5:$D$53,3,0),0)+Y11+$T11+VLOOKUP('Mass Equivalents - States, Opt1'!$A11,'EE Avoided Generation'!$A$4:$K$52,'Mass Equivalents - States, Opt1'!BL$7-2018,0)</f>
        <v>48703810.160001285</v>
      </c>
      <c r="BM11" s="64">
        <f>MAX($BE11-VLOOKUP($A11,'RE Generation'!$A$4:$M$52,'Mass Equivalents - States, Opt1'!BM$7-2016,0)-VLOOKUP('Mass Equivalents - States, Opt1'!$A11,'EE Avoided Generation'!$A$4:$K$52,'Mass Equivalents - States, Opt1'!BM$7-2018,0)-VLOOKUP($A11,'Under Construction Nuclear'!$B$5:$D$53,3,0),0)+Z11+$T11+VLOOKUP('Mass Equivalents - States, Opt1'!$A11,'EE Avoided Generation'!$A$4:$K$52,'Mass Equivalents - States, Opt1'!BM$7-2018,0)</f>
        <v>48703810.160001293</v>
      </c>
      <c r="BN11" s="64">
        <f>MAX($BE11-VLOOKUP($A11,'RE Generation'!$A$4:$M$52,'Mass Equivalents - States, Opt1'!BN$7-2016,0)-VLOOKUP('Mass Equivalents - States, Opt1'!$A11,'EE Avoided Generation'!$A$4:$K$52,'Mass Equivalents - States, Opt1'!BN$7-2018,0)-VLOOKUP($A11,'Under Construction Nuclear'!$B$5:$D$53,3,0),0)+AA11+$T11+VLOOKUP('Mass Equivalents - States, Opt1'!$A11,'EE Avoided Generation'!$A$4:$K$52,'Mass Equivalents - States, Opt1'!BN$7-2018,0)</f>
        <v>48703810.160001293</v>
      </c>
      <c r="BO11" s="64">
        <f>MAX($BE11-VLOOKUP($A11,'RE Generation'!$A$4:$M$52,'Mass Equivalents - States, Opt1'!BO$7-2016,0)-VLOOKUP('Mass Equivalents - States, Opt1'!$A11,'EE Avoided Generation'!$A$4:$K$52,'Mass Equivalents - States, Opt1'!BO$7-2018,0)-VLOOKUP($A11,'Under Construction Nuclear'!$B$5:$D$53,3,0),0)+AB11+$T11+VLOOKUP('Mass Equivalents - States, Opt1'!$A11,'EE Avoided Generation'!$A$4:$K$52,'Mass Equivalents - States, Opt1'!BO$7-2018,0)</f>
        <v>48703810.160001293</v>
      </c>
      <c r="BP11" s="64">
        <f>MAX($BE11-VLOOKUP($A11,'RE Generation'!$A$4:$M$52,'Mass Equivalents - States, Opt1'!BP$7-2016,0)-VLOOKUP('Mass Equivalents - States, Opt1'!$A11,'EE Avoided Generation'!$A$4:$K$52,'Mass Equivalents - States, Opt1'!BP$7-2018,0)-VLOOKUP($A11,'Under Construction Nuclear'!$B$5:$D$53,3,0),0)+AC11+$T11+VLOOKUP('Mass Equivalents - States, Opt1'!$A11,'EE Avoided Generation'!$A$4:$K$52,'Mass Equivalents - States, Opt1'!BP$7-2018,0)</f>
        <v>48703810.160001285</v>
      </c>
      <c r="BQ11" s="65">
        <f>MAX($BE11-VLOOKUP($A11,'RE Generation'!$A$4:$M$52,'Mass Equivalents - States, Opt1'!BQ$7-2016,0)-VLOOKUP('Mass Equivalents - States, Opt1'!$A11,'EE Avoided Generation'!$A$4:$K$52,'Mass Equivalents - States, Opt1'!BQ$7-2018,0)-VLOOKUP($A11,'Under Construction Nuclear'!$B$5:$D$53,3,0),0)+AD11+$T11+VLOOKUP('Mass Equivalents - States, Opt1'!$A11,'EE Avoided Generation'!$A$4:$K$52,'Mass Equivalents - States, Opt1'!BQ$7-2018,0)</f>
        <v>48703810.160001293</v>
      </c>
      <c r="BR11" s="29"/>
      <c r="BS11" s="71">
        <f t="shared" si="4"/>
        <v>22720.596018610991</v>
      </c>
      <c r="BT11" s="72">
        <f t="shared" si="5"/>
        <v>22456.505394738528</v>
      </c>
      <c r="BU11" s="72">
        <f t="shared" si="6"/>
        <v>22162.355617784153</v>
      </c>
      <c r="BV11" s="72">
        <f t="shared" si="7"/>
        <v>21843.413502269977</v>
      </c>
      <c r="BW11" s="72">
        <f t="shared" si="8"/>
        <v>21506.302238762615</v>
      </c>
      <c r="BX11" s="72">
        <f t="shared" si="9"/>
        <v>21191.074069754683</v>
      </c>
      <c r="BY11" s="72">
        <f t="shared" si="10"/>
        <v>20894.880478386061</v>
      </c>
      <c r="BZ11" s="72">
        <f t="shared" si="11"/>
        <v>20615.147651920746</v>
      </c>
      <c r="CA11" s="72">
        <f t="shared" si="12"/>
        <v>20349.530607455694</v>
      </c>
      <c r="CB11" s="72">
        <f t="shared" si="13"/>
        <v>20095.875454072546</v>
      </c>
      <c r="CC11" s="75">
        <f t="shared" si="33"/>
        <v>21383.568103375601</v>
      </c>
      <c r="CD11" s="76">
        <f t="shared" si="34"/>
        <v>20095.875454072546</v>
      </c>
      <c r="CG11" s="63">
        <f>BH11+VLOOKUP($A11,'Incremental Demand for New Gen'!$AG$5:$AQ$53,'Mass Equivalents - States, Opt1'!BH$7-2018,0)</f>
        <v>52458887.256415598</v>
      </c>
      <c r="CH11" s="64">
        <f>BI11+VLOOKUP($A11,'Incremental Demand for New Gen'!$AG$5:$AQ$53,'Mass Equivalents - States, Opt1'!BI$7-2018,0)</f>
        <v>52947517.17162279</v>
      </c>
      <c r="CI11" s="64">
        <f>BJ11+VLOOKUP($A11,'Incremental Demand for New Gen'!$AG$5:$AQ$53,'Mass Equivalents - States, Opt1'!BJ$7-2018,0)</f>
        <v>53440553.028145745</v>
      </c>
      <c r="CJ11" s="64">
        <f>BK11+VLOOKUP($A11,'Incremental Demand for New Gen'!$AG$5:$AQ$53,'Mass Equivalents - States, Opt1'!BK$7-2018,0)</f>
        <v>53938034.554045051</v>
      </c>
      <c r="CK11" s="64">
        <f>BL11+VLOOKUP($A11,'Incremental Demand for New Gen'!$AG$5:$AQ$53,'Mass Equivalents - States, Opt1'!BL$7-2018,0)</f>
        <v>54440001.835606396</v>
      </c>
      <c r="CL11" s="64">
        <f>BM11+VLOOKUP($A11,'Incremental Demand for New Gen'!$AG$5:$AQ$53,'Mass Equivalents - States, Opt1'!BM$7-2018,0)</f>
        <v>54946495.320570707</v>
      </c>
      <c r="CM11" s="64">
        <f>BN11+VLOOKUP($A11,'Incremental Demand for New Gen'!$AG$5:$AQ$53,'Mass Equivalents - States, Opt1'!BN$7-2018,0)</f>
        <v>55457555.821393274</v>
      </c>
      <c r="CN11" s="64">
        <f>BO11+VLOOKUP($A11,'Incremental Demand for New Gen'!$AG$5:$AQ$53,'Mass Equivalents - States, Opt1'!BO$7-2018,0)</f>
        <v>55973224.51853241</v>
      </c>
      <c r="CO11" s="64">
        <f>BP11+VLOOKUP($A11,'Incremental Demand for New Gen'!$AG$5:$AQ$53,'Mass Equivalents - States, Opt1'!BP$7-2018,0)</f>
        <v>56493542.963767722</v>
      </c>
      <c r="CP11" s="65">
        <f>BQ11+VLOOKUP($A11,'Incremental Demand for New Gen'!$AG$5:$AQ$53,'Mass Equivalents - States, Opt1'!BQ$7-2018,0)</f>
        <v>57018553.083548285</v>
      </c>
      <c r="CQ11" s="29"/>
      <c r="CR11" s="71">
        <f t="shared" si="14"/>
        <v>24472.360191600408</v>
      </c>
      <c r="CS11" s="72">
        <f t="shared" si="15"/>
        <v>24413.207120683441</v>
      </c>
      <c r="CT11" s="72">
        <f t="shared" si="16"/>
        <v>24317.77999975652</v>
      </c>
      <c r="CU11" s="72">
        <f t="shared" si="17"/>
        <v>24190.936774620939</v>
      </c>
      <c r="CV11" s="72">
        <f t="shared" si="18"/>
        <v>24039.251333910666</v>
      </c>
      <c r="CW11" s="72">
        <f t="shared" si="19"/>
        <v>23907.272313735793</v>
      </c>
      <c r="CX11" s="72">
        <f t="shared" si="20"/>
        <v>23792.368537587219</v>
      </c>
      <c r="CY11" s="72">
        <f t="shared" si="21"/>
        <v>23692.115344012866</v>
      </c>
      <c r="CZ11" s="72">
        <f t="shared" si="22"/>
        <v>23604.253504768796</v>
      </c>
      <c r="DA11" s="72">
        <f t="shared" si="23"/>
        <v>23526.655051711874</v>
      </c>
      <c r="DB11" s="75">
        <f t="shared" si="35"/>
        <v>23995.620017238853</v>
      </c>
      <c r="DC11" s="76">
        <f t="shared" si="36"/>
        <v>23526.655051711874</v>
      </c>
    </row>
    <row r="12" spans="1:107" x14ac:dyDescent="0.25">
      <c r="A12" s="16" t="s">
        <v>46</v>
      </c>
      <c r="B12" s="17">
        <v>2184.3824657999999</v>
      </c>
      <c r="C12" s="17">
        <v>866.62532759999999</v>
      </c>
      <c r="D12" s="17">
        <v>1405.0881457</v>
      </c>
      <c r="E12" s="17">
        <v>9203690697.6602497</v>
      </c>
      <c r="F12" s="17">
        <v>933157</v>
      </c>
      <c r="G12" s="17">
        <v>81298989.272799999</v>
      </c>
      <c r="H12" s="17">
        <v>10403921</v>
      </c>
      <c r="I12" s="17">
        <v>14405899.252831599</v>
      </c>
      <c r="J12" s="17">
        <v>20765.3</v>
      </c>
      <c r="K12" s="17">
        <v>1855.2</v>
      </c>
      <c r="L12" s="18">
        <f t="shared" si="24"/>
        <v>2053.3195178519995</v>
      </c>
      <c r="M12" s="19">
        <f t="shared" si="0"/>
        <v>0</v>
      </c>
      <c r="N12" s="19">
        <f t="shared" si="1"/>
        <v>0</v>
      </c>
      <c r="O12" s="19">
        <f t="shared" si="2"/>
        <v>92636067.272799999</v>
      </c>
      <c r="P12" s="19">
        <f t="shared" si="25"/>
        <v>16971116790.127369</v>
      </c>
      <c r="Q12" s="19">
        <f t="shared" si="26"/>
        <v>23368741.492831599</v>
      </c>
      <c r="R12" s="20">
        <f t="shared" si="27"/>
        <v>0.44571229003685803</v>
      </c>
      <c r="S12" s="20">
        <f t="shared" si="28"/>
        <v>0.49446530378017761</v>
      </c>
      <c r="T12" s="21">
        <v>1034647.9267860011</v>
      </c>
      <c r="U12" s="22">
        <v>37968065.870375805</v>
      </c>
      <c r="V12" s="22">
        <v>40282167.89079991</v>
      </c>
      <c r="W12" s="22">
        <v>41150704.3839375</v>
      </c>
      <c r="X12" s="22">
        <v>41150704.3839375</v>
      </c>
      <c r="Y12" s="22">
        <v>41150704.3839375</v>
      </c>
      <c r="Z12" s="22">
        <v>41150704.3839375</v>
      </c>
      <c r="AA12" s="22">
        <v>41150704.3839375</v>
      </c>
      <c r="AB12" s="22">
        <v>41150704.3839375</v>
      </c>
      <c r="AC12" s="22">
        <v>41150704.3839375</v>
      </c>
      <c r="AD12" s="22">
        <v>41150704.3839375</v>
      </c>
      <c r="AE12" s="23">
        <v>4.9456007930732467E-2</v>
      </c>
      <c r="AF12" s="23">
        <v>6.0362560982640437E-2</v>
      </c>
      <c r="AG12" s="23">
        <v>7.0297770484374467E-2</v>
      </c>
      <c r="AH12" s="23">
        <v>7.9299469966344627E-2</v>
      </c>
      <c r="AI12" s="23">
        <v>8.7403710557806144E-2</v>
      </c>
      <c r="AJ12" s="23">
        <v>9.4644840479344419E-2</v>
      </c>
      <c r="AK12" s="23">
        <v>0.10105558093639</v>
      </c>
      <c r="AL12" s="23">
        <v>0.10666709857602427</v>
      </c>
      <c r="AM12" s="23">
        <v>0.11150907466201147</v>
      </c>
      <c r="AN12" s="23">
        <v>0.11560977111600071</v>
      </c>
      <c r="AO12" s="23">
        <v>0.71065789075174424</v>
      </c>
      <c r="AP12" s="24">
        <v>279029344.65380001</v>
      </c>
      <c r="AQ12" s="25">
        <f t="shared" si="3"/>
        <v>590.06916452261805</v>
      </c>
      <c r="AR12" s="25">
        <f t="shared" si="3"/>
        <v>574.46511607979551</v>
      </c>
      <c r="AS12" s="25">
        <f t="shared" si="3"/>
        <v>564.99147780527039</v>
      </c>
      <c r="AT12" s="25">
        <f t="shared" si="3"/>
        <v>559.19264854905725</v>
      </c>
      <c r="AU12" s="25">
        <f t="shared" si="3"/>
        <v>554.07284723596695</v>
      </c>
      <c r="AV12" s="25">
        <f t="shared" si="3"/>
        <v>549.57697256944448</v>
      </c>
      <c r="AW12" s="25">
        <f t="shared" si="3"/>
        <v>545.65712648563124</v>
      </c>
      <c r="AX12" s="25">
        <f t="shared" si="3"/>
        <v>542.27157467269069</v>
      </c>
      <c r="AY12" s="25">
        <f t="shared" si="3"/>
        <v>539.38388904670899</v>
      </c>
      <c r="AZ12" s="25">
        <f t="shared" si="3"/>
        <v>536.96223668956668</v>
      </c>
      <c r="BA12" s="26">
        <f t="shared" si="29"/>
        <v>555.66430536567498</v>
      </c>
      <c r="BB12" s="26">
        <f t="shared" si="30"/>
        <v>536.96223668956668</v>
      </c>
      <c r="BC12" s="69"/>
      <c r="BD12" s="70"/>
      <c r="BE12" s="79">
        <f t="shared" si="31"/>
        <v>116004808.7656316</v>
      </c>
      <c r="BF12" s="79">
        <f t="shared" si="32"/>
        <v>43688.368863698626</v>
      </c>
      <c r="BG12" s="84"/>
      <c r="BH12" s="63">
        <f>MAX($BE12-VLOOKUP($A12,'RE Generation'!$A$4:$M$52,'Mass Equivalents - States, Opt1'!BH$7-2016,0)-VLOOKUP('Mass Equivalents - States, Opt1'!$A12,'EE Avoided Generation'!$A$4:$K$52,'Mass Equivalents - States, Opt1'!BH$7-2018,0)-VLOOKUP($A12,'Under Construction Nuclear'!$B$5:$D$53,3,0),0)+U12+$T12+VLOOKUP('Mass Equivalents - States, Opt1'!$A12,'EE Avoided Generation'!$A$4:$K$52,'Mass Equivalents - States, Opt1'!BH$7-2018,0)</f>
        <v>147006302.33241761</v>
      </c>
      <c r="BI12" s="64">
        <f>MAX($BE12-VLOOKUP($A12,'RE Generation'!$A$4:$M$52,'Mass Equivalents - States, Opt1'!BI$7-2016,0)-VLOOKUP('Mass Equivalents - States, Opt1'!$A12,'EE Avoided Generation'!$A$4:$K$52,'Mass Equivalents - States, Opt1'!BI$7-2018,0)-VLOOKUP($A12,'Under Construction Nuclear'!$B$5:$D$53,3,0),0)+V12+$T12+VLOOKUP('Mass Equivalents - States, Opt1'!$A12,'EE Avoided Generation'!$A$4:$K$52,'Mass Equivalents - States, Opt1'!BI$7-2018,0)</f>
        <v>147006302.33241761</v>
      </c>
      <c r="BJ12" s="64">
        <f>MAX($BE12-VLOOKUP($A12,'RE Generation'!$A$4:$M$52,'Mass Equivalents - States, Opt1'!BJ$7-2016,0)-VLOOKUP('Mass Equivalents - States, Opt1'!$A12,'EE Avoided Generation'!$A$4:$K$52,'Mass Equivalents - States, Opt1'!BJ$7-2018,0)-VLOOKUP($A12,'Under Construction Nuclear'!$B$5:$D$53,3,0),0)+W12+$T12+VLOOKUP('Mass Equivalents - States, Opt1'!$A12,'EE Avoided Generation'!$A$4:$K$52,'Mass Equivalents - States, Opt1'!BJ$7-2018,0)</f>
        <v>147006302.33241761</v>
      </c>
      <c r="BK12" s="64">
        <f>MAX($BE12-VLOOKUP($A12,'RE Generation'!$A$4:$M$52,'Mass Equivalents - States, Opt1'!BK$7-2016,0)-VLOOKUP('Mass Equivalents - States, Opt1'!$A12,'EE Avoided Generation'!$A$4:$K$52,'Mass Equivalents - States, Opt1'!BK$7-2018,0)-VLOOKUP($A12,'Under Construction Nuclear'!$B$5:$D$53,3,0),0)+X12+$T12+VLOOKUP('Mass Equivalents - States, Opt1'!$A12,'EE Avoided Generation'!$A$4:$K$52,'Mass Equivalents - States, Opt1'!BK$7-2018,0)</f>
        <v>147006302.33241761</v>
      </c>
      <c r="BL12" s="64">
        <f>MAX($BE12-VLOOKUP($A12,'RE Generation'!$A$4:$M$52,'Mass Equivalents - States, Opt1'!BL$7-2016,0)-VLOOKUP('Mass Equivalents - States, Opt1'!$A12,'EE Avoided Generation'!$A$4:$K$52,'Mass Equivalents - States, Opt1'!BL$7-2018,0)-VLOOKUP($A12,'Under Construction Nuclear'!$B$5:$D$53,3,0),0)+Y12+$T12+VLOOKUP('Mass Equivalents - States, Opt1'!$A12,'EE Avoided Generation'!$A$4:$K$52,'Mass Equivalents - States, Opt1'!BL$7-2018,0)</f>
        <v>147006302.33241761</v>
      </c>
      <c r="BM12" s="64">
        <f>MAX($BE12-VLOOKUP($A12,'RE Generation'!$A$4:$M$52,'Mass Equivalents - States, Opt1'!BM$7-2016,0)-VLOOKUP('Mass Equivalents - States, Opt1'!$A12,'EE Avoided Generation'!$A$4:$K$52,'Mass Equivalents - States, Opt1'!BM$7-2018,0)-VLOOKUP($A12,'Under Construction Nuclear'!$B$5:$D$53,3,0),0)+Z12+$T12+VLOOKUP('Mass Equivalents - States, Opt1'!$A12,'EE Avoided Generation'!$A$4:$K$52,'Mass Equivalents - States, Opt1'!BM$7-2018,0)</f>
        <v>147006302.33241761</v>
      </c>
      <c r="BN12" s="64">
        <f>MAX($BE12-VLOOKUP($A12,'RE Generation'!$A$4:$M$52,'Mass Equivalents - States, Opt1'!BN$7-2016,0)-VLOOKUP('Mass Equivalents - States, Opt1'!$A12,'EE Avoided Generation'!$A$4:$K$52,'Mass Equivalents - States, Opt1'!BN$7-2018,0)-VLOOKUP($A12,'Under Construction Nuclear'!$B$5:$D$53,3,0),0)+AA12+$T12+VLOOKUP('Mass Equivalents - States, Opt1'!$A12,'EE Avoided Generation'!$A$4:$K$52,'Mass Equivalents - States, Opt1'!BN$7-2018,0)</f>
        <v>147006302.33241761</v>
      </c>
      <c r="BO12" s="64">
        <f>MAX($BE12-VLOOKUP($A12,'RE Generation'!$A$4:$M$52,'Mass Equivalents - States, Opt1'!BO$7-2016,0)-VLOOKUP('Mass Equivalents - States, Opt1'!$A12,'EE Avoided Generation'!$A$4:$K$52,'Mass Equivalents - States, Opt1'!BO$7-2018,0)-VLOOKUP($A12,'Under Construction Nuclear'!$B$5:$D$53,3,0),0)+AB12+$T12+VLOOKUP('Mass Equivalents - States, Opt1'!$A12,'EE Avoided Generation'!$A$4:$K$52,'Mass Equivalents - States, Opt1'!BO$7-2018,0)</f>
        <v>147006302.33241761</v>
      </c>
      <c r="BP12" s="64">
        <f>MAX($BE12-VLOOKUP($A12,'RE Generation'!$A$4:$M$52,'Mass Equivalents - States, Opt1'!BP$7-2016,0)-VLOOKUP('Mass Equivalents - States, Opt1'!$A12,'EE Avoided Generation'!$A$4:$K$52,'Mass Equivalents - States, Opt1'!BP$7-2018,0)-VLOOKUP($A12,'Under Construction Nuclear'!$B$5:$D$53,3,0),0)+AC12+$T12+VLOOKUP('Mass Equivalents - States, Opt1'!$A12,'EE Avoided Generation'!$A$4:$K$52,'Mass Equivalents - States, Opt1'!BP$7-2018,0)</f>
        <v>147006302.33241761</v>
      </c>
      <c r="BQ12" s="65">
        <f>MAX($BE12-VLOOKUP($A12,'RE Generation'!$A$4:$M$52,'Mass Equivalents - States, Opt1'!BQ$7-2016,0)-VLOOKUP('Mass Equivalents - States, Opt1'!$A12,'EE Avoided Generation'!$A$4:$K$52,'Mass Equivalents - States, Opt1'!BQ$7-2018,0)-VLOOKUP($A12,'Under Construction Nuclear'!$B$5:$D$53,3,0),0)+AD12+$T12+VLOOKUP('Mass Equivalents - States, Opt1'!$A12,'EE Avoided Generation'!$A$4:$K$52,'Mass Equivalents - States, Opt1'!BQ$7-2018,0)</f>
        <v>147006302.33241761</v>
      </c>
      <c r="BR12" s="29"/>
      <c r="BS12" s="71">
        <f t="shared" si="4"/>
        <v>39346.411625064211</v>
      </c>
      <c r="BT12" s="72">
        <f t="shared" si="5"/>
        <v>38305.917815248795</v>
      </c>
      <c r="BU12" s="72">
        <f t="shared" si="6"/>
        <v>37674.2059862838</v>
      </c>
      <c r="BV12" s="72">
        <f t="shared" si="7"/>
        <v>37287.534157663482</v>
      </c>
      <c r="BW12" s="72">
        <f t="shared" si="8"/>
        <v>36946.140602441235</v>
      </c>
      <c r="BX12" s="72">
        <f t="shared" si="9"/>
        <v>36646.35111015891</v>
      </c>
      <c r="BY12" s="72">
        <f t="shared" si="10"/>
        <v>36384.971789235766</v>
      </c>
      <c r="BZ12" s="72">
        <f t="shared" si="11"/>
        <v>36159.219753340592</v>
      </c>
      <c r="CA12" s="72">
        <f t="shared" si="12"/>
        <v>35966.665940813255</v>
      </c>
      <c r="CB12" s="72">
        <f t="shared" si="13"/>
        <v>35805.187700319162</v>
      </c>
      <c r="CC12" s="75">
        <f t="shared" si="33"/>
        <v>37052.260648056923</v>
      </c>
      <c r="CD12" s="76">
        <f t="shared" si="34"/>
        <v>35805.187700319162</v>
      </c>
      <c r="CG12" s="63">
        <f>BH12+VLOOKUP($A12,'Incremental Demand for New Gen'!$AG$5:$AQ$53,'Mass Equivalents - States, Opt1'!BH$7-2018,0)</f>
        <v>159457112.10804474</v>
      </c>
      <c r="CH12" s="64">
        <f>BI12+VLOOKUP($A12,'Incremental Demand for New Gen'!$AG$5:$AQ$53,'Mass Equivalents - States, Opt1'!BI$7-2018,0)</f>
        <v>162242172.61999777</v>
      </c>
      <c r="CI12" s="64">
        <f>BJ12+VLOOKUP($A12,'Incremental Demand for New Gen'!$AG$5:$AQ$53,'Mass Equivalents - States, Opt1'!BJ$7-2018,0)</f>
        <v>165052752.25148448</v>
      </c>
      <c r="CJ12" s="64">
        <f>BK12+VLOOKUP($A12,'Incremental Demand for New Gen'!$AG$5:$AQ$53,'Mass Equivalents - States, Opt1'!BK$7-2018,0)</f>
        <v>167889084.83062434</v>
      </c>
      <c r="CK12" s="64">
        <f>BL12+VLOOKUP($A12,'Incremental Demand for New Gen'!$AG$5:$AQ$53,'Mass Equivalents - States, Opt1'!BL$7-2018,0)</f>
        <v>170751406.32807097</v>
      </c>
      <c r="CL12" s="64">
        <f>BM12+VLOOKUP($A12,'Incremental Demand for New Gen'!$AG$5:$AQ$53,'Mass Equivalents - States, Opt1'!BM$7-2018,0)</f>
        <v>173639954.87664407</v>
      </c>
      <c r="CM12" s="64">
        <f>BN12+VLOOKUP($A12,'Incremental Demand for New Gen'!$AG$5:$AQ$53,'Mass Equivalents - States, Opt1'!BN$7-2018,0)</f>
        <v>176554970.79114109</v>
      </c>
      <c r="CN12" s="64">
        <f>BO12+VLOOKUP($A12,'Incremental Demand for New Gen'!$AG$5:$AQ$53,'Mass Equivalents - States, Opt1'!BO$7-2018,0)</f>
        <v>179496696.58833027</v>
      </c>
      <c r="CO12" s="64">
        <f>BP12+VLOOKUP($A12,'Incremental Demand for New Gen'!$AG$5:$AQ$53,'Mass Equivalents - States, Opt1'!BP$7-2018,0)</f>
        <v>182465377.00712705</v>
      </c>
      <c r="CP12" s="65">
        <f>BQ12+VLOOKUP($A12,'Incremental Demand for New Gen'!$AG$5:$AQ$53,'Mass Equivalents - States, Opt1'!BQ$7-2018,0)</f>
        <v>185461259.02895525</v>
      </c>
      <c r="CQ12" s="29"/>
      <c r="CR12" s="71">
        <f t="shared" si="14"/>
        <v>42678.885666819413</v>
      </c>
      <c r="CS12" s="72">
        <f t="shared" si="15"/>
        <v>42275.978865829595</v>
      </c>
      <c r="CT12" s="72">
        <f t="shared" si="16"/>
        <v>42299.080299731198</v>
      </c>
      <c r="CU12" s="72">
        <f t="shared" si="17"/>
        <v>42584.364656455167</v>
      </c>
      <c r="CV12" s="72">
        <f t="shared" si="18"/>
        <v>42913.843598325249</v>
      </c>
      <c r="CW12" s="72">
        <f t="shared" si="19"/>
        <v>43285.700355708017</v>
      </c>
      <c r="CX12" s="72">
        <f t="shared" si="20"/>
        <v>43698.450539616177</v>
      </c>
      <c r="CY12" s="72">
        <f t="shared" si="21"/>
        <v>44150.899614219255</v>
      </c>
      <c r="CZ12" s="72">
        <f t="shared" si="22"/>
        <v>44642.108239278488</v>
      </c>
      <c r="DA12" s="72">
        <f t="shared" si="23"/>
        <v>45171.36398447393</v>
      </c>
      <c r="DB12" s="75">
        <f t="shared" si="35"/>
        <v>43370.067582045645</v>
      </c>
      <c r="DC12" s="76">
        <f t="shared" si="36"/>
        <v>45171.36398447393</v>
      </c>
    </row>
    <row r="13" spans="1:107" x14ac:dyDescent="0.25">
      <c r="A13" s="16" t="s">
        <v>47</v>
      </c>
      <c r="B13" s="17">
        <v>2225.5359119</v>
      </c>
      <c r="C13" s="17">
        <v>927.72581000000002</v>
      </c>
      <c r="D13" s="17">
        <v>5177.3097086999996</v>
      </c>
      <c r="E13" s="17">
        <v>45518965.42301061</v>
      </c>
      <c r="F13" s="17">
        <v>34385542</v>
      </c>
      <c r="G13" s="17">
        <v>8811705.9947999995</v>
      </c>
      <c r="H13" s="17">
        <v>618</v>
      </c>
      <c r="I13" s="17">
        <v>62201.513267400005</v>
      </c>
      <c r="J13" s="17">
        <v>3315.3</v>
      </c>
      <c r="K13" s="17">
        <v>200</v>
      </c>
      <c r="L13" s="18">
        <f t="shared" si="24"/>
        <v>2092.0037571859998</v>
      </c>
      <c r="M13" s="19">
        <f t="shared" si="0"/>
        <v>22548824.092225134</v>
      </c>
      <c r="N13" s="19">
        <f t="shared" si="1"/>
        <v>405.26257486344502</v>
      </c>
      <c r="O13" s="19">
        <f t="shared" si="2"/>
        <v>20648636.640000001</v>
      </c>
      <c r="P13" s="19">
        <f t="shared" si="25"/>
        <v>941924752.0774107</v>
      </c>
      <c r="Q13" s="19">
        <f t="shared" si="26"/>
        <v>1028441.5132674001</v>
      </c>
      <c r="R13" s="20">
        <f t="shared" si="27"/>
        <v>0.30258321820227757</v>
      </c>
      <c r="S13" s="20">
        <f t="shared" si="28"/>
        <v>0.7</v>
      </c>
      <c r="T13" s="21"/>
      <c r="U13" s="22">
        <v>7845382.6098847017</v>
      </c>
      <c r="V13" s="22">
        <v>8323548.0189554757</v>
      </c>
      <c r="W13" s="22">
        <v>8830856.9599355459</v>
      </c>
      <c r="X13" s="22">
        <v>9369085.6914919708</v>
      </c>
      <c r="Y13" s="22">
        <v>9940118.7328438237</v>
      </c>
      <c r="Z13" s="22">
        <v>10545955.46209573</v>
      </c>
      <c r="AA13" s="22">
        <v>10839819.603937499</v>
      </c>
      <c r="AB13" s="22">
        <v>10839819.603937499</v>
      </c>
      <c r="AC13" s="22">
        <v>10839819.603937499</v>
      </c>
      <c r="AD13" s="22">
        <v>10839819.603937499</v>
      </c>
      <c r="AE13" s="23">
        <v>3.9228631335671553E-2</v>
      </c>
      <c r="AF13" s="23">
        <v>5.0807901683125871E-2</v>
      </c>
      <c r="AG13" s="23">
        <v>6.1362024200276755E-2</v>
      </c>
      <c r="AH13" s="23">
        <v>7.0936075619047342E-2</v>
      </c>
      <c r="AI13" s="23">
        <v>7.9572920133531969E-2</v>
      </c>
      <c r="AJ13" s="23">
        <v>8.7313315658690799E-2</v>
      </c>
      <c r="AK13" s="23">
        <v>9.419601496459197E-2</v>
      </c>
      <c r="AL13" s="23">
        <v>0.10025786193313616</v>
      </c>
      <c r="AM13" s="23">
        <v>0.10553388317229687</v>
      </c>
      <c r="AN13" s="23">
        <v>0.1100573752115831</v>
      </c>
      <c r="AO13" s="23">
        <v>0.89077328426401414</v>
      </c>
      <c r="AP13" s="24">
        <v>57717062.804699995</v>
      </c>
      <c r="AQ13" s="25">
        <f t="shared" si="3"/>
        <v>1243.7480304031533</v>
      </c>
      <c r="AR13" s="25">
        <f t="shared" si="3"/>
        <v>1219.5439009074303</v>
      </c>
      <c r="AS13" s="25">
        <f t="shared" si="3"/>
        <v>1196.7652784513898</v>
      </c>
      <c r="AT13" s="25">
        <f t="shared" si="3"/>
        <v>1175.2215342145689</v>
      </c>
      <c r="AU13" s="25">
        <f t="shared" si="3"/>
        <v>1154.7444949238584</v>
      </c>
      <c r="AV13" s="25">
        <f t="shared" si="3"/>
        <v>1135.1849533016407</v>
      </c>
      <c r="AW13" s="25">
        <f t="shared" si="3"/>
        <v>1122.9115819349729</v>
      </c>
      <c r="AX13" s="25">
        <f t="shared" si="3"/>
        <v>1117.1002406827974</v>
      </c>
      <c r="AY13" s="25">
        <f t="shared" si="3"/>
        <v>1112.0909906847912</v>
      </c>
      <c r="AZ13" s="25">
        <f t="shared" si="3"/>
        <v>1107.8318527572528</v>
      </c>
      <c r="BA13" s="26">
        <f t="shared" si="29"/>
        <v>1158.5142858261856</v>
      </c>
      <c r="BB13" s="26">
        <f t="shared" si="30"/>
        <v>1107.8318527572528</v>
      </c>
      <c r="BC13" s="69"/>
      <c r="BD13" s="70"/>
      <c r="BE13" s="79">
        <f t="shared" si="31"/>
        <v>44226307.508067399</v>
      </c>
      <c r="BF13" s="79">
        <f t="shared" si="32"/>
        <v>38441.919330985133</v>
      </c>
      <c r="BG13" s="84"/>
      <c r="BH13" s="63">
        <f>MAX($BE13-VLOOKUP($A13,'RE Generation'!$A$4:$M$52,'Mass Equivalents - States, Opt1'!BH$7-2016,0)-VLOOKUP('Mass Equivalents - States, Opt1'!$A13,'EE Avoided Generation'!$A$4:$K$52,'Mass Equivalents - States, Opt1'!BH$7-2018,0)-VLOOKUP($A13,'Under Construction Nuclear'!$B$5:$D$53,3,0),0)+U13+$T13+VLOOKUP('Mass Equivalents - States, Opt1'!$A13,'EE Avoided Generation'!$A$4:$K$52,'Mass Equivalents - States, Opt1'!BH$7-2018,0)</f>
        <v>50418389.308067396</v>
      </c>
      <c r="BI13" s="64">
        <f>MAX($BE13-VLOOKUP($A13,'RE Generation'!$A$4:$M$52,'Mass Equivalents - States, Opt1'!BI$7-2016,0)-VLOOKUP('Mass Equivalents - States, Opt1'!$A13,'EE Avoided Generation'!$A$4:$K$52,'Mass Equivalents - States, Opt1'!BI$7-2018,0)-VLOOKUP($A13,'Under Construction Nuclear'!$B$5:$D$53,3,0),0)+V13+$T13+VLOOKUP('Mass Equivalents - States, Opt1'!$A13,'EE Avoided Generation'!$A$4:$K$52,'Mass Equivalents - States, Opt1'!BI$7-2018,0)</f>
        <v>50418389.308067404</v>
      </c>
      <c r="BJ13" s="64">
        <f>MAX($BE13-VLOOKUP($A13,'RE Generation'!$A$4:$M$52,'Mass Equivalents - States, Opt1'!BJ$7-2016,0)-VLOOKUP('Mass Equivalents - States, Opt1'!$A13,'EE Avoided Generation'!$A$4:$K$52,'Mass Equivalents - States, Opt1'!BJ$7-2018,0)-VLOOKUP($A13,'Under Construction Nuclear'!$B$5:$D$53,3,0),0)+W13+$T13+VLOOKUP('Mass Equivalents - States, Opt1'!$A13,'EE Avoided Generation'!$A$4:$K$52,'Mass Equivalents - States, Opt1'!BJ$7-2018,0)</f>
        <v>50418389.308067396</v>
      </c>
      <c r="BK13" s="64">
        <f>MAX($BE13-VLOOKUP($A13,'RE Generation'!$A$4:$M$52,'Mass Equivalents - States, Opt1'!BK$7-2016,0)-VLOOKUP('Mass Equivalents - States, Opt1'!$A13,'EE Avoided Generation'!$A$4:$K$52,'Mass Equivalents - States, Opt1'!BK$7-2018,0)-VLOOKUP($A13,'Under Construction Nuclear'!$B$5:$D$53,3,0),0)+X13+$T13+VLOOKUP('Mass Equivalents - States, Opt1'!$A13,'EE Avoided Generation'!$A$4:$K$52,'Mass Equivalents - States, Opt1'!BK$7-2018,0)</f>
        <v>50418389.308067396</v>
      </c>
      <c r="BL13" s="64">
        <f>MAX($BE13-VLOOKUP($A13,'RE Generation'!$A$4:$M$52,'Mass Equivalents - States, Opt1'!BL$7-2016,0)-VLOOKUP('Mass Equivalents - States, Opt1'!$A13,'EE Avoided Generation'!$A$4:$K$52,'Mass Equivalents - States, Opt1'!BL$7-2018,0)-VLOOKUP($A13,'Under Construction Nuclear'!$B$5:$D$53,3,0),0)+Y13+$T13+VLOOKUP('Mass Equivalents - States, Opt1'!$A13,'EE Avoided Generation'!$A$4:$K$52,'Mass Equivalents - States, Opt1'!BL$7-2018,0)</f>
        <v>50418389.308067396</v>
      </c>
      <c r="BM13" s="64">
        <f>MAX($BE13-VLOOKUP($A13,'RE Generation'!$A$4:$M$52,'Mass Equivalents - States, Opt1'!BM$7-2016,0)-VLOOKUP('Mass Equivalents - States, Opt1'!$A13,'EE Avoided Generation'!$A$4:$K$52,'Mass Equivalents - States, Opt1'!BM$7-2018,0)-VLOOKUP($A13,'Under Construction Nuclear'!$B$5:$D$53,3,0),0)+Z13+$T13+VLOOKUP('Mass Equivalents - States, Opt1'!$A13,'EE Avoided Generation'!$A$4:$K$52,'Mass Equivalents - States, Opt1'!BM$7-2018,0)</f>
        <v>50418389.308067396</v>
      </c>
      <c r="BN13" s="64">
        <f>MAX($BE13-VLOOKUP($A13,'RE Generation'!$A$4:$M$52,'Mass Equivalents - States, Opt1'!BN$7-2016,0)-VLOOKUP('Mass Equivalents - States, Opt1'!$A13,'EE Avoided Generation'!$A$4:$K$52,'Mass Equivalents - States, Opt1'!BN$7-2018,0)-VLOOKUP($A13,'Under Construction Nuclear'!$B$5:$D$53,3,0),0)+AA13+$T13+VLOOKUP('Mass Equivalents - States, Opt1'!$A13,'EE Avoided Generation'!$A$4:$K$52,'Mass Equivalents - States, Opt1'!BN$7-2018,0)</f>
        <v>50418389.308067396</v>
      </c>
      <c r="BO13" s="64">
        <f>MAX($BE13-VLOOKUP($A13,'RE Generation'!$A$4:$M$52,'Mass Equivalents - States, Opt1'!BO$7-2016,0)-VLOOKUP('Mass Equivalents - States, Opt1'!$A13,'EE Avoided Generation'!$A$4:$K$52,'Mass Equivalents - States, Opt1'!BO$7-2018,0)-VLOOKUP($A13,'Under Construction Nuclear'!$B$5:$D$53,3,0),0)+AB13+$T13+VLOOKUP('Mass Equivalents - States, Opt1'!$A13,'EE Avoided Generation'!$A$4:$K$52,'Mass Equivalents - States, Opt1'!BO$7-2018,0)</f>
        <v>50418389.308067396</v>
      </c>
      <c r="BP13" s="64">
        <f>MAX($BE13-VLOOKUP($A13,'RE Generation'!$A$4:$M$52,'Mass Equivalents - States, Opt1'!BP$7-2016,0)-VLOOKUP('Mass Equivalents - States, Opt1'!$A13,'EE Avoided Generation'!$A$4:$K$52,'Mass Equivalents - States, Opt1'!BP$7-2018,0)-VLOOKUP($A13,'Under Construction Nuclear'!$B$5:$D$53,3,0),0)+AC13+$T13+VLOOKUP('Mass Equivalents - States, Opt1'!$A13,'EE Avoided Generation'!$A$4:$K$52,'Mass Equivalents - States, Opt1'!BP$7-2018,0)</f>
        <v>50418389.308067396</v>
      </c>
      <c r="BQ13" s="65">
        <f>MAX($BE13-VLOOKUP($A13,'RE Generation'!$A$4:$M$52,'Mass Equivalents - States, Opt1'!BQ$7-2016,0)-VLOOKUP('Mass Equivalents - States, Opt1'!$A13,'EE Avoided Generation'!$A$4:$K$52,'Mass Equivalents - States, Opt1'!BQ$7-2018,0)-VLOOKUP($A13,'Under Construction Nuclear'!$B$5:$D$53,3,0),0)+AD13+$T13+VLOOKUP('Mass Equivalents - States, Opt1'!$A13,'EE Avoided Generation'!$A$4:$K$52,'Mass Equivalents - States, Opt1'!BQ$7-2018,0)</f>
        <v>50418389.308067396</v>
      </c>
      <c r="BR13" s="29"/>
      <c r="BS13" s="71">
        <f t="shared" si="4"/>
        <v>28443.800926240452</v>
      </c>
      <c r="BT13" s="72">
        <f t="shared" si="5"/>
        <v>27890.266428785912</v>
      </c>
      <c r="BU13" s="72">
        <f t="shared" si="6"/>
        <v>27369.332456087606</v>
      </c>
      <c r="BV13" s="72">
        <f t="shared" si="7"/>
        <v>26876.639436843718</v>
      </c>
      <c r="BW13" s="72">
        <f t="shared" si="8"/>
        <v>26408.341345183639</v>
      </c>
      <c r="BX13" s="72">
        <f t="shared" si="9"/>
        <v>25961.025896627278</v>
      </c>
      <c r="BY13" s="72">
        <f t="shared" si="10"/>
        <v>25680.340964218452</v>
      </c>
      <c r="BZ13" s="72">
        <f t="shared" si="11"/>
        <v>25547.438937722181</v>
      </c>
      <c r="CA13" s="72">
        <f t="shared" si="12"/>
        <v>25432.880276120221</v>
      </c>
      <c r="CB13" s="72">
        <f t="shared" si="13"/>
        <v>25335.476245426773</v>
      </c>
      <c r="CC13" s="75">
        <f t="shared" si="33"/>
        <v>26494.554291325621</v>
      </c>
      <c r="CD13" s="76">
        <f t="shared" si="34"/>
        <v>25335.476245426773</v>
      </c>
      <c r="CG13" s="63">
        <f>BH13+VLOOKUP($A13,'Incremental Demand for New Gen'!$AG$5:$AQ$53,'Mass Equivalents - States, Opt1'!BH$7-2018,0)</f>
        <v>55709136.250912726</v>
      </c>
      <c r="CH13" s="64">
        <f>BI13+VLOOKUP($A13,'Incremental Demand for New Gen'!$AG$5:$AQ$53,'Mass Equivalents - States, Opt1'!BI$7-2018,0)</f>
        <v>56536768.147922762</v>
      </c>
      <c r="CI13" s="64">
        <f>BJ13+VLOOKUP($A13,'Incremental Demand for New Gen'!$AG$5:$AQ$53,'Mass Equivalents - States, Opt1'!BJ$7-2018,0)</f>
        <v>57375025.526465207</v>
      </c>
      <c r="CJ13" s="64">
        <f>BK13+VLOOKUP($A13,'Incremental Demand for New Gen'!$AG$5:$AQ$53,'Mass Equivalents - States, Opt1'!BK$7-2018,0)</f>
        <v>58224044.800878644</v>
      </c>
      <c r="CK13" s="64">
        <f>BL13+VLOOKUP($A13,'Incremental Demand for New Gen'!$AG$5:$AQ$53,'Mass Equivalents - States, Opt1'!BL$7-2018,0)</f>
        <v>59083964.136845477</v>
      </c>
      <c r="CL13" s="64">
        <f>BM13+VLOOKUP($A13,'Incremental Demand for New Gen'!$AG$5:$AQ$53,'Mass Equivalents - States, Opt1'!BM$7-2018,0)</f>
        <v>59954923.473876417</v>
      </c>
      <c r="CM13" s="64">
        <f>BN13+VLOOKUP($A13,'Incremental Demand for New Gen'!$AG$5:$AQ$53,'Mass Equivalents - States, Opt1'!BN$7-2018,0)</f>
        <v>60837064.548083708</v>
      </c>
      <c r="CN13" s="64">
        <f>BO13+VLOOKUP($A13,'Incremental Demand for New Gen'!$AG$5:$AQ$53,'Mass Equivalents - States, Opt1'!BO$7-2018,0)</f>
        <v>61730530.915246531</v>
      </c>
      <c r="CO13" s="64">
        <f>BP13+VLOOKUP($A13,'Incremental Demand for New Gen'!$AG$5:$AQ$53,'Mass Equivalents - States, Opt1'!BP$7-2018,0)</f>
        <v>62635467.974172726</v>
      </c>
      <c r="CP13" s="65">
        <f>BQ13+VLOOKUP($A13,'Incremental Demand for New Gen'!$AG$5:$AQ$53,'Mass Equivalents - States, Opt1'!BQ$7-2018,0)</f>
        <v>63552022.99036032</v>
      </c>
      <c r="CQ13" s="29"/>
      <c r="CR13" s="71">
        <f t="shared" si="14"/>
        <v>31428.603790010802</v>
      </c>
      <c r="CS13" s="72">
        <f t="shared" si="15"/>
        <v>31274.809614272159</v>
      </c>
      <c r="CT13" s="72">
        <f t="shared" si="16"/>
        <v>31145.702388772548</v>
      </c>
      <c r="CU13" s="72">
        <f t="shared" si="17"/>
        <v>31037.617031083089</v>
      </c>
      <c r="CV13" s="72">
        <f t="shared" si="18"/>
        <v>30947.230055656302</v>
      </c>
      <c r="CW13" s="72">
        <f t="shared" si="19"/>
        <v>30871.500305674377</v>
      </c>
      <c r="CX13" s="72">
        <f t="shared" si="20"/>
        <v>30987.038306814211</v>
      </c>
      <c r="CY13" s="72">
        <f t="shared" si="21"/>
        <v>31279.400052117271</v>
      </c>
      <c r="CZ13" s="72">
        <f t="shared" si="22"/>
        <v>31595.62175404526</v>
      </c>
      <c r="DA13" s="72">
        <f t="shared" si="23"/>
        <v>31935.188547632883</v>
      </c>
      <c r="DB13" s="75">
        <f t="shared" si="35"/>
        <v>31250.271184607893</v>
      </c>
      <c r="DC13" s="76">
        <f t="shared" si="36"/>
        <v>31935.188547632883</v>
      </c>
    </row>
    <row r="14" spans="1:107" x14ac:dyDescent="0.25">
      <c r="A14" s="16" t="s">
        <v>48</v>
      </c>
      <c r="B14" s="17">
        <v>3146.0400358000002</v>
      </c>
      <c r="C14" s="17">
        <v>809.89153940000006</v>
      </c>
      <c r="D14" s="17">
        <v>1763.5710523</v>
      </c>
      <c r="E14" s="17">
        <v>16456559.380894523</v>
      </c>
      <c r="F14" s="17">
        <v>99461</v>
      </c>
      <c r="G14" s="17">
        <v>15299704.404100001</v>
      </c>
      <c r="H14" s="17">
        <v>335267</v>
      </c>
      <c r="I14" s="17">
        <v>30041.165594800012</v>
      </c>
      <c r="J14" s="17">
        <v>2749.2</v>
      </c>
      <c r="K14" s="17">
        <v>0</v>
      </c>
      <c r="L14" s="18">
        <f t="shared" si="24"/>
        <v>2957.2776336520001</v>
      </c>
      <c r="M14" s="19">
        <f t="shared" si="0"/>
        <v>0</v>
      </c>
      <c r="N14" s="19">
        <f t="shared" si="1"/>
        <v>0</v>
      </c>
      <c r="O14" s="19">
        <f t="shared" si="2"/>
        <v>15734432.404100001</v>
      </c>
      <c r="P14" s="19">
        <f t="shared" si="25"/>
        <v>16456559.380894523</v>
      </c>
      <c r="Q14" s="19">
        <f t="shared" si="26"/>
        <v>30041.165594800012</v>
      </c>
      <c r="R14" s="20">
        <f t="shared" si="27"/>
        <v>0.63355508040905173</v>
      </c>
      <c r="S14" s="20">
        <f t="shared" si="28"/>
        <v>0.65155700552613161</v>
      </c>
      <c r="T14" s="21">
        <v>971137.17235159245</v>
      </c>
      <c r="U14" s="22">
        <v>1071107.7030567238</v>
      </c>
      <c r="V14" s="22">
        <v>1205972.2984790099</v>
      </c>
      <c r="W14" s="22">
        <v>1357817.8744754349</v>
      </c>
      <c r="X14" s="22">
        <v>1528782.5288941138</v>
      </c>
      <c r="Y14" s="22">
        <v>1721273.5703268026</v>
      </c>
      <c r="Z14" s="22">
        <v>1938001.414791669</v>
      </c>
      <c r="AA14" s="22">
        <v>2182017.7503924733</v>
      </c>
      <c r="AB14" s="22">
        <v>2456758.5073407437</v>
      </c>
      <c r="AC14" s="22">
        <v>2766092.2383905915</v>
      </c>
      <c r="AD14" s="22">
        <v>3114374.590918418</v>
      </c>
      <c r="AE14" s="23">
        <v>4.7145464355645185E-2</v>
      </c>
      <c r="AF14" s="23">
        <v>5.8637358360722307E-2</v>
      </c>
      <c r="AG14" s="23">
        <v>6.9188970462192634E-2</v>
      </c>
      <c r="AH14" s="23">
        <v>7.8827091436025273E-2</v>
      </c>
      <c r="AI14" s="23">
        <v>8.7577290025711921E-2</v>
      </c>
      <c r="AJ14" s="23">
        <v>9.5463956634188635E-2</v>
      </c>
      <c r="AK14" s="23">
        <v>0.10251034525589638</v>
      </c>
      <c r="AL14" s="23">
        <v>0.10873861371572592</v>
      </c>
      <c r="AM14" s="23">
        <v>0.11416986227898528</v>
      </c>
      <c r="AN14" s="23">
        <v>0.11882417069401892</v>
      </c>
      <c r="AO14" s="23">
        <v>1.0615943486491424</v>
      </c>
      <c r="AP14" s="24">
        <v>31707212.583799999</v>
      </c>
      <c r="AQ14" s="25">
        <f t="shared" si="3"/>
        <v>661.06749011690067</v>
      </c>
      <c r="AR14" s="25">
        <f t="shared" si="3"/>
        <v>644.39990556812734</v>
      </c>
      <c r="AS14" s="25">
        <f t="shared" si="3"/>
        <v>628.94972753482318</v>
      </c>
      <c r="AT14" s="25">
        <f t="shared" si="3"/>
        <v>614.51430625329294</v>
      </c>
      <c r="AU14" s="25">
        <f t="shared" si="3"/>
        <v>600.91414059717965</v>
      </c>
      <c r="AV14" s="25">
        <f t="shared" si="3"/>
        <v>587.98808617079112</v>
      </c>
      <c r="AW14" s="25">
        <f t="shared" si="3"/>
        <v>575.5896534109927</v>
      </c>
      <c r="AX14" s="25">
        <f t="shared" si="3"/>
        <v>563.58417797466075</v>
      </c>
      <c r="AY14" s="25">
        <f t="shared" si="3"/>
        <v>551.84671236814449</v>
      </c>
      <c r="AZ14" s="25">
        <f t="shared" si="3"/>
        <v>540.26053533608024</v>
      </c>
      <c r="BA14" s="26">
        <f t="shared" si="29"/>
        <v>596.9114735330993</v>
      </c>
      <c r="BB14" s="26">
        <f t="shared" si="30"/>
        <v>540.26053533608024</v>
      </c>
      <c r="BC14" s="69"/>
      <c r="BD14" s="70"/>
      <c r="BE14" s="79">
        <f t="shared" si="31"/>
        <v>15764473.5696948</v>
      </c>
      <c r="BF14" s="79">
        <f t="shared" si="32"/>
        <v>6038.1077807397978</v>
      </c>
      <c r="BG14" s="84"/>
      <c r="BH14" s="63">
        <f>MAX($BE14-VLOOKUP($A14,'RE Generation'!$A$4:$M$52,'Mass Equivalents - States, Opt1'!BH$7-2016,0)-VLOOKUP('Mass Equivalents - States, Opt1'!$A14,'EE Avoided Generation'!$A$4:$K$52,'Mass Equivalents - States, Opt1'!BH$7-2018,0)-VLOOKUP($A14,'Under Construction Nuclear'!$B$5:$D$53,3,0),0)+U14+$T14+VLOOKUP('Mass Equivalents - States, Opt1'!$A14,'EE Avoided Generation'!$A$4:$K$52,'Mass Equivalents - States, Opt1'!BH$7-2018,0)</f>
        <v>17402135.652046394</v>
      </c>
      <c r="BI14" s="64">
        <f>MAX($BE14-VLOOKUP($A14,'RE Generation'!$A$4:$M$52,'Mass Equivalents - States, Opt1'!BI$7-2016,0)-VLOOKUP('Mass Equivalents - States, Opt1'!$A14,'EE Avoided Generation'!$A$4:$K$52,'Mass Equivalents - States, Opt1'!BI$7-2018,0)-VLOOKUP($A14,'Under Construction Nuclear'!$B$5:$D$53,3,0),0)+V14+$T14+VLOOKUP('Mass Equivalents - States, Opt1'!$A14,'EE Avoided Generation'!$A$4:$K$52,'Mass Equivalents - States, Opt1'!BI$7-2018,0)</f>
        <v>17402135.652046394</v>
      </c>
      <c r="BJ14" s="64">
        <f>MAX($BE14-VLOOKUP($A14,'RE Generation'!$A$4:$M$52,'Mass Equivalents - States, Opt1'!BJ$7-2016,0)-VLOOKUP('Mass Equivalents - States, Opt1'!$A14,'EE Avoided Generation'!$A$4:$K$52,'Mass Equivalents - States, Opt1'!BJ$7-2018,0)-VLOOKUP($A14,'Under Construction Nuclear'!$B$5:$D$53,3,0),0)+W14+$T14+VLOOKUP('Mass Equivalents - States, Opt1'!$A14,'EE Avoided Generation'!$A$4:$K$52,'Mass Equivalents - States, Opt1'!BJ$7-2018,0)</f>
        <v>17402135.652046394</v>
      </c>
      <c r="BK14" s="64">
        <f>MAX($BE14-VLOOKUP($A14,'RE Generation'!$A$4:$M$52,'Mass Equivalents - States, Opt1'!BK$7-2016,0)-VLOOKUP('Mass Equivalents - States, Opt1'!$A14,'EE Avoided Generation'!$A$4:$K$52,'Mass Equivalents - States, Opt1'!BK$7-2018,0)-VLOOKUP($A14,'Under Construction Nuclear'!$B$5:$D$53,3,0),0)+X14+$T14+VLOOKUP('Mass Equivalents - States, Opt1'!$A14,'EE Avoided Generation'!$A$4:$K$52,'Mass Equivalents - States, Opt1'!BK$7-2018,0)</f>
        <v>17402135.652046394</v>
      </c>
      <c r="BL14" s="64">
        <f>MAX($BE14-VLOOKUP($A14,'RE Generation'!$A$4:$M$52,'Mass Equivalents - States, Opt1'!BL$7-2016,0)-VLOOKUP('Mass Equivalents - States, Opt1'!$A14,'EE Avoided Generation'!$A$4:$K$52,'Mass Equivalents - States, Opt1'!BL$7-2018,0)-VLOOKUP($A14,'Under Construction Nuclear'!$B$5:$D$53,3,0),0)+Y14+$T14+VLOOKUP('Mass Equivalents - States, Opt1'!$A14,'EE Avoided Generation'!$A$4:$K$52,'Mass Equivalents - States, Opt1'!BL$7-2018,0)</f>
        <v>17402135.652046394</v>
      </c>
      <c r="BM14" s="64">
        <f>MAX($BE14-VLOOKUP($A14,'RE Generation'!$A$4:$M$52,'Mass Equivalents - States, Opt1'!BM$7-2016,0)-VLOOKUP('Mass Equivalents - States, Opt1'!$A14,'EE Avoided Generation'!$A$4:$K$52,'Mass Equivalents - States, Opt1'!BM$7-2018,0)-VLOOKUP($A14,'Under Construction Nuclear'!$B$5:$D$53,3,0),0)+Z14+$T14+VLOOKUP('Mass Equivalents - States, Opt1'!$A14,'EE Avoided Generation'!$A$4:$K$52,'Mass Equivalents - States, Opt1'!BM$7-2018,0)</f>
        <v>17402135.652046394</v>
      </c>
      <c r="BN14" s="64">
        <f>MAX($BE14-VLOOKUP($A14,'RE Generation'!$A$4:$M$52,'Mass Equivalents - States, Opt1'!BN$7-2016,0)-VLOOKUP('Mass Equivalents - States, Opt1'!$A14,'EE Avoided Generation'!$A$4:$K$52,'Mass Equivalents - States, Opt1'!BN$7-2018,0)-VLOOKUP($A14,'Under Construction Nuclear'!$B$5:$D$53,3,0),0)+AA14+$T14+VLOOKUP('Mass Equivalents - States, Opt1'!$A14,'EE Avoided Generation'!$A$4:$K$52,'Mass Equivalents - States, Opt1'!BN$7-2018,0)</f>
        <v>17402135.652046397</v>
      </c>
      <c r="BO14" s="64">
        <f>MAX($BE14-VLOOKUP($A14,'RE Generation'!$A$4:$M$52,'Mass Equivalents - States, Opt1'!BO$7-2016,0)-VLOOKUP('Mass Equivalents - States, Opt1'!$A14,'EE Avoided Generation'!$A$4:$K$52,'Mass Equivalents - States, Opt1'!BO$7-2018,0)-VLOOKUP($A14,'Under Construction Nuclear'!$B$5:$D$53,3,0),0)+AB14+$T14+VLOOKUP('Mass Equivalents - States, Opt1'!$A14,'EE Avoided Generation'!$A$4:$K$52,'Mass Equivalents - States, Opt1'!BO$7-2018,0)</f>
        <v>17402135.652046394</v>
      </c>
      <c r="BP14" s="64">
        <f>MAX($BE14-VLOOKUP($A14,'RE Generation'!$A$4:$M$52,'Mass Equivalents - States, Opt1'!BP$7-2016,0)-VLOOKUP('Mass Equivalents - States, Opt1'!$A14,'EE Avoided Generation'!$A$4:$K$52,'Mass Equivalents - States, Opt1'!BP$7-2018,0)-VLOOKUP($A14,'Under Construction Nuclear'!$B$5:$D$53,3,0),0)+AC14+$T14+VLOOKUP('Mass Equivalents - States, Opt1'!$A14,'EE Avoided Generation'!$A$4:$K$52,'Mass Equivalents - States, Opt1'!BP$7-2018,0)</f>
        <v>17402135.652046394</v>
      </c>
      <c r="BQ14" s="65">
        <f>MAX($BE14-VLOOKUP($A14,'RE Generation'!$A$4:$M$52,'Mass Equivalents - States, Opt1'!BQ$7-2016,0)-VLOOKUP('Mass Equivalents - States, Opt1'!$A14,'EE Avoided Generation'!$A$4:$K$52,'Mass Equivalents - States, Opt1'!BQ$7-2018,0)-VLOOKUP($A14,'Under Construction Nuclear'!$B$5:$D$53,3,0),0)+AD14+$T14+VLOOKUP('Mass Equivalents - States, Opt1'!$A14,'EE Avoided Generation'!$A$4:$K$52,'Mass Equivalents - States, Opt1'!BQ$7-2018,0)</f>
        <v>17402135.652046394</v>
      </c>
      <c r="BR14" s="29"/>
      <c r="BS14" s="71">
        <f t="shared" si="4"/>
        <v>5218.1265425207721</v>
      </c>
      <c r="BT14" s="72">
        <f t="shared" si="5"/>
        <v>5086.5612082183961</v>
      </c>
      <c r="BU14" s="72">
        <f t="shared" si="6"/>
        <v>4964.6054543996761</v>
      </c>
      <c r="BV14" s="72">
        <f t="shared" si="7"/>
        <v>4850.659668125566</v>
      </c>
      <c r="BW14" s="72">
        <f t="shared" si="8"/>
        <v>4743.3069598865113</v>
      </c>
      <c r="BX14" s="72">
        <f t="shared" si="9"/>
        <v>4641.2753387573603</v>
      </c>
      <c r="BY14" s="72">
        <f t="shared" si="10"/>
        <v>4543.4084915189314</v>
      </c>
      <c r="BZ14" s="72">
        <f t="shared" si="11"/>
        <v>4448.6434471528446</v>
      </c>
      <c r="CA14" s="72">
        <f t="shared" si="12"/>
        <v>4355.9939344496015</v>
      </c>
      <c r="CB14" s="72">
        <f t="shared" si="13"/>
        <v>4264.538615891026</v>
      </c>
      <c r="CC14" s="75">
        <f t="shared" si="33"/>
        <v>4711.7119660920689</v>
      </c>
      <c r="CD14" s="76">
        <f t="shared" si="34"/>
        <v>4264.538615891026</v>
      </c>
      <c r="CG14" s="63">
        <f>BH14+VLOOKUP($A14,'Incremental Demand for New Gen'!$AG$5:$AQ$53,'Mass Equivalents - States, Opt1'!BH$7-2018,0)</f>
        <v>18153050.242983073</v>
      </c>
      <c r="CH14" s="64">
        <f>BI14+VLOOKUP($A14,'Incremental Demand for New Gen'!$AG$5:$AQ$53,'Mass Equivalents - States, Opt1'!BI$7-2018,0)</f>
        <v>18248141.915833276</v>
      </c>
      <c r="CI14" s="64">
        <f>BJ14+VLOOKUP($A14,'Incremental Demand for New Gen'!$AG$5:$AQ$53,'Mass Equivalents - States, Opt1'!BJ$7-2018,0)</f>
        <v>18343508.970188744</v>
      </c>
      <c r="CJ14" s="64">
        <f>BK14+VLOOKUP($A14,'Incremental Demand for New Gen'!$AG$5:$AQ$53,'Mass Equivalents - States, Opt1'!BK$7-2018,0)</f>
        <v>18439152.203542795</v>
      </c>
      <c r="CK14" s="64">
        <f>BL14+VLOOKUP($A14,'Incremental Demand for New Gen'!$AG$5:$AQ$53,'Mass Equivalents - States, Opt1'!BL$7-2018,0)</f>
        <v>18535072.415698245</v>
      </c>
      <c r="CL14" s="64">
        <f>BM14+VLOOKUP($A14,'Incremental Demand for New Gen'!$AG$5:$AQ$53,'Mass Equivalents - States, Opt1'!BM$7-2018,0)</f>
        <v>18631270.408774111</v>
      </c>
      <c r="CM14" s="64">
        <f>BN14+VLOOKUP($A14,'Incremental Demand for New Gen'!$AG$5:$AQ$53,'Mass Equivalents - States, Opt1'!BN$7-2018,0)</f>
        <v>18727746.987212326</v>
      </c>
      <c r="CN14" s="64">
        <f>BO14+VLOOKUP($A14,'Incremental Demand for New Gen'!$AG$5:$AQ$53,'Mass Equivalents - States, Opt1'!BO$7-2018,0)</f>
        <v>18824502.957784422</v>
      </c>
      <c r="CO14" s="64">
        <f>BP14+VLOOKUP($A14,'Incremental Demand for New Gen'!$AG$5:$AQ$53,'Mass Equivalents - States, Opt1'!BP$7-2018,0)</f>
        <v>18921539.129598342</v>
      </c>
      <c r="CP14" s="65">
        <f>BQ14+VLOOKUP($A14,'Incremental Demand for New Gen'!$AG$5:$AQ$53,'Mass Equivalents - States, Opt1'!BQ$7-2018,0)</f>
        <v>19018856.314105146</v>
      </c>
      <c r="CQ14" s="29"/>
      <c r="CR14" s="71">
        <f t="shared" si="14"/>
        <v>5443.2924322989065</v>
      </c>
      <c r="CS14" s="72">
        <f t="shared" si="15"/>
        <v>5333.8448019870775</v>
      </c>
      <c r="CT14" s="72">
        <f t="shared" si="16"/>
        <v>5233.1671529936211</v>
      </c>
      <c r="CU14" s="72">
        <f t="shared" si="17"/>
        <v>5139.7169690282135</v>
      </c>
      <c r="CV14" s="72">
        <f t="shared" si="18"/>
        <v>5052.1119792008612</v>
      </c>
      <c r="CW14" s="72">
        <f t="shared" si="19"/>
        <v>4969.0944609890066</v>
      </c>
      <c r="CX14" s="72">
        <f t="shared" si="20"/>
        <v>4889.5035868033074</v>
      </c>
      <c r="CY14" s="72">
        <f t="shared" si="21"/>
        <v>4812.2542774920412</v>
      </c>
      <c r="CZ14" s="72">
        <f t="shared" si="22"/>
        <v>4736.3215255300447</v>
      </c>
      <c r="DA14" s="72">
        <f t="shared" si="23"/>
        <v>4660.7295106360443</v>
      </c>
      <c r="DB14" s="75">
        <f t="shared" si="35"/>
        <v>5027.0036696959123</v>
      </c>
      <c r="DC14" s="76">
        <f t="shared" si="36"/>
        <v>4660.7295106360443</v>
      </c>
    </row>
    <row r="15" spans="1:107" x14ac:dyDescent="0.25">
      <c r="A15" s="16" t="s">
        <v>49</v>
      </c>
      <c r="B15" s="17">
        <v>2136.9024003999998</v>
      </c>
      <c r="C15" s="17">
        <v>979.35543659999996</v>
      </c>
      <c r="D15" s="17">
        <v>1429.8429154999999</v>
      </c>
      <c r="E15" s="17">
        <v>2008472.8334976812</v>
      </c>
      <c r="F15" s="17">
        <v>1406502</v>
      </c>
      <c r="G15" s="17">
        <v>5179270.0000999998</v>
      </c>
      <c r="H15" s="17">
        <v>1076070</v>
      </c>
      <c r="I15" s="17">
        <v>1432.3572751999891</v>
      </c>
      <c r="J15" s="17">
        <v>1193</v>
      </c>
      <c r="K15" s="17">
        <v>0</v>
      </c>
      <c r="L15" s="18">
        <f t="shared" si="24"/>
        <v>2008.6882563759998</v>
      </c>
      <c r="M15" s="19">
        <f t="shared" si="0"/>
        <v>184878.74518356379</v>
      </c>
      <c r="N15" s="19">
        <f t="shared" si="1"/>
        <v>141444.85491643636</v>
      </c>
      <c r="O15" s="19">
        <f t="shared" si="2"/>
        <v>7335518.3999999994</v>
      </c>
      <c r="P15" s="19">
        <f t="shared" si="25"/>
        <v>2008472.8334976812</v>
      </c>
      <c r="Q15" s="19">
        <f t="shared" si="26"/>
        <v>1432.3572751999891</v>
      </c>
      <c r="R15" s="20">
        <f t="shared" si="27"/>
        <v>0.49423759881373891</v>
      </c>
      <c r="S15" s="20">
        <f t="shared" si="28"/>
        <v>0.7</v>
      </c>
      <c r="T15" s="21"/>
      <c r="U15" s="22">
        <v>247756.63915112716</v>
      </c>
      <c r="V15" s="22">
        <v>290517.20444475126</v>
      </c>
      <c r="W15" s="22">
        <v>340657.85832245945</v>
      </c>
      <c r="X15" s="22">
        <v>399452.33762881707</v>
      </c>
      <c r="Y15" s="22">
        <v>468394.2147199444</v>
      </c>
      <c r="Z15" s="22">
        <v>549234.83909356908</v>
      </c>
      <c r="AA15" s="22">
        <v>644027.8274028264</v>
      </c>
      <c r="AB15" s="22">
        <v>755181.23204588471</v>
      </c>
      <c r="AC15" s="22">
        <v>885518.71358445205</v>
      </c>
      <c r="AD15" s="22">
        <v>1038351.2709709639</v>
      </c>
      <c r="AE15" s="23">
        <v>1.1441213707457557E-2</v>
      </c>
      <c r="AF15" s="23">
        <v>1.8631179655641407E-2</v>
      </c>
      <c r="AG15" s="23">
        <v>2.7271563041388301E-2</v>
      </c>
      <c r="AH15" s="23">
        <v>3.7211911935047963E-2</v>
      </c>
      <c r="AI15" s="23">
        <v>4.829886624966611E-2</v>
      </c>
      <c r="AJ15" s="23">
        <v>5.9430845708344275E-2</v>
      </c>
      <c r="AK15" s="23">
        <v>6.9611011060983968E-2</v>
      </c>
      <c r="AL15" s="23">
        <v>7.8870750079824054E-2</v>
      </c>
      <c r="AM15" s="23">
        <v>8.7240017406983658E-2</v>
      </c>
      <c r="AN15" s="23">
        <v>9.4747391771909273E-2</v>
      </c>
      <c r="AO15" s="23">
        <v>0.45088760824127661</v>
      </c>
      <c r="AP15" s="24">
        <v>12384432.758099999</v>
      </c>
      <c r="AQ15" s="25">
        <f t="shared" si="3"/>
        <v>973.01256437907716</v>
      </c>
      <c r="AR15" s="25">
        <f t="shared" si="3"/>
        <v>963.00096604266957</v>
      </c>
      <c r="AS15" s="25">
        <f t="shared" si="3"/>
        <v>951.38428447637875</v>
      </c>
      <c r="AT15" s="25">
        <f t="shared" si="3"/>
        <v>938.23584208836883</v>
      </c>
      <c r="AU15" s="25">
        <f t="shared" si="3"/>
        <v>923.62282227275705</v>
      </c>
      <c r="AV15" s="25">
        <f t="shared" si="3"/>
        <v>908.16475995347469</v>
      </c>
      <c r="AW15" s="25">
        <f t="shared" si="3"/>
        <v>892.3284028245597</v>
      </c>
      <c r="AX15" s="25">
        <f t="shared" si="3"/>
        <v>875.92401631757878</v>
      </c>
      <c r="AY15" s="25">
        <f t="shared" si="3"/>
        <v>858.75911080103913</v>
      </c>
      <c r="AZ15" s="25">
        <f t="shared" si="3"/>
        <v>840.64059603933811</v>
      </c>
      <c r="BA15" s="26">
        <f t="shared" si="29"/>
        <v>912.50733651952419</v>
      </c>
      <c r="BB15" s="26">
        <f t="shared" si="30"/>
        <v>840.64059603933811</v>
      </c>
      <c r="BC15" s="69"/>
      <c r="BD15" s="70"/>
      <c r="BE15" s="79">
        <f t="shared" si="31"/>
        <v>7663274.3573751999</v>
      </c>
      <c r="BF15" s="79">
        <f t="shared" si="32"/>
        <v>4362.8939550127461</v>
      </c>
      <c r="BG15" s="84"/>
      <c r="BH15" s="63">
        <f>MAX($BE15-VLOOKUP($A15,'RE Generation'!$A$4:$M$52,'Mass Equivalents - States, Opt1'!BH$7-2016,0)-VLOOKUP('Mass Equivalents - States, Opt1'!$A15,'EE Avoided Generation'!$A$4:$K$52,'Mass Equivalents - States, Opt1'!BH$7-2018,0)-VLOOKUP($A15,'Under Construction Nuclear'!$B$5:$D$53,3,0),0)+U15+$T15+VLOOKUP('Mass Equivalents - States, Opt1'!$A15,'EE Avoided Generation'!$A$4:$K$52,'Mass Equivalents - States, Opt1'!BH$7-2018,0)</f>
        <v>7794324.9773752</v>
      </c>
      <c r="BI15" s="64">
        <f>MAX($BE15-VLOOKUP($A15,'RE Generation'!$A$4:$M$52,'Mass Equivalents - States, Opt1'!BI$7-2016,0)-VLOOKUP('Mass Equivalents - States, Opt1'!$A15,'EE Avoided Generation'!$A$4:$K$52,'Mass Equivalents - States, Opt1'!BI$7-2018,0)-VLOOKUP($A15,'Under Construction Nuclear'!$B$5:$D$53,3,0),0)+V15+$T15+VLOOKUP('Mass Equivalents - States, Opt1'!$A15,'EE Avoided Generation'!$A$4:$K$52,'Mass Equivalents - States, Opt1'!BI$7-2018,0)</f>
        <v>7794324.9773752</v>
      </c>
      <c r="BJ15" s="64">
        <f>MAX($BE15-VLOOKUP($A15,'RE Generation'!$A$4:$M$52,'Mass Equivalents - States, Opt1'!BJ$7-2016,0)-VLOOKUP('Mass Equivalents - States, Opt1'!$A15,'EE Avoided Generation'!$A$4:$K$52,'Mass Equivalents - States, Opt1'!BJ$7-2018,0)-VLOOKUP($A15,'Under Construction Nuclear'!$B$5:$D$53,3,0),0)+W15+$T15+VLOOKUP('Mass Equivalents - States, Opt1'!$A15,'EE Avoided Generation'!$A$4:$K$52,'Mass Equivalents - States, Opt1'!BJ$7-2018,0)</f>
        <v>7794324.9773752</v>
      </c>
      <c r="BK15" s="64">
        <f>MAX($BE15-VLOOKUP($A15,'RE Generation'!$A$4:$M$52,'Mass Equivalents - States, Opt1'!BK$7-2016,0)-VLOOKUP('Mass Equivalents - States, Opt1'!$A15,'EE Avoided Generation'!$A$4:$K$52,'Mass Equivalents - States, Opt1'!BK$7-2018,0)-VLOOKUP($A15,'Under Construction Nuclear'!$B$5:$D$53,3,0),0)+X15+$T15+VLOOKUP('Mass Equivalents - States, Opt1'!$A15,'EE Avoided Generation'!$A$4:$K$52,'Mass Equivalents - States, Opt1'!BK$7-2018,0)</f>
        <v>7794324.9773752</v>
      </c>
      <c r="BL15" s="64">
        <f>MAX($BE15-VLOOKUP($A15,'RE Generation'!$A$4:$M$52,'Mass Equivalents - States, Opt1'!BL$7-2016,0)-VLOOKUP('Mass Equivalents - States, Opt1'!$A15,'EE Avoided Generation'!$A$4:$K$52,'Mass Equivalents - States, Opt1'!BL$7-2018,0)-VLOOKUP($A15,'Under Construction Nuclear'!$B$5:$D$53,3,0),0)+Y15+$T15+VLOOKUP('Mass Equivalents - States, Opt1'!$A15,'EE Avoided Generation'!$A$4:$K$52,'Mass Equivalents - States, Opt1'!BL$7-2018,0)</f>
        <v>7794324.9773752</v>
      </c>
      <c r="BM15" s="64">
        <f>MAX($BE15-VLOOKUP($A15,'RE Generation'!$A$4:$M$52,'Mass Equivalents - States, Opt1'!BM$7-2016,0)-VLOOKUP('Mass Equivalents - States, Opt1'!$A15,'EE Avoided Generation'!$A$4:$K$52,'Mass Equivalents - States, Opt1'!BM$7-2018,0)-VLOOKUP($A15,'Under Construction Nuclear'!$B$5:$D$53,3,0),0)+Z15+$T15+VLOOKUP('Mass Equivalents - States, Opt1'!$A15,'EE Avoided Generation'!$A$4:$K$52,'Mass Equivalents - States, Opt1'!BM$7-2018,0)</f>
        <v>7794324.9773751991</v>
      </c>
      <c r="BN15" s="64">
        <f>MAX($BE15-VLOOKUP($A15,'RE Generation'!$A$4:$M$52,'Mass Equivalents - States, Opt1'!BN$7-2016,0)-VLOOKUP('Mass Equivalents - States, Opt1'!$A15,'EE Avoided Generation'!$A$4:$K$52,'Mass Equivalents - States, Opt1'!BN$7-2018,0)-VLOOKUP($A15,'Under Construction Nuclear'!$B$5:$D$53,3,0),0)+AA15+$T15+VLOOKUP('Mass Equivalents - States, Opt1'!$A15,'EE Avoided Generation'!$A$4:$K$52,'Mass Equivalents - States, Opt1'!BN$7-2018,0)</f>
        <v>7794324.9773752</v>
      </c>
      <c r="BO15" s="64">
        <f>MAX($BE15-VLOOKUP($A15,'RE Generation'!$A$4:$M$52,'Mass Equivalents - States, Opt1'!BO$7-2016,0)-VLOOKUP('Mass Equivalents - States, Opt1'!$A15,'EE Avoided Generation'!$A$4:$K$52,'Mass Equivalents - States, Opt1'!BO$7-2018,0)-VLOOKUP($A15,'Under Construction Nuclear'!$B$5:$D$53,3,0),0)+AB15+$T15+VLOOKUP('Mass Equivalents - States, Opt1'!$A15,'EE Avoided Generation'!$A$4:$K$52,'Mass Equivalents - States, Opt1'!BO$7-2018,0)</f>
        <v>7794324.9773752</v>
      </c>
      <c r="BP15" s="64">
        <f>MAX($BE15-VLOOKUP($A15,'RE Generation'!$A$4:$M$52,'Mass Equivalents - States, Opt1'!BP$7-2016,0)-VLOOKUP('Mass Equivalents - States, Opt1'!$A15,'EE Avoided Generation'!$A$4:$K$52,'Mass Equivalents - States, Opt1'!BP$7-2018,0)-VLOOKUP($A15,'Under Construction Nuclear'!$B$5:$D$53,3,0),0)+AC15+$T15+VLOOKUP('Mass Equivalents - States, Opt1'!$A15,'EE Avoided Generation'!$A$4:$K$52,'Mass Equivalents - States, Opt1'!BP$7-2018,0)</f>
        <v>7794324.9773752</v>
      </c>
      <c r="BQ15" s="65">
        <f>MAX($BE15-VLOOKUP($A15,'RE Generation'!$A$4:$M$52,'Mass Equivalents - States, Opt1'!BQ$7-2016,0)-VLOOKUP('Mass Equivalents - States, Opt1'!$A15,'EE Avoided Generation'!$A$4:$K$52,'Mass Equivalents - States, Opt1'!BQ$7-2018,0)-VLOOKUP($A15,'Under Construction Nuclear'!$B$5:$D$53,3,0),0)+AD15+$T15+VLOOKUP('Mass Equivalents - States, Opt1'!$A15,'EE Avoided Generation'!$A$4:$K$52,'Mass Equivalents - States, Opt1'!BQ$7-2018,0)</f>
        <v>7794324.9773752</v>
      </c>
      <c r="BR15" s="29"/>
      <c r="BS15" s="71">
        <f t="shared" si="4"/>
        <v>3440.0377996388206</v>
      </c>
      <c r="BT15" s="72">
        <f t="shared" si="5"/>
        <v>3404.6422888583188</v>
      </c>
      <c r="BU15" s="72">
        <f t="shared" si="6"/>
        <v>3363.5720857002439</v>
      </c>
      <c r="BV15" s="72">
        <f t="shared" si="7"/>
        <v>3317.0864179123964</v>
      </c>
      <c r="BW15" s="72">
        <f t="shared" si="8"/>
        <v>3265.4228090620268</v>
      </c>
      <c r="BX15" s="72">
        <f t="shared" si="9"/>
        <v>3210.7715942327113</v>
      </c>
      <c r="BY15" s="72">
        <f t="shared" si="10"/>
        <v>3154.7829368130497</v>
      </c>
      <c r="BZ15" s="72">
        <f t="shared" si="11"/>
        <v>3096.7860396199376</v>
      </c>
      <c r="CA15" s="72">
        <f t="shared" si="12"/>
        <v>3036.1003650810826</v>
      </c>
      <c r="CB15" s="72">
        <f t="shared" si="13"/>
        <v>2972.0432522180645</v>
      </c>
      <c r="CC15" s="75">
        <f t="shared" si="33"/>
        <v>3226.1245589136656</v>
      </c>
      <c r="CD15" s="76">
        <f t="shared" si="34"/>
        <v>2972.0432522180645</v>
      </c>
      <c r="CG15" s="63">
        <f>BH15+VLOOKUP($A15,'Incremental Demand for New Gen'!$AG$5:$AQ$53,'Mass Equivalents - States, Opt1'!BH$7-2018,0)</f>
        <v>8351409.563808972</v>
      </c>
      <c r="CH15" s="64">
        <f>BI15+VLOOKUP($A15,'Incremental Demand for New Gen'!$AG$5:$AQ$53,'Mass Equivalents - States, Opt1'!BI$7-2018,0)</f>
        <v>8422782.8636581898</v>
      </c>
      <c r="CI15" s="64">
        <f>BJ15+VLOOKUP($A15,'Incremental Demand for New Gen'!$AG$5:$AQ$53,'Mass Equivalents - States, Opt1'!BJ$7-2018,0)</f>
        <v>8494549.4403033201</v>
      </c>
      <c r="CJ15" s="64">
        <f>BK15+VLOOKUP($A15,'Incremental Demand for New Gen'!$AG$5:$AQ$53,'Mass Equivalents - States, Opt1'!BK$7-2018,0)</f>
        <v>8566711.4607541319</v>
      </c>
      <c r="CK15" s="64">
        <f>BL15+VLOOKUP($A15,'Incremental Demand for New Gen'!$AG$5:$AQ$53,'Mass Equivalents - States, Opt1'!BL$7-2018,0)</f>
        <v>8639271.1039609257</v>
      </c>
      <c r="CL15" s="64">
        <f>BM15+VLOOKUP($A15,'Incremental Demand for New Gen'!$AG$5:$AQ$53,'Mass Equivalents - States, Opt1'!BM$7-2018,0)</f>
        <v>8712230.5608803146</v>
      </c>
      <c r="CM15" s="64">
        <f>BN15+VLOOKUP($A15,'Incremental Demand for New Gen'!$AG$5:$AQ$53,'Mass Equivalents - States, Opt1'!BN$7-2018,0)</f>
        <v>8785592.034541389</v>
      </c>
      <c r="CN15" s="64">
        <f>BO15+VLOOKUP($A15,'Incremental Demand for New Gen'!$AG$5:$AQ$53,'Mass Equivalents - States, Opt1'!BO$7-2018,0)</f>
        <v>8859357.7401122376</v>
      </c>
      <c r="CO15" s="64">
        <f>BP15+VLOOKUP($A15,'Incremental Demand for New Gen'!$AG$5:$AQ$53,'Mass Equivalents - States, Opt1'!BP$7-2018,0)</f>
        <v>8933529.9049668293</v>
      </c>
      <c r="CP15" s="65">
        <f>BQ15+VLOOKUP($A15,'Incremental Demand for New Gen'!$AG$5:$AQ$53,'Mass Equivalents - States, Opt1'!BQ$7-2018,0)</f>
        <v>9008110.768752275</v>
      </c>
      <c r="CQ15" s="29"/>
      <c r="CR15" s="71">
        <f t="shared" si="14"/>
        <v>3685.9079731934389</v>
      </c>
      <c r="CS15" s="72">
        <f t="shared" si="15"/>
        <v>3679.1592358186358</v>
      </c>
      <c r="CT15" s="72">
        <f t="shared" si="16"/>
        <v>3665.7477666047653</v>
      </c>
      <c r="CU15" s="72">
        <f t="shared" si="17"/>
        <v>3645.7964371677358</v>
      </c>
      <c r="CV15" s="72">
        <f t="shared" si="18"/>
        <v>3619.4119437453478</v>
      </c>
      <c r="CW15" s="72">
        <f t="shared" si="19"/>
        <v>3588.8909544416715</v>
      </c>
      <c r="CX15" s="72">
        <f t="shared" si="20"/>
        <v>3556.0020811071713</v>
      </c>
      <c r="CY15" s="72">
        <f t="shared" si="21"/>
        <v>3519.9373196801898</v>
      </c>
      <c r="CZ15" s="72">
        <f t="shared" si="22"/>
        <v>3479.851492549195</v>
      </c>
      <c r="DA15" s="72">
        <f t="shared" si="23"/>
        <v>3434.8702297140971</v>
      </c>
      <c r="DB15" s="75">
        <f t="shared" si="35"/>
        <v>3587.5575434022248</v>
      </c>
      <c r="DC15" s="76">
        <f t="shared" si="36"/>
        <v>3434.8702297140971</v>
      </c>
    </row>
    <row r="16" spans="1:107" x14ac:dyDescent="0.25">
      <c r="A16" s="16" t="s">
        <v>50</v>
      </c>
      <c r="B16" s="17">
        <v>2250.7272351000001</v>
      </c>
      <c r="C16" s="17">
        <v>864.2511733</v>
      </c>
      <c r="D16" s="17">
        <v>1528.8799706</v>
      </c>
      <c r="E16" s="17">
        <v>6223480133.8529482</v>
      </c>
      <c r="F16" s="17">
        <v>44537196</v>
      </c>
      <c r="G16" s="17">
        <v>133320419.2579</v>
      </c>
      <c r="H16" s="17">
        <v>10025973</v>
      </c>
      <c r="I16" s="17">
        <v>3567382.7075262</v>
      </c>
      <c r="J16" s="17">
        <v>29485.1</v>
      </c>
      <c r="K16" s="17">
        <v>1157</v>
      </c>
      <c r="L16" s="18">
        <f t="shared" si="24"/>
        <v>2115.6836009939998</v>
      </c>
      <c r="M16" s="19">
        <f t="shared" si="0"/>
        <v>4131158.1657033339</v>
      </c>
      <c r="N16" s="19">
        <f t="shared" si="1"/>
        <v>929984.01219670847</v>
      </c>
      <c r="O16" s="19">
        <f t="shared" si="2"/>
        <v>182822446.07999995</v>
      </c>
      <c r="P16" s="19">
        <f t="shared" si="25"/>
        <v>11054383534.446081</v>
      </c>
      <c r="Q16" s="19">
        <f t="shared" si="26"/>
        <v>9157081.1075261999</v>
      </c>
      <c r="R16" s="20">
        <f t="shared" si="27"/>
        <v>0.51475638061732198</v>
      </c>
      <c r="S16" s="20">
        <f t="shared" si="28"/>
        <v>0.7</v>
      </c>
      <c r="T16" s="21">
        <v>1623103.9351455392</v>
      </c>
      <c r="U16" s="22">
        <v>7489632.440006014</v>
      </c>
      <c r="V16" s="22">
        <v>8495712.9508785289</v>
      </c>
      <c r="W16" s="22">
        <v>9636940.0129957795</v>
      </c>
      <c r="X16" s="22">
        <v>10931467.829839459</v>
      </c>
      <c r="Y16" s="22">
        <v>12399889.254646057</v>
      </c>
      <c r="Z16" s="22">
        <v>14065563.373637524</v>
      </c>
      <c r="AA16" s="22">
        <v>15954987.093427919</v>
      </c>
      <c r="AB16" s="22">
        <v>18098216.643676378</v>
      </c>
      <c r="AC16" s="22">
        <v>20529345.700089294</v>
      </c>
      <c r="AD16" s="22">
        <v>22109613.598999999</v>
      </c>
      <c r="AE16" s="23">
        <v>2.0262587995266979E-2</v>
      </c>
      <c r="AF16" s="23">
        <v>2.9107084939073068E-2</v>
      </c>
      <c r="AG16" s="23">
        <v>3.9157620306143726E-2</v>
      </c>
      <c r="AH16" s="23">
        <v>5.0258811566598685E-2</v>
      </c>
      <c r="AI16" s="23">
        <v>6.0819065123396063E-2</v>
      </c>
      <c r="AJ16" s="23">
        <v>7.0401049920233952E-2</v>
      </c>
      <c r="AK16" s="23">
        <v>7.904704931545796E-2</v>
      </c>
      <c r="AL16" s="23">
        <v>8.6797278947351966E-2</v>
      </c>
      <c r="AM16" s="23">
        <v>9.368998529239235E-2</v>
      </c>
      <c r="AN16" s="23">
        <v>9.976153950164994E-2</v>
      </c>
      <c r="AO16" s="23">
        <v>0.90200148188543927</v>
      </c>
      <c r="AP16" s="24">
        <v>237246975.40829998</v>
      </c>
      <c r="AQ16" s="25">
        <f t="shared" si="3"/>
        <v>851.44826429331567</v>
      </c>
      <c r="AR16" s="25">
        <f t="shared" si="3"/>
        <v>839.88175018719846</v>
      </c>
      <c r="AS16" s="25">
        <f t="shared" si="3"/>
        <v>827.12147154927857</v>
      </c>
      <c r="AT16" s="25">
        <f t="shared" si="3"/>
        <v>813.34496191627989</v>
      </c>
      <c r="AU16" s="25">
        <f t="shared" si="3"/>
        <v>799.81230058763356</v>
      </c>
      <c r="AV16" s="25">
        <f t="shared" si="3"/>
        <v>786.76435813221383</v>
      </c>
      <c r="AW16" s="25">
        <f t="shared" si="3"/>
        <v>774.05689417737324</v>
      </c>
      <c r="AX16" s="25">
        <f t="shared" si="3"/>
        <v>761.5523420771425</v>
      </c>
      <c r="AY16" s="25">
        <f t="shared" si="3"/>
        <v>749.11836243948869</v>
      </c>
      <c r="AZ16" s="25">
        <f t="shared" si="3"/>
        <v>740.20908147114642</v>
      </c>
      <c r="BA16" s="26">
        <f t="shared" si="29"/>
        <v>794.33097868310711</v>
      </c>
      <c r="BB16" s="26">
        <f t="shared" si="30"/>
        <v>740.20908147114642</v>
      </c>
      <c r="BC16" s="69"/>
      <c r="BD16" s="70"/>
      <c r="BE16" s="79">
        <f t="shared" si="31"/>
        <v>197040669.36542621</v>
      </c>
      <c r="BF16" s="79">
        <f t="shared" si="32"/>
        <v>107508.5040596584</v>
      </c>
      <c r="BG16" s="84"/>
      <c r="BH16" s="63">
        <f>MAX($BE16-VLOOKUP($A16,'RE Generation'!$A$4:$M$52,'Mass Equivalents - States, Opt1'!BH$7-2016,0)-VLOOKUP('Mass Equivalents - States, Opt1'!$A16,'EE Avoided Generation'!$A$4:$K$52,'Mass Equivalents - States, Opt1'!BH$7-2018,0)-VLOOKUP($A16,'Under Construction Nuclear'!$B$5:$D$53,3,0),0)+U16+$T16+VLOOKUP('Mass Equivalents - States, Opt1'!$A16,'EE Avoided Generation'!$A$4:$K$52,'Mass Equivalents - States, Opt1'!BH$7-2018,0)</f>
        <v>203187571.29057175</v>
      </c>
      <c r="BI16" s="64">
        <f>MAX($BE16-VLOOKUP($A16,'RE Generation'!$A$4:$M$52,'Mass Equivalents - States, Opt1'!BI$7-2016,0)-VLOOKUP('Mass Equivalents - States, Opt1'!$A16,'EE Avoided Generation'!$A$4:$K$52,'Mass Equivalents - States, Opt1'!BI$7-2018,0)-VLOOKUP($A16,'Under Construction Nuclear'!$B$5:$D$53,3,0),0)+V16+$T16+VLOOKUP('Mass Equivalents - States, Opt1'!$A16,'EE Avoided Generation'!$A$4:$K$52,'Mass Equivalents - States, Opt1'!BI$7-2018,0)</f>
        <v>203187571.29057175</v>
      </c>
      <c r="BJ16" s="64">
        <f>MAX($BE16-VLOOKUP($A16,'RE Generation'!$A$4:$M$52,'Mass Equivalents - States, Opt1'!BJ$7-2016,0)-VLOOKUP('Mass Equivalents - States, Opt1'!$A16,'EE Avoided Generation'!$A$4:$K$52,'Mass Equivalents - States, Opt1'!BJ$7-2018,0)-VLOOKUP($A16,'Under Construction Nuclear'!$B$5:$D$53,3,0),0)+W16+$T16+VLOOKUP('Mass Equivalents - States, Opt1'!$A16,'EE Avoided Generation'!$A$4:$K$52,'Mass Equivalents - States, Opt1'!BJ$7-2018,0)</f>
        <v>203187571.29057175</v>
      </c>
      <c r="BK16" s="64">
        <f>MAX($BE16-VLOOKUP($A16,'RE Generation'!$A$4:$M$52,'Mass Equivalents - States, Opt1'!BK$7-2016,0)-VLOOKUP('Mass Equivalents - States, Opt1'!$A16,'EE Avoided Generation'!$A$4:$K$52,'Mass Equivalents - States, Opt1'!BK$7-2018,0)-VLOOKUP($A16,'Under Construction Nuclear'!$B$5:$D$53,3,0),0)+X16+$T16+VLOOKUP('Mass Equivalents - States, Opt1'!$A16,'EE Avoided Generation'!$A$4:$K$52,'Mass Equivalents - States, Opt1'!BK$7-2018,0)</f>
        <v>203187571.29057175</v>
      </c>
      <c r="BL16" s="64">
        <f>MAX($BE16-VLOOKUP($A16,'RE Generation'!$A$4:$M$52,'Mass Equivalents - States, Opt1'!BL$7-2016,0)-VLOOKUP('Mass Equivalents - States, Opt1'!$A16,'EE Avoided Generation'!$A$4:$K$52,'Mass Equivalents - States, Opt1'!BL$7-2018,0)-VLOOKUP($A16,'Under Construction Nuclear'!$B$5:$D$53,3,0),0)+Y16+$T16+VLOOKUP('Mass Equivalents - States, Opt1'!$A16,'EE Avoided Generation'!$A$4:$K$52,'Mass Equivalents - States, Opt1'!BL$7-2018,0)</f>
        <v>203187571.29057175</v>
      </c>
      <c r="BM16" s="64">
        <f>MAX($BE16-VLOOKUP($A16,'RE Generation'!$A$4:$M$52,'Mass Equivalents - States, Opt1'!BM$7-2016,0)-VLOOKUP('Mass Equivalents - States, Opt1'!$A16,'EE Avoided Generation'!$A$4:$K$52,'Mass Equivalents - States, Opt1'!BM$7-2018,0)-VLOOKUP($A16,'Under Construction Nuclear'!$B$5:$D$53,3,0),0)+Z16+$T16+VLOOKUP('Mass Equivalents - States, Opt1'!$A16,'EE Avoided Generation'!$A$4:$K$52,'Mass Equivalents - States, Opt1'!BM$7-2018,0)</f>
        <v>203187571.29057175</v>
      </c>
      <c r="BN16" s="64">
        <f>MAX($BE16-VLOOKUP($A16,'RE Generation'!$A$4:$M$52,'Mass Equivalents - States, Opt1'!BN$7-2016,0)-VLOOKUP('Mass Equivalents - States, Opt1'!$A16,'EE Avoided Generation'!$A$4:$K$52,'Mass Equivalents - States, Opt1'!BN$7-2018,0)-VLOOKUP($A16,'Under Construction Nuclear'!$B$5:$D$53,3,0),0)+AA16+$T16+VLOOKUP('Mass Equivalents - States, Opt1'!$A16,'EE Avoided Generation'!$A$4:$K$52,'Mass Equivalents - States, Opt1'!BN$7-2018,0)</f>
        <v>203187571.29057175</v>
      </c>
      <c r="BO16" s="64">
        <f>MAX($BE16-VLOOKUP($A16,'RE Generation'!$A$4:$M$52,'Mass Equivalents - States, Opt1'!BO$7-2016,0)-VLOOKUP('Mass Equivalents - States, Opt1'!$A16,'EE Avoided Generation'!$A$4:$K$52,'Mass Equivalents - States, Opt1'!BO$7-2018,0)-VLOOKUP($A16,'Under Construction Nuclear'!$B$5:$D$53,3,0),0)+AB16+$T16+VLOOKUP('Mass Equivalents - States, Opt1'!$A16,'EE Avoided Generation'!$A$4:$K$52,'Mass Equivalents - States, Opt1'!BO$7-2018,0)</f>
        <v>203187571.29057172</v>
      </c>
      <c r="BP16" s="64">
        <f>MAX($BE16-VLOOKUP($A16,'RE Generation'!$A$4:$M$52,'Mass Equivalents - States, Opt1'!BP$7-2016,0)-VLOOKUP('Mass Equivalents - States, Opt1'!$A16,'EE Avoided Generation'!$A$4:$K$52,'Mass Equivalents - States, Opt1'!BP$7-2018,0)-VLOOKUP($A16,'Under Construction Nuclear'!$B$5:$D$53,3,0),0)+AC16+$T16+VLOOKUP('Mass Equivalents - States, Opt1'!$A16,'EE Avoided Generation'!$A$4:$K$52,'Mass Equivalents - States, Opt1'!BP$7-2018,0)</f>
        <v>203187571.29057175</v>
      </c>
      <c r="BQ16" s="65">
        <f>MAX($BE16-VLOOKUP($A16,'RE Generation'!$A$4:$M$52,'Mass Equivalents - States, Opt1'!BQ$7-2016,0)-VLOOKUP('Mass Equivalents - States, Opt1'!$A16,'EE Avoided Generation'!$A$4:$K$52,'Mass Equivalents - States, Opt1'!BQ$7-2018,0)-VLOOKUP($A16,'Under Construction Nuclear'!$B$5:$D$53,3,0),0)+AD16+$T16+VLOOKUP('Mass Equivalents - States, Opt1'!$A16,'EE Avoided Generation'!$A$4:$K$52,'Mass Equivalents - States, Opt1'!BQ$7-2018,0)</f>
        <v>203187571.29057175</v>
      </c>
      <c r="BR16" s="29"/>
      <c r="BS16" s="71">
        <f t="shared" si="4"/>
        <v>78473.253849339875</v>
      </c>
      <c r="BT16" s="72">
        <f t="shared" si="5"/>
        <v>77407.232535226736</v>
      </c>
      <c r="BU16" s="72">
        <f t="shared" si="6"/>
        <v>76231.18857961084</v>
      </c>
      <c r="BV16" s="72">
        <f t="shared" si="7"/>
        <v>74961.484261773687</v>
      </c>
      <c r="BW16" s="72">
        <f t="shared" si="8"/>
        <v>73714.254086747824</v>
      </c>
      <c r="BX16" s="72">
        <f t="shared" si="9"/>
        <v>72511.697756016976</v>
      </c>
      <c r="BY16" s="72">
        <f t="shared" si="10"/>
        <v>71340.521436176568</v>
      </c>
      <c r="BZ16" s="72">
        <f t="shared" si="11"/>
        <v>70188.046374114929</v>
      </c>
      <c r="CA16" s="72">
        <f t="shared" si="12"/>
        <v>69042.07558366067</v>
      </c>
      <c r="CB16" s="72">
        <f t="shared" si="13"/>
        <v>68220.956677952301</v>
      </c>
      <c r="CC16" s="75">
        <f t="shared" si="33"/>
        <v>73209.071114062041</v>
      </c>
      <c r="CD16" s="76">
        <f t="shared" si="34"/>
        <v>68220.956677952301</v>
      </c>
      <c r="CG16" s="63">
        <f>BH16+VLOOKUP($A16,'Incremental Demand for New Gen'!$AG$5:$AQ$53,'Mass Equivalents - States, Opt1'!BH$7-2018,0)</f>
        <v>220111846.99345887</v>
      </c>
      <c r="CH16" s="64">
        <f>BI16+VLOOKUP($A16,'Incremental Demand for New Gen'!$AG$5:$AQ$53,'Mass Equivalents - States, Opt1'!BI$7-2018,0)</f>
        <v>223069851.97885633</v>
      </c>
      <c r="CI16" s="64">
        <f>BJ16+VLOOKUP($A16,'Incremental Demand for New Gen'!$AG$5:$AQ$53,'Mass Equivalents - States, Opt1'!BJ$7-2018,0)</f>
        <v>226061461.30923358</v>
      </c>
      <c r="CJ16" s="64">
        <f>BK16+VLOOKUP($A16,'Incremental Demand for New Gen'!$AG$5:$AQ$53,'Mass Equivalents - States, Opt1'!BK$7-2018,0)</f>
        <v>229087056.74594903</v>
      </c>
      <c r="CK16" s="64">
        <f>BL16+VLOOKUP($A16,'Incremental Demand for New Gen'!$AG$5:$AQ$53,'Mass Equivalents - States, Opt1'!BL$7-2018,0)</f>
        <v>232147024.38735196</v>
      </c>
      <c r="CL16" s="64">
        <f>BM16+VLOOKUP($A16,'Incremental Demand for New Gen'!$AG$5:$AQ$53,'Mass Equivalents - States, Opt1'!BM$7-2018,0)</f>
        <v>235241754.7180526</v>
      </c>
      <c r="CM16" s="64">
        <f>BN16+VLOOKUP($A16,'Incremental Demand for New Gen'!$AG$5:$AQ$53,'Mass Equivalents - States, Opt1'!BN$7-2018,0)</f>
        <v>238371642.65875241</v>
      </c>
      <c r="CN16" s="64">
        <f>BO16+VLOOKUP($A16,'Incremental Demand for New Gen'!$AG$5:$AQ$53,'Mass Equivalents - States, Opt1'!BO$7-2018,0)</f>
        <v>241537087.61663991</v>
      </c>
      <c r="CO16" s="64">
        <f>BP16+VLOOKUP($A16,'Incremental Demand for New Gen'!$AG$5:$AQ$53,'Mass Equivalents - States, Opt1'!BP$7-2018,0)</f>
        <v>244738493.53635967</v>
      </c>
      <c r="CP16" s="65">
        <f>BQ16+VLOOKUP($A16,'Incremental Demand for New Gen'!$AG$5:$AQ$53,'Mass Equivalents - States, Opt1'!BQ$7-2018,0)</f>
        <v>247976268.95155945</v>
      </c>
      <c r="CQ16" s="29"/>
      <c r="CR16" s="71">
        <f t="shared" si="14"/>
        <v>85009.593523136165</v>
      </c>
      <c r="CS16" s="72">
        <f t="shared" si="15"/>
        <v>84981.673800474076</v>
      </c>
      <c r="CT16" s="72">
        <f t="shared" si="16"/>
        <v>84812.933085372366</v>
      </c>
      <c r="CU16" s="72">
        <f t="shared" si="17"/>
        <v>84516.516880254465</v>
      </c>
      <c r="CV16" s="72">
        <f t="shared" si="18"/>
        <v>84220.430572988291</v>
      </c>
      <c r="CW16" s="72">
        <f t="shared" si="19"/>
        <v>83950.897731420555</v>
      </c>
      <c r="CX16" s="72">
        <f t="shared" si="20"/>
        <v>83693.885284716889</v>
      </c>
      <c r="CY16" s="72">
        <f t="shared" si="21"/>
        <v>83435.301672371701</v>
      </c>
      <c r="CZ16" s="72">
        <f t="shared" si="22"/>
        <v>83160.861964359006</v>
      </c>
      <c r="DA16" s="72">
        <f t="shared" si="23"/>
        <v>83258.922747355915</v>
      </c>
      <c r="DB16" s="75">
        <f t="shared" si="35"/>
        <v>84104.101726244931</v>
      </c>
      <c r="DC16" s="76">
        <f t="shared" si="36"/>
        <v>83258.922747355915</v>
      </c>
    </row>
    <row r="17" spans="1:107" x14ac:dyDescent="0.25">
      <c r="A17" s="16" t="s">
        <v>51</v>
      </c>
      <c r="B17" s="17">
        <v>2294.5501021999999</v>
      </c>
      <c r="C17" s="17">
        <v>841.16901270000005</v>
      </c>
      <c r="D17" s="17">
        <v>0</v>
      </c>
      <c r="E17" s="17">
        <v>68345446.737178013</v>
      </c>
      <c r="F17" s="17">
        <v>40972090</v>
      </c>
      <c r="G17" s="17">
        <v>37591123.001900002</v>
      </c>
      <c r="H17" s="17">
        <v>0</v>
      </c>
      <c r="I17" s="17">
        <v>83815.36127129996</v>
      </c>
      <c r="J17" s="17">
        <v>8354.9</v>
      </c>
      <c r="K17" s="17">
        <v>0</v>
      </c>
      <c r="L17" s="18">
        <f t="shared" si="24"/>
        <v>2156.8770960679999</v>
      </c>
      <c r="M17" s="19">
        <f t="shared" si="0"/>
        <v>27190603.881900012</v>
      </c>
      <c r="N17" s="19">
        <f t="shared" si="1"/>
        <v>0</v>
      </c>
      <c r="O17" s="19">
        <f t="shared" si="2"/>
        <v>51372609.11999999</v>
      </c>
      <c r="P17" s="19">
        <f t="shared" si="25"/>
        <v>68345446.737178013</v>
      </c>
      <c r="Q17" s="19">
        <f t="shared" si="26"/>
        <v>83815.36127129996</v>
      </c>
      <c r="R17" s="20">
        <f t="shared" si="27"/>
        <v>0.51221432105704978</v>
      </c>
      <c r="S17" s="20">
        <f t="shared" si="28"/>
        <v>0.7</v>
      </c>
      <c r="T17" s="21">
        <v>19220561.263695512</v>
      </c>
      <c r="U17" s="22">
        <v>5427968.0941611556</v>
      </c>
      <c r="V17" s="22">
        <v>6157105.7330128942</v>
      </c>
      <c r="W17" s="22">
        <v>6984188.254216129</v>
      </c>
      <c r="X17" s="22">
        <v>7922372.5700843642</v>
      </c>
      <c r="Y17" s="22">
        <v>8986582.9577741623</v>
      </c>
      <c r="Z17" s="22">
        <v>10193748.468976259</v>
      </c>
      <c r="AA17" s="22">
        <v>11563072.230792977</v>
      </c>
      <c r="AB17" s="22">
        <v>12230636.385</v>
      </c>
      <c r="AC17" s="22">
        <v>12230636.385</v>
      </c>
      <c r="AD17" s="22">
        <v>12230636.385</v>
      </c>
      <c r="AE17" s="23">
        <v>1.7614935366131651E-2</v>
      </c>
      <c r="AF17" s="23">
        <v>2.5964685402505468E-2</v>
      </c>
      <c r="AG17" s="23">
        <v>3.5592358095439938E-2</v>
      </c>
      <c r="AH17" s="23">
        <v>4.6343175171739269E-2</v>
      </c>
      <c r="AI17" s="23">
        <v>5.7340124702598923E-2</v>
      </c>
      <c r="AJ17" s="23">
        <v>6.7351792572890243E-2</v>
      </c>
      <c r="AK17" s="23">
        <v>7.6418531615615654E-2</v>
      </c>
      <c r="AL17" s="23">
        <v>8.4578764026585318E-2</v>
      </c>
      <c r="AM17" s="23">
        <v>9.1869070206791983E-2</v>
      </c>
      <c r="AN17" s="23">
        <v>9.8324273478208546E-2</v>
      </c>
      <c r="AO17" s="23">
        <v>0.87749338804973098</v>
      </c>
      <c r="AP17" s="24">
        <v>140815385.2872</v>
      </c>
      <c r="AQ17" s="25">
        <f t="shared" si="3"/>
        <v>966.39912152971397</v>
      </c>
      <c r="AR17" s="25">
        <f t="shared" si="3"/>
        <v>950.52990280793802</v>
      </c>
      <c r="AS17" s="25">
        <f t="shared" si="3"/>
        <v>932.98336707036799</v>
      </c>
      <c r="AT17" s="25">
        <f t="shared" si="3"/>
        <v>914.02018851112382</v>
      </c>
      <c r="AU17" s="25">
        <f t="shared" si="3"/>
        <v>894.58256411738489</v>
      </c>
      <c r="AV17" s="25">
        <f t="shared" si="3"/>
        <v>875.79481878692638</v>
      </c>
      <c r="AW17" s="25">
        <f t="shared" si="3"/>
        <v>857.45239761043911</v>
      </c>
      <c r="AX17" s="25">
        <f t="shared" si="3"/>
        <v>845.53205687043828</v>
      </c>
      <c r="AY17" s="25">
        <f t="shared" si="3"/>
        <v>839.26054382603593</v>
      </c>
      <c r="AZ17" s="25">
        <f t="shared" si="3"/>
        <v>833.78458382214069</v>
      </c>
      <c r="BA17" s="26">
        <f t="shared" si="29"/>
        <v>891.0339544952509</v>
      </c>
      <c r="BB17" s="26">
        <f t="shared" si="30"/>
        <v>833.78458382214069</v>
      </c>
      <c r="BC17" s="69"/>
      <c r="BD17" s="70"/>
      <c r="BE17" s="79">
        <f t="shared" si="31"/>
        <v>78647028.363171309</v>
      </c>
      <c r="BF17" s="79">
        <f t="shared" si="32"/>
        <v>57017.239508567131</v>
      </c>
      <c r="BG17" s="84"/>
      <c r="BH17" s="63">
        <f>MAX($BE17-VLOOKUP($A17,'RE Generation'!$A$4:$M$52,'Mass Equivalents - States, Opt1'!BH$7-2016,0)-VLOOKUP('Mass Equivalents - States, Opt1'!$A17,'EE Avoided Generation'!$A$4:$K$52,'Mass Equivalents - States, Opt1'!BH$7-2018,0)-VLOOKUP($A17,'Under Construction Nuclear'!$B$5:$D$53,3,0),0)+U17+$T17+VLOOKUP('Mass Equivalents - States, Opt1'!$A17,'EE Avoided Generation'!$A$4:$K$52,'Mass Equivalents - States, Opt1'!BH$7-2018,0)</f>
        <v>83753805.836866811</v>
      </c>
      <c r="BI17" s="64">
        <f>MAX($BE17-VLOOKUP($A17,'RE Generation'!$A$4:$M$52,'Mass Equivalents - States, Opt1'!BI$7-2016,0)-VLOOKUP('Mass Equivalents - States, Opt1'!$A17,'EE Avoided Generation'!$A$4:$K$52,'Mass Equivalents - States, Opt1'!BI$7-2018,0)-VLOOKUP($A17,'Under Construction Nuclear'!$B$5:$D$53,3,0),0)+V17+$T17+VLOOKUP('Mass Equivalents - States, Opt1'!$A17,'EE Avoided Generation'!$A$4:$K$52,'Mass Equivalents - States, Opt1'!BI$7-2018,0)</f>
        <v>83753805.836866826</v>
      </c>
      <c r="BJ17" s="64">
        <f>MAX($BE17-VLOOKUP($A17,'RE Generation'!$A$4:$M$52,'Mass Equivalents - States, Opt1'!BJ$7-2016,0)-VLOOKUP('Mass Equivalents - States, Opt1'!$A17,'EE Avoided Generation'!$A$4:$K$52,'Mass Equivalents - States, Opt1'!BJ$7-2018,0)-VLOOKUP($A17,'Under Construction Nuclear'!$B$5:$D$53,3,0),0)+W17+$T17+VLOOKUP('Mass Equivalents - States, Opt1'!$A17,'EE Avoided Generation'!$A$4:$K$52,'Mass Equivalents - States, Opt1'!BJ$7-2018,0)</f>
        <v>83753805.836866826</v>
      </c>
      <c r="BK17" s="64">
        <f>MAX($BE17-VLOOKUP($A17,'RE Generation'!$A$4:$M$52,'Mass Equivalents - States, Opt1'!BK$7-2016,0)-VLOOKUP('Mass Equivalents - States, Opt1'!$A17,'EE Avoided Generation'!$A$4:$K$52,'Mass Equivalents - States, Opt1'!BK$7-2018,0)-VLOOKUP($A17,'Under Construction Nuclear'!$B$5:$D$53,3,0),0)+X17+$T17+VLOOKUP('Mass Equivalents - States, Opt1'!$A17,'EE Avoided Generation'!$A$4:$K$52,'Mass Equivalents - States, Opt1'!BK$7-2018,0)</f>
        <v>83753805.836866811</v>
      </c>
      <c r="BL17" s="64">
        <f>MAX($BE17-VLOOKUP($A17,'RE Generation'!$A$4:$M$52,'Mass Equivalents - States, Opt1'!BL$7-2016,0)-VLOOKUP('Mass Equivalents - States, Opt1'!$A17,'EE Avoided Generation'!$A$4:$K$52,'Mass Equivalents - States, Opt1'!BL$7-2018,0)-VLOOKUP($A17,'Under Construction Nuclear'!$B$5:$D$53,3,0),0)+Y17+$T17+VLOOKUP('Mass Equivalents - States, Opt1'!$A17,'EE Avoided Generation'!$A$4:$K$52,'Mass Equivalents - States, Opt1'!BL$7-2018,0)</f>
        <v>83753805.836866811</v>
      </c>
      <c r="BM17" s="64">
        <f>MAX($BE17-VLOOKUP($A17,'RE Generation'!$A$4:$M$52,'Mass Equivalents - States, Opt1'!BM$7-2016,0)-VLOOKUP('Mass Equivalents - States, Opt1'!$A17,'EE Avoided Generation'!$A$4:$K$52,'Mass Equivalents - States, Opt1'!BM$7-2018,0)-VLOOKUP($A17,'Under Construction Nuclear'!$B$5:$D$53,3,0),0)+Z17+$T17+VLOOKUP('Mass Equivalents - States, Opt1'!$A17,'EE Avoided Generation'!$A$4:$K$52,'Mass Equivalents - States, Opt1'!BM$7-2018,0)</f>
        <v>83753805.836866811</v>
      </c>
      <c r="BN17" s="64">
        <f>MAX($BE17-VLOOKUP($A17,'RE Generation'!$A$4:$M$52,'Mass Equivalents - States, Opt1'!BN$7-2016,0)-VLOOKUP('Mass Equivalents - States, Opt1'!$A17,'EE Avoided Generation'!$A$4:$K$52,'Mass Equivalents - States, Opt1'!BN$7-2018,0)-VLOOKUP($A17,'Under Construction Nuclear'!$B$5:$D$53,3,0),0)+AA17+$T17+VLOOKUP('Mass Equivalents - States, Opt1'!$A17,'EE Avoided Generation'!$A$4:$K$52,'Mass Equivalents - States, Opt1'!BN$7-2018,0)</f>
        <v>83753805.836866826</v>
      </c>
      <c r="BO17" s="64">
        <f>MAX($BE17-VLOOKUP($A17,'RE Generation'!$A$4:$M$52,'Mass Equivalents - States, Opt1'!BO$7-2016,0)-VLOOKUP('Mass Equivalents - States, Opt1'!$A17,'EE Avoided Generation'!$A$4:$K$52,'Mass Equivalents - States, Opt1'!BO$7-2018,0)-VLOOKUP($A17,'Under Construction Nuclear'!$B$5:$D$53,3,0),0)+AB17+$T17+VLOOKUP('Mass Equivalents - States, Opt1'!$A17,'EE Avoided Generation'!$A$4:$K$52,'Mass Equivalents - States, Opt1'!BO$7-2018,0)</f>
        <v>83753805.836866826</v>
      </c>
      <c r="BP17" s="64">
        <f>MAX($BE17-VLOOKUP($A17,'RE Generation'!$A$4:$M$52,'Mass Equivalents - States, Opt1'!BP$7-2016,0)-VLOOKUP('Mass Equivalents - States, Opt1'!$A17,'EE Avoided Generation'!$A$4:$K$52,'Mass Equivalents - States, Opt1'!BP$7-2018,0)-VLOOKUP($A17,'Under Construction Nuclear'!$B$5:$D$53,3,0),0)+AC17+$T17+VLOOKUP('Mass Equivalents - States, Opt1'!$A17,'EE Avoided Generation'!$A$4:$K$52,'Mass Equivalents - States, Opt1'!BP$7-2018,0)</f>
        <v>83753805.836866826</v>
      </c>
      <c r="BQ17" s="65">
        <f>MAX($BE17-VLOOKUP($A17,'RE Generation'!$A$4:$M$52,'Mass Equivalents - States, Opt1'!BQ$7-2016,0)-VLOOKUP('Mass Equivalents - States, Opt1'!$A17,'EE Avoided Generation'!$A$4:$K$52,'Mass Equivalents - States, Opt1'!BQ$7-2018,0)-VLOOKUP($A17,'Under Construction Nuclear'!$B$5:$D$53,3,0),0)+AD17+$T17+VLOOKUP('Mass Equivalents - States, Opt1'!$A17,'EE Avoided Generation'!$A$4:$K$52,'Mass Equivalents - States, Opt1'!BQ$7-2018,0)</f>
        <v>83753805.836866826</v>
      </c>
      <c r="BR17" s="29"/>
      <c r="BS17" s="71">
        <f t="shared" si="4"/>
        <v>36713.630641796917</v>
      </c>
      <c r="BT17" s="72">
        <f t="shared" si="5"/>
        <v>36110.756920427077</v>
      </c>
      <c r="BU17" s="72">
        <f t="shared" si="6"/>
        <v>35444.161703439982</v>
      </c>
      <c r="BV17" s="72">
        <f t="shared" si="7"/>
        <v>34723.748038000682</v>
      </c>
      <c r="BW17" s="72">
        <f t="shared" si="8"/>
        <v>33985.310112461069</v>
      </c>
      <c r="BX17" s="72">
        <f t="shared" si="9"/>
        <v>33271.561178622251</v>
      </c>
      <c r="BY17" s="72">
        <f t="shared" si="10"/>
        <v>32574.730168383056</v>
      </c>
      <c r="BZ17" s="72">
        <f t="shared" si="11"/>
        <v>32121.874844632333</v>
      </c>
      <c r="CA17" s="72">
        <f t="shared" si="12"/>
        <v>31883.61923331417</v>
      </c>
      <c r="CB17" s="72">
        <f t="shared" si="13"/>
        <v>31675.586787388482</v>
      </c>
      <c r="CC17" s="75">
        <f t="shared" si="33"/>
        <v>33850.497962846603</v>
      </c>
      <c r="CD17" s="76">
        <f t="shared" si="34"/>
        <v>31675.586787388482</v>
      </c>
      <c r="CG17" s="63">
        <f>BH17+VLOOKUP($A17,'Incremental Demand for New Gen'!$AG$5:$AQ$53,'Mass Equivalents - States, Opt1'!BH$7-2018,0)</f>
        <v>96445746.626839712</v>
      </c>
      <c r="CH17" s="64">
        <f>BI17+VLOOKUP($A17,'Incremental Demand for New Gen'!$AG$5:$AQ$53,'Mass Equivalents - States, Opt1'!BI$7-2018,0)</f>
        <v>98110502.914027348</v>
      </c>
      <c r="CI17" s="64">
        <f>BJ17+VLOOKUP($A17,'Incremental Demand for New Gen'!$AG$5:$AQ$53,'Mass Equivalents - States, Opt1'!BJ$7-2018,0)</f>
        <v>99793282.696494401</v>
      </c>
      <c r="CJ17" s="64">
        <f>BK17+VLOOKUP($A17,'Incremental Demand for New Gen'!$AG$5:$AQ$53,'Mass Equivalents - States, Opt1'!BK$7-2018,0)</f>
        <v>101494281.10573527</v>
      </c>
      <c r="CK17" s="64">
        <f>BL17+VLOOKUP($A17,'Incremental Demand for New Gen'!$AG$5:$AQ$53,'Mass Equivalents - States, Opt1'!BL$7-2018,0)</f>
        <v>103213695.38583681</v>
      </c>
      <c r="CL17" s="64">
        <f>BM17+VLOOKUP($A17,'Incremental Demand for New Gen'!$AG$5:$AQ$53,'Mass Equivalents - States, Opt1'!BM$7-2018,0)</f>
        <v>104951724.91635028</v>
      </c>
      <c r="CM17" s="64">
        <f>BN17+VLOOKUP($A17,'Incremental Demand for New Gen'!$AG$5:$AQ$53,'Mass Equivalents - States, Opt1'!BN$7-2018,0)</f>
        <v>106708571.23541102</v>
      </c>
      <c r="CN17" s="64">
        <f>BO17+VLOOKUP($A17,'Incremental Demand for New Gen'!$AG$5:$AQ$53,'Mass Equivalents - States, Opt1'!BO$7-2018,0)</f>
        <v>108484438.06310837</v>
      </c>
      <c r="CO17" s="64">
        <f>BP17+VLOOKUP($A17,'Incremental Demand for New Gen'!$AG$5:$AQ$53,'Mass Equivalents - States, Opt1'!BP$7-2018,0)</f>
        <v>110279531.32510862</v>
      </c>
      <c r="CP17" s="65">
        <f>BQ17+VLOOKUP($A17,'Incremental Demand for New Gen'!$AG$5:$AQ$53,'Mass Equivalents - States, Opt1'!BQ$7-2018,0)</f>
        <v>112094059.17653364</v>
      </c>
      <c r="CQ17" s="29"/>
      <c r="CR17" s="71">
        <f t="shared" si="14"/>
        <v>42277.165595637925</v>
      </c>
      <c r="CS17" s="72">
        <f t="shared" si="15"/>
        <v>42300.69889564113</v>
      </c>
      <c r="CT17" s="72">
        <f t="shared" si="16"/>
        <v>42231.982337627545</v>
      </c>
      <c r="CU17" s="72">
        <f t="shared" si="17"/>
        <v>42078.826259883856</v>
      </c>
      <c r="CV17" s="72">
        <f t="shared" si="18"/>
        <v>41881.672247504146</v>
      </c>
      <c r="CW17" s="72">
        <f t="shared" si="19"/>
        <v>41692.526106308731</v>
      </c>
      <c r="CX17" s="72">
        <f t="shared" si="20"/>
        <v>41502.626416973224</v>
      </c>
      <c r="CY17" s="72">
        <f t="shared" si="21"/>
        <v>41606.748579770523</v>
      </c>
      <c r="CZ17" s="72">
        <f t="shared" si="22"/>
        <v>41981.502223871248</v>
      </c>
      <c r="DA17" s="72">
        <f t="shared" si="23"/>
        <v>42393.835889831586</v>
      </c>
      <c r="DB17" s="75">
        <f t="shared" si="35"/>
        <v>41994.758455304996</v>
      </c>
      <c r="DC17" s="76">
        <f t="shared" si="36"/>
        <v>42393.835889831586</v>
      </c>
    </row>
    <row r="18" spans="1:107" x14ac:dyDescent="0.25">
      <c r="A18" s="16" t="s">
        <v>52</v>
      </c>
      <c r="B18" s="17">
        <v>2077.0173885999998</v>
      </c>
      <c r="C18" s="17">
        <v>0</v>
      </c>
      <c r="D18" s="17">
        <v>1694.9226693999999</v>
      </c>
      <c r="E18" s="17">
        <v>366833182.50428218</v>
      </c>
      <c r="F18" s="17">
        <v>1502308</v>
      </c>
      <c r="G18" s="17">
        <v>0</v>
      </c>
      <c r="H18" s="17">
        <v>4093831</v>
      </c>
      <c r="I18" s="17">
        <v>250089.58781180004</v>
      </c>
      <c r="J18" s="17">
        <v>0</v>
      </c>
      <c r="K18" s="17">
        <v>0</v>
      </c>
      <c r="L18" s="18">
        <f t="shared" si="24"/>
        <v>1952.3963452839996</v>
      </c>
      <c r="M18" s="19">
        <f t="shared" si="0"/>
        <v>1502308</v>
      </c>
      <c r="N18" s="19">
        <f t="shared" si="1"/>
        <v>4093831</v>
      </c>
      <c r="O18" s="19">
        <f t="shared" si="2"/>
        <v>0</v>
      </c>
      <c r="P18" s="19">
        <f t="shared" si="25"/>
        <v>366833182.50428218</v>
      </c>
      <c r="Q18" s="19">
        <f t="shared" si="26"/>
        <v>250089.58781180004</v>
      </c>
      <c r="R18" s="20"/>
      <c r="S18" s="20"/>
      <c r="T18" s="21"/>
      <c r="U18" s="22">
        <v>1046926.8679999999</v>
      </c>
      <c r="V18" s="22">
        <v>1046926.8679999999</v>
      </c>
      <c r="W18" s="22">
        <v>1046926.8679999999</v>
      </c>
      <c r="X18" s="22">
        <v>1046926.8679999999</v>
      </c>
      <c r="Y18" s="22">
        <v>1046926.8679999999</v>
      </c>
      <c r="Z18" s="22">
        <v>1046926.8679999999</v>
      </c>
      <c r="AA18" s="22">
        <v>1046926.8679999999</v>
      </c>
      <c r="AB18" s="22">
        <v>1046926.8679999999</v>
      </c>
      <c r="AC18" s="22">
        <v>1046926.8679999999</v>
      </c>
      <c r="AD18" s="22">
        <v>1046926.8679999999</v>
      </c>
      <c r="AE18" s="23">
        <v>1.2935951595377262E-2</v>
      </c>
      <c r="AF18" s="23">
        <v>2.0390597459158413E-2</v>
      </c>
      <c r="AG18" s="23">
        <v>2.9243784150046345E-2</v>
      </c>
      <c r="AH18" s="23">
        <v>3.9342908474585984E-2</v>
      </c>
      <c r="AI18" s="23">
        <v>5.0533577190452539E-2</v>
      </c>
      <c r="AJ18" s="23">
        <v>6.1312614687611545E-2</v>
      </c>
      <c r="AK18" s="23">
        <v>7.1133000748976744E-2</v>
      </c>
      <c r="AL18" s="23">
        <v>8.0030262278284595E-2</v>
      </c>
      <c r="AM18" s="23">
        <v>8.8038272014961574E-2</v>
      </c>
      <c r="AN18" s="23">
        <v>9.5189320054825319E-2</v>
      </c>
      <c r="AO18" s="23">
        <v>0.96236732407479131</v>
      </c>
      <c r="AP18" s="24">
        <v>10363057.6907</v>
      </c>
      <c r="AQ18" s="25">
        <f t="shared" si="3"/>
        <v>1458.0486917008009</v>
      </c>
      <c r="AR18" s="25">
        <f t="shared" si="3"/>
        <v>1442.773633599732</v>
      </c>
      <c r="AS18" s="25">
        <f t="shared" si="3"/>
        <v>1425.0435176504507</v>
      </c>
      <c r="AT18" s="25">
        <f t="shared" si="3"/>
        <v>1405.3429028456842</v>
      </c>
      <c r="AU18" s="25">
        <f t="shared" si="3"/>
        <v>1384.139583130479</v>
      </c>
      <c r="AV18" s="25">
        <f t="shared" si="3"/>
        <v>1364.3124760900853</v>
      </c>
      <c r="AW18" s="25">
        <f t="shared" si="3"/>
        <v>1346.7368507968874</v>
      </c>
      <c r="AX18" s="25">
        <f t="shared" si="3"/>
        <v>1331.199821648358</v>
      </c>
      <c r="AY18" s="25">
        <f t="shared" si="3"/>
        <v>1317.5190567969541</v>
      </c>
      <c r="AZ18" s="25">
        <f t="shared" si="3"/>
        <v>1305.5378190093093</v>
      </c>
      <c r="BA18" s="26">
        <f t="shared" si="29"/>
        <v>1378.0654353268742</v>
      </c>
      <c r="BB18" s="26">
        <f t="shared" si="30"/>
        <v>1305.5378190093093</v>
      </c>
      <c r="BC18" s="69"/>
      <c r="BD18" s="70"/>
      <c r="BE18" s="79">
        <f t="shared" si="31"/>
        <v>5846228.5878117997</v>
      </c>
      <c r="BF18" s="79">
        <f t="shared" si="32"/>
        <v>4729.1052372425365</v>
      </c>
      <c r="BG18" s="84"/>
      <c r="BH18" s="63">
        <f>MAX($BE18-VLOOKUP($A18,'RE Generation'!$A$4:$M$52,'Mass Equivalents - States, Opt1'!BH$7-2016,0)-VLOOKUP('Mass Equivalents - States, Opt1'!$A18,'EE Avoided Generation'!$A$4:$K$52,'Mass Equivalents - States, Opt1'!BH$7-2018,0)-VLOOKUP($A18,'Under Construction Nuclear'!$B$5:$D$53,3,0),0)+U18+$T18+VLOOKUP('Mass Equivalents - States, Opt1'!$A18,'EE Avoided Generation'!$A$4:$K$52,'Mass Equivalents - States, Opt1'!BH$7-2018,0)</f>
        <v>6771043.6878117993</v>
      </c>
      <c r="BI18" s="64">
        <f>MAX($BE18-VLOOKUP($A18,'RE Generation'!$A$4:$M$52,'Mass Equivalents - States, Opt1'!BI$7-2016,0)-VLOOKUP('Mass Equivalents - States, Opt1'!$A18,'EE Avoided Generation'!$A$4:$K$52,'Mass Equivalents - States, Opt1'!BI$7-2018,0)-VLOOKUP($A18,'Under Construction Nuclear'!$B$5:$D$53,3,0),0)+V18+$T18+VLOOKUP('Mass Equivalents - States, Opt1'!$A18,'EE Avoided Generation'!$A$4:$K$52,'Mass Equivalents - States, Opt1'!BI$7-2018,0)</f>
        <v>6771043.6878117993</v>
      </c>
      <c r="BJ18" s="64">
        <f>MAX($BE18-VLOOKUP($A18,'RE Generation'!$A$4:$M$52,'Mass Equivalents - States, Opt1'!BJ$7-2016,0)-VLOOKUP('Mass Equivalents - States, Opt1'!$A18,'EE Avoided Generation'!$A$4:$K$52,'Mass Equivalents - States, Opt1'!BJ$7-2018,0)-VLOOKUP($A18,'Under Construction Nuclear'!$B$5:$D$53,3,0),0)+W18+$T18+VLOOKUP('Mass Equivalents - States, Opt1'!$A18,'EE Avoided Generation'!$A$4:$K$52,'Mass Equivalents - States, Opt1'!BJ$7-2018,0)</f>
        <v>6771043.6878117993</v>
      </c>
      <c r="BK18" s="64">
        <f>MAX($BE18-VLOOKUP($A18,'RE Generation'!$A$4:$M$52,'Mass Equivalents - States, Opt1'!BK$7-2016,0)-VLOOKUP('Mass Equivalents - States, Opt1'!$A18,'EE Avoided Generation'!$A$4:$K$52,'Mass Equivalents - States, Opt1'!BK$7-2018,0)-VLOOKUP($A18,'Under Construction Nuclear'!$B$5:$D$53,3,0),0)+X18+$T18+VLOOKUP('Mass Equivalents - States, Opt1'!$A18,'EE Avoided Generation'!$A$4:$K$52,'Mass Equivalents - States, Opt1'!BK$7-2018,0)</f>
        <v>6771043.6878117993</v>
      </c>
      <c r="BL18" s="64">
        <f>MAX($BE18-VLOOKUP($A18,'RE Generation'!$A$4:$M$52,'Mass Equivalents - States, Opt1'!BL$7-2016,0)-VLOOKUP('Mass Equivalents - States, Opt1'!$A18,'EE Avoided Generation'!$A$4:$K$52,'Mass Equivalents - States, Opt1'!BL$7-2018,0)-VLOOKUP($A18,'Under Construction Nuclear'!$B$5:$D$53,3,0),0)+Y18+$T18+VLOOKUP('Mass Equivalents - States, Opt1'!$A18,'EE Avoided Generation'!$A$4:$K$52,'Mass Equivalents - States, Opt1'!BL$7-2018,0)</f>
        <v>6771043.6878117993</v>
      </c>
      <c r="BM18" s="64">
        <f>MAX($BE18-VLOOKUP($A18,'RE Generation'!$A$4:$M$52,'Mass Equivalents - States, Opt1'!BM$7-2016,0)-VLOOKUP('Mass Equivalents - States, Opt1'!$A18,'EE Avoided Generation'!$A$4:$K$52,'Mass Equivalents - States, Opt1'!BM$7-2018,0)-VLOOKUP($A18,'Under Construction Nuclear'!$B$5:$D$53,3,0),0)+Z18+$T18+VLOOKUP('Mass Equivalents - States, Opt1'!$A18,'EE Avoided Generation'!$A$4:$K$52,'Mass Equivalents - States, Opt1'!BM$7-2018,0)</f>
        <v>6771043.6878117993</v>
      </c>
      <c r="BN18" s="64">
        <f>MAX($BE18-VLOOKUP($A18,'RE Generation'!$A$4:$M$52,'Mass Equivalents - States, Opt1'!BN$7-2016,0)-VLOOKUP('Mass Equivalents - States, Opt1'!$A18,'EE Avoided Generation'!$A$4:$K$52,'Mass Equivalents - States, Opt1'!BN$7-2018,0)-VLOOKUP($A18,'Under Construction Nuclear'!$B$5:$D$53,3,0),0)+AA18+$T18+VLOOKUP('Mass Equivalents - States, Opt1'!$A18,'EE Avoided Generation'!$A$4:$K$52,'Mass Equivalents - States, Opt1'!BN$7-2018,0)</f>
        <v>6771043.6878117993</v>
      </c>
      <c r="BO18" s="64">
        <f>MAX($BE18-VLOOKUP($A18,'RE Generation'!$A$4:$M$52,'Mass Equivalents - States, Opt1'!BO$7-2016,0)-VLOOKUP('Mass Equivalents - States, Opt1'!$A18,'EE Avoided Generation'!$A$4:$K$52,'Mass Equivalents - States, Opt1'!BO$7-2018,0)-VLOOKUP($A18,'Under Construction Nuclear'!$B$5:$D$53,3,0),0)+AB18+$T18+VLOOKUP('Mass Equivalents - States, Opt1'!$A18,'EE Avoided Generation'!$A$4:$K$52,'Mass Equivalents - States, Opt1'!BO$7-2018,0)</f>
        <v>6771043.6878117993</v>
      </c>
      <c r="BP18" s="64">
        <f>MAX($BE18-VLOOKUP($A18,'RE Generation'!$A$4:$M$52,'Mass Equivalents - States, Opt1'!BP$7-2016,0)-VLOOKUP('Mass Equivalents - States, Opt1'!$A18,'EE Avoided Generation'!$A$4:$K$52,'Mass Equivalents - States, Opt1'!BP$7-2018,0)-VLOOKUP($A18,'Under Construction Nuclear'!$B$5:$D$53,3,0),0)+AC18+$T18+VLOOKUP('Mass Equivalents - States, Opt1'!$A18,'EE Avoided Generation'!$A$4:$K$52,'Mass Equivalents - States, Opt1'!BP$7-2018,0)</f>
        <v>6771043.6878117993</v>
      </c>
      <c r="BQ18" s="65">
        <f>MAX($BE18-VLOOKUP($A18,'RE Generation'!$A$4:$M$52,'Mass Equivalents - States, Opt1'!BQ$7-2016,0)-VLOOKUP('Mass Equivalents - States, Opt1'!$A18,'EE Avoided Generation'!$A$4:$K$52,'Mass Equivalents - States, Opt1'!BQ$7-2018,0)-VLOOKUP($A18,'Under Construction Nuclear'!$B$5:$D$53,3,0),0)+AD18+$T18+VLOOKUP('Mass Equivalents - States, Opt1'!$A18,'EE Avoided Generation'!$A$4:$K$52,'Mass Equivalents - States, Opt1'!BQ$7-2018,0)</f>
        <v>6771043.6878117993</v>
      </c>
      <c r="BR18" s="29"/>
      <c r="BS18" s="71">
        <f t="shared" si="4"/>
        <v>4478.1011650365872</v>
      </c>
      <c r="BT18" s="72">
        <f t="shared" si="5"/>
        <v>4431.1869187101456</v>
      </c>
      <c r="BU18" s="72">
        <f t="shared" si="6"/>
        <v>4376.7324595822438</v>
      </c>
      <c r="BV18" s="72">
        <f t="shared" si="7"/>
        <v>4316.226012430433</v>
      </c>
      <c r="BW18" s="72">
        <f t="shared" si="8"/>
        <v>4251.1043115848015</v>
      </c>
      <c r="BX18" s="72">
        <f t="shared" si="9"/>
        <v>4190.2093691577957</v>
      </c>
      <c r="BY18" s="72">
        <f t="shared" si="10"/>
        <v>4136.2293967812166</v>
      </c>
      <c r="BZ18" s="72">
        <f t="shared" si="11"/>
        <v>4088.5105594561915</v>
      </c>
      <c r="CA18" s="72">
        <f t="shared" si="12"/>
        <v>4046.492861852279</v>
      </c>
      <c r="CB18" s="72">
        <f t="shared" si="13"/>
        <v>4009.6949173111775</v>
      </c>
      <c r="CC18" s="75">
        <f t="shared" si="33"/>
        <v>4232.4487971902872</v>
      </c>
      <c r="CD18" s="76">
        <f t="shared" si="34"/>
        <v>4009.6949173111775</v>
      </c>
      <c r="CG18" s="63">
        <f>BH18+VLOOKUP($A18,'Incremental Demand for New Gen'!$AG$5:$AQ$53,'Mass Equivalents - States, Opt1'!BH$7-2018,0)</f>
        <v>7452821.6749383295</v>
      </c>
      <c r="CH18" s="64">
        <f>BI18+VLOOKUP($A18,'Incremental Demand for New Gen'!$AG$5:$AQ$53,'Mass Equivalents - States, Opt1'!BI$7-2018,0)</f>
        <v>7541137.6280410858</v>
      </c>
      <c r="CI18" s="64">
        <f>BJ18+VLOOKUP($A18,'Incremental Demand for New Gen'!$AG$5:$AQ$53,'Mass Equivalents - States, Opt1'!BJ$7-2018,0)</f>
        <v>7630159.4723045137</v>
      </c>
      <c r="CJ18" s="64">
        <f>BK18+VLOOKUP($A18,'Incremental Demand for New Gen'!$AG$5:$AQ$53,'Mass Equivalents - States, Opt1'!BK$7-2018,0)</f>
        <v>7719892.8497707741</v>
      </c>
      <c r="CK18" s="64">
        <f>BL18+VLOOKUP($A18,'Incremental Demand for New Gen'!$AG$5:$AQ$53,'Mass Equivalents - States, Opt1'!BL$7-2018,0)</f>
        <v>7810343.4475777028</v>
      </c>
      <c r="CL18" s="64">
        <f>BM18+VLOOKUP($A18,'Incremental Demand for New Gen'!$AG$5:$AQ$53,'Mass Equivalents - States, Opt1'!BM$7-2018,0)</f>
        <v>7901516.9983192515</v>
      </c>
      <c r="CM18" s="64">
        <f>BN18+VLOOKUP($A18,'Incremental Demand for New Gen'!$AG$5:$AQ$53,'Mass Equivalents - States, Opt1'!BN$7-2018,0)</f>
        <v>7993419.2804088136</v>
      </c>
      <c r="CN18" s="64">
        <f>BO18+VLOOKUP($A18,'Incremental Demand for New Gen'!$AG$5:$AQ$53,'Mass Equivalents - States, Opt1'!BO$7-2018,0)</f>
        <v>8086056.1184454449</v>
      </c>
      <c r="CO18" s="64">
        <f>BP18+VLOOKUP($A18,'Incremental Demand for New Gen'!$AG$5:$AQ$53,'Mass Equivalents - States, Opt1'!BP$7-2018,0)</f>
        <v>8179433.3835830167</v>
      </c>
      <c r="CP18" s="65">
        <f>BQ18+VLOOKUP($A18,'Incremental Demand for New Gen'!$AG$5:$AQ$53,'Mass Equivalents - States, Opt1'!BQ$7-2018,0)</f>
        <v>8273556.99390232</v>
      </c>
      <c r="CQ18" s="29"/>
      <c r="CR18" s="71">
        <f t="shared" si="14"/>
        <v>4929.0022283310518</v>
      </c>
      <c r="CS18" s="72">
        <f t="shared" si="15"/>
        <v>4935.1609515855353</v>
      </c>
      <c r="CT18" s="72">
        <f t="shared" si="16"/>
        <v>4932.0559981523938</v>
      </c>
      <c r="CU18" s="72">
        <f t="shared" si="17"/>
        <v>4921.0733038593962</v>
      </c>
      <c r="CV18" s="72">
        <f t="shared" si="18"/>
        <v>4903.6140122270826</v>
      </c>
      <c r="CW18" s="72">
        <f t="shared" si="19"/>
        <v>4889.7942597113497</v>
      </c>
      <c r="CX18" s="72">
        <f t="shared" si="20"/>
        <v>4882.9423251158432</v>
      </c>
      <c r="CY18" s="72">
        <f t="shared" si="21"/>
        <v>4882.5450475425196</v>
      </c>
      <c r="CZ18" s="72">
        <f t="shared" si="22"/>
        <v>4888.1709122986349</v>
      </c>
      <c r="DA18" s="72">
        <f t="shared" si="23"/>
        <v>4899.4573002460529</v>
      </c>
      <c r="DB18" s="75">
        <f t="shared" si="35"/>
        <v>4906.3816339069863</v>
      </c>
      <c r="DC18" s="76">
        <f t="shared" si="36"/>
        <v>4899.4573002460529</v>
      </c>
    </row>
    <row r="19" spans="1:107" x14ac:dyDescent="0.25">
      <c r="A19" s="30" t="s">
        <v>53</v>
      </c>
      <c r="B19" s="17">
        <v>0</v>
      </c>
      <c r="C19" s="17">
        <v>857.9888373</v>
      </c>
      <c r="D19" s="17">
        <v>0</v>
      </c>
      <c r="E19" s="17">
        <v>0</v>
      </c>
      <c r="F19" s="17">
        <v>0</v>
      </c>
      <c r="G19" s="17">
        <v>1639922</v>
      </c>
      <c r="H19" s="17">
        <v>0</v>
      </c>
      <c r="I19" s="17">
        <v>0</v>
      </c>
      <c r="J19" s="17">
        <v>620</v>
      </c>
      <c r="K19" s="17">
        <v>0</v>
      </c>
      <c r="L19" s="18"/>
      <c r="M19" s="19"/>
      <c r="N19" s="19"/>
      <c r="O19" s="19">
        <f t="shared" si="2"/>
        <v>1639922</v>
      </c>
      <c r="P19" s="19">
        <f t="shared" si="25"/>
        <v>0</v>
      </c>
      <c r="Q19" s="19">
        <f t="shared" si="26"/>
        <v>0</v>
      </c>
      <c r="R19" s="20">
        <f t="shared" si="27"/>
        <v>0.30111970444796993</v>
      </c>
      <c r="S19" s="20">
        <f t="shared" si="28"/>
        <v>0.30111970444796993</v>
      </c>
      <c r="T19" s="21"/>
      <c r="U19" s="22">
        <v>3185880.3281693324</v>
      </c>
      <c r="V19" s="22">
        <v>3196687.1701874998</v>
      </c>
      <c r="W19" s="22">
        <v>3196687.1701874998</v>
      </c>
      <c r="X19" s="22">
        <v>3196687.1701874998</v>
      </c>
      <c r="Y19" s="22">
        <v>3196687.1701874998</v>
      </c>
      <c r="Z19" s="22">
        <v>3196687.1701874998</v>
      </c>
      <c r="AA19" s="22">
        <v>3196687.1701874998</v>
      </c>
      <c r="AB19" s="22">
        <v>3196687.1701874998</v>
      </c>
      <c r="AC19" s="22">
        <v>3196687.1701874998</v>
      </c>
      <c r="AD19" s="22">
        <v>3196687.1701874998</v>
      </c>
      <c r="AE19" s="23">
        <v>3.8043220220796779E-2</v>
      </c>
      <c r="AF19" s="23">
        <v>4.9842207824726745E-2</v>
      </c>
      <c r="AG19" s="23">
        <v>6.0627723450186154E-2</v>
      </c>
      <c r="AH19" s="23">
        <v>7.0440724340313246E-2</v>
      </c>
      <c r="AI19" s="23">
        <v>7.9320223868099643E-2</v>
      </c>
      <c r="AJ19" s="23">
        <v>8.7303379951876967E-2</v>
      </c>
      <c r="AK19" s="23">
        <v>9.4425579405740506E-2</v>
      </c>
      <c r="AL19" s="23">
        <v>0.10072051841129301</v>
      </c>
      <c r="AM19" s="23">
        <v>0.10622027928854094</v>
      </c>
      <c r="AN19" s="23">
        <v>0.11095540373561535</v>
      </c>
      <c r="AO19" s="23">
        <v>0.46825537415146617</v>
      </c>
      <c r="AP19" s="24">
        <v>25492619.6109</v>
      </c>
      <c r="AQ19" s="25">
        <f t="shared" si="3"/>
        <v>266.48757347252729</v>
      </c>
      <c r="AR19" s="25">
        <f t="shared" si="3"/>
        <v>259.0471251061341</v>
      </c>
      <c r="AS19" s="25">
        <f t="shared" si="3"/>
        <v>253.04898379336336</v>
      </c>
      <c r="AT19" s="25">
        <f t="shared" si="3"/>
        <v>247.82803686003507</v>
      </c>
      <c r="AU19" s="25">
        <f t="shared" si="3"/>
        <v>243.28602263521299</v>
      </c>
      <c r="AV19" s="25">
        <f t="shared" si="3"/>
        <v>239.34232427760162</v>
      </c>
      <c r="AW19" s="25">
        <f t="shared" si="3"/>
        <v>235.93031820196978</v>
      </c>
      <c r="AX19" s="25">
        <f t="shared" si="3"/>
        <v>232.99460549754644</v>
      </c>
      <c r="AY19" s="25">
        <f t="shared" si="3"/>
        <v>230.48888819000945</v>
      </c>
      <c r="AZ19" s="25">
        <f t="shared" si="3"/>
        <v>228.37432304188948</v>
      </c>
      <c r="BA19" s="26">
        <f t="shared" si="29"/>
        <v>243.68282010762897</v>
      </c>
      <c r="BB19" s="26">
        <f t="shared" si="30"/>
        <v>228.37432304188948</v>
      </c>
      <c r="BC19" s="69"/>
      <c r="BD19" s="70"/>
      <c r="BE19" s="79">
        <f t="shared" si="31"/>
        <v>1639922</v>
      </c>
      <c r="BF19" s="79">
        <f t="shared" si="32"/>
        <v>638.22099502077026</v>
      </c>
      <c r="BG19" s="84"/>
      <c r="BH19" s="63">
        <f>MAX($BE19-VLOOKUP($A19,'RE Generation'!$A$4:$M$52,'Mass Equivalents - States, Opt1'!BH$7-2016,0)-VLOOKUP('Mass Equivalents - States, Opt1'!$A19,'EE Avoided Generation'!$A$4:$K$52,'Mass Equivalents - States, Opt1'!BH$7-2018,0)-VLOOKUP($A19,'Under Construction Nuclear'!$B$5:$D$53,3,0),0)+U19+$T19+VLOOKUP('Mass Equivalents - States, Opt1'!$A19,'EE Avoided Generation'!$A$4:$K$52,'Mass Equivalents - States, Opt1'!BH$7-2018,0)</f>
        <v>4154424.1700000009</v>
      </c>
      <c r="BI19" s="64">
        <f>MAX($BE19-VLOOKUP($A19,'RE Generation'!$A$4:$M$52,'Mass Equivalents - States, Opt1'!BI$7-2016,0)-VLOOKUP('Mass Equivalents - States, Opt1'!$A19,'EE Avoided Generation'!$A$4:$K$52,'Mass Equivalents - States, Opt1'!BI$7-2018,0)-VLOOKUP($A19,'Under Construction Nuclear'!$B$5:$D$53,3,0),0)+V19+$T19+VLOOKUP('Mass Equivalents - States, Opt1'!$A19,'EE Avoided Generation'!$A$4:$K$52,'Mass Equivalents - States, Opt1'!BI$7-2018,0)</f>
        <v>4154424.17</v>
      </c>
      <c r="BJ19" s="64">
        <f>MAX($BE19-VLOOKUP($A19,'RE Generation'!$A$4:$M$52,'Mass Equivalents - States, Opt1'!BJ$7-2016,0)-VLOOKUP('Mass Equivalents - States, Opt1'!$A19,'EE Avoided Generation'!$A$4:$K$52,'Mass Equivalents - States, Opt1'!BJ$7-2018,0)-VLOOKUP($A19,'Under Construction Nuclear'!$B$5:$D$53,3,0),0)+W19+$T19+VLOOKUP('Mass Equivalents - States, Opt1'!$A19,'EE Avoided Generation'!$A$4:$K$52,'Mass Equivalents - States, Opt1'!BJ$7-2018,0)</f>
        <v>4154424.1700000004</v>
      </c>
      <c r="BK19" s="64">
        <f>MAX($BE19-VLOOKUP($A19,'RE Generation'!$A$4:$M$52,'Mass Equivalents - States, Opt1'!BK$7-2016,0)-VLOOKUP('Mass Equivalents - States, Opt1'!$A19,'EE Avoided Generation'!$A$4:$K$52,'Mass Equivalents - States, Opt1'!BK$7-2018,0)-VLOOKUP($A19,'Under Construction Nuclear'!$B$5:$D$53,3,0),0)+X19+$T19+VLOOKUP('Mass Equivalents - States, Opt1'!$A19,'EE Avoided Generation'!$A$4:$K$52,'Mass Equivalents - States, Opt1'!BK$7-2018,0)</f>
        <v>4154424.1700000004</v>
      </c>
      <c r="BL19" s="64">
        <f>MAX($BE19-VLOOKUP($A19,'RE Generation'!$A$4:$M$52,'Mass Equivalents - States, Opt1'!BL$7-2016,0)-VLOOKUP('Mass Equivalents - States, Opt1'!$A19,'EE Avoided Generation'!$A$4:$K$52,'Mass Equivalents - States, Opt1'!BL$7-2018,0)-VLOOKUP($A19,'Under Construction Nuclear'!$B$5:$D$53,3,0),0)+Y19+$T19+VLOOKUP('Mass Equivalents - States, Opt1'!$A19,'EE Avoided Generation'!$A$4:$K$52,'Mass Equivalents - States, Opt1'!BL$7-2018,0)</f>
        <v>4154424.1700000004</v>
      </c>
      <c r="BM19" s="64">
        <f>MAX($BE19-VLOOKUP($A19,'RE Generation'!$A$4:$M$52,'Mass Equivalents - States, Opt1'!BM$7-2016,0)-VLOOKUP('Mass Equivalents - States, Opt1'!$A19,'EE Avoided Generation'!$A$4:$K$52,'Mass Equivalents - States, Opt1'!BM$7-2018,0)-VLOOKUP($A19,'Under Construction Nuclear'!$B$5:$D$53,3,0),0)+Z19+$T19+VLOOKUP('Mass Equivalents - States, Opt1'!$A19,'EE Avoided Generation'!$A$4:$K$52,'Mass Equivalents - States, Opt1'!BM$7-2018,0)</f>
        <v>4238832.517361246</v>
      </c>
      <c r="BN19" s="64">
        <f>MAX($BE19-VLOOKUP($A19,'RE Generation'!$A$4:$M$52,'Mass Equivalents - States, Opt1'!BN$7-2016,0)-VLOOKUP('Mass Equivalents - States, Opt1'!$A19,'EE Avoided Generation'!$A$4:$K$52,'Mass Equivalents - States, Opt1'!BN$7-2018,0)-VLOOKUP($A19,'Under Construction Nuclear'!$B$5:$D$53,3,0),0)+AA19+$T19+VLOOKUP('Mass Equivalents - States, Opt1'!$A19,'EE Avoided Generation'!$A$4:$K$52,'Mass Equivalents - States, Opt1'!BN$7-2018,0)</f>
        <v>4323850.61203958</v>
      </c>
      <c r="BO19" s="64">
        <f>MAX($BE19-VLOOKUP($A19,'RE Generation'!$A$4:$M$52,'Mass Equivalents - States, Opt1'!BO$7-2016,0)-VLOOKUP('Mass Equivalents - States, Opt1'!$A19,'EE Avoided Generation'!$A$4:$K$52,'Mass Equivalents - States, Opt1'!BO$7-2018,0)-VLOOKUP($A19,'Under Construction Nuclear'!$B$5:$D$53,3,0),0)+AB19+$T19+VLOOKUP('Mass Equivalents - States, Opt1'!$A19,'EE Avoided Generation'!$A$4:$K$52,'Mass Equivalents - States, Opt1'!BO$7-2018,0)</f>
        <v>4398993.6523089856</v>
      </c>
      <c r="BP19" s="64">
        <f>MAX($BE19-VLOOKUP($A19,'RE Generation'!$A$4:$M$52,'Mass Equivalents - States, Opt1'!BP$7-2016,0)-VLOOKUP('Mass Equivalents - States, Opt1'!$A19,'EE Avoided Generation'!$A$4:$K$52,'Mass Equivalents - States, Opt1'!BP$7-2018,0)-VLOOKUP($A19,'Under Construction Nuclear'!$B$5:$D$53,3,0),0)+AC19+$T19+VLOOKUP('Mass Equivalents - States, Opt1'!$A19,'EE Avoided Generation'!$A$4:$K$52,'Mass Equivalents - States, Opt1'!BP$7-2018,0)</f>
        <v>4464644.6066242876</v>
      </c>
      <c r="BQ19" s="65">
        <f>MAX($BE19-VLOOKUP($A19,'RE Generation'!$A$4:$M$52,'Mass Equivalents - States, Opt1'!BQ$7-2016,0)-VLOOKUP('Mass Equivalents - States, Opt1'!$A19,'EE Avoided Generation'!$A$4:$K$52,'Mass Equivalents - States, Opt1'!BQ$7-2018,0)-VLOOKUP($A19,'Under Construction Nuclear'!$B$5:$D$53,3,0),0)+AD19+$T19+VLOOKUP('Mass Equivalents - States, Opt1'!$A19,'EE Avoided Generation'!$A$4:$K$52,'Mass Equivalents - States, Opt1'!BQ$7-2018,0)</f>
        <v>4521168.0529505052</v>
      </c>
      <c r="BR19" s="29"/>
      <c r="BS19" s="71">
        <f t="shared" si="4"/>
        <v>502.17380602503761</v>
      </c>
      <c r="BT19" s="72">
        <f t="shared" si="5"/>
        <v>488.15289605915643</v>
      </c>
      <c r="BU19" s="72">
        <f t="shared" si="6"/>
        <v>476.84989452381234</v>
      </c>
      <c r="BV19" s="72">
        <f t="shared" si="7"/>
        <v>467.01145155853652</v>
      </c>
      <c r="BW19" s="72">
        <f t="shared" si="8"/>
        <v>458.45240116614025</v>
      </c>
      <c r="BX19" s="72">
        <f t="shared" si="9"/>
        <v>460.18453381023386</v>
      </c>
      <c r="BY19" s="72">
        <f t="shared" si="10"/>
        <v>462.72257838370331</v>
      </c>
      <c r="BZ19" s="72">
        <f t="shared" si="11"/>
        <v>464.90632880312398</v>
      </c>
      <c r="CA19" s="72">
        <f t="shared" si="12"/>
        <v>466.77022414037526</v>
      </c>
      <c r="CB19" s="72">
        <f t="shared" si="13"/>
        <v>468.34315820921034</v>
      </c>
      <c r="CC19" s="75">
        <f t="shared" si="33"/>
        <v>471.55672726793301</v>
      </c>
      <c r="CD19" s="76">
        <f t="shared" si="34"/>
        <v>468.34315820921034</v>
      </c>
      <c r="CG19" s="63">
        <f>BH19+VLOOKUP($A19,'Incremental Demand for New Gen'!$AG$5:$AQ$53,'Mass Equivalents - States, Opt1'!BH$7-2018,0)</f>
        <v>6413469.0079370653</v>
      </c>
      <c r="CH19" s="64">
        <f>BI19+VLOOKUP($A19,'Incremental Demand for New Gen'!$AG$5:$AQ$53,'Mass Equivalents - States, Opt1'!BI$7-2018,0)</f>
        <v>6709459.3351061791</v>
      </c>
      <c r="CI19" s="64">
        <f>BJ19+VLOOKUP($A19,'Incremental Demand for New Gen'!$AG$5:$AQ$53,'Mass Equivalents - States, Opt1'!BJ$7-2018,0)</f>
        <v>7008581.3599490086</v>
      </c>
      <c r="CJ19" s="64">
        <f>BK19+VLOOKUP($A19,'Incremental Demand for New Gen'!$AG$5:$AQ$53,'Mass Equivalents - States, Opt1'!BK$7-2018,0)</f>
        <v>7310868.2170967171</v>
      </c>
      <c r="CK19" s="64">
        <f>BL19+VLOOKUP($A19,'Incremental Demand for New Gen'!$AG$5:$AQ$53,'Mass Equivalents - States, Opt1'!BL$7-2018,0)</f>
        <v>7616353.3917583022</v>
      </c>
      <c r="CL19" s="64">
        <f>BM19+VLOOKUP($A19,'Incremental Demand for New Gen'!$AG$5:$AQ$53,'Mass Equivalents - States, Opt1'!BM$7-2018,0)</f>
        <v>8009479.0707911011</v>
      </c>
      <c r="CM19" s="64">
        <f>BN19+VLOOKUP($A19,'Incremental Demand for New Gen'!$AG$5:$AQ$53,'Mass Equivalents - States, Opt1'!BN$7-2018,0)</f>
        <v>8406480.8516826313</v>
      </c>
      <c r="CN19" s="64">
        <f>BO19+VLOOKUP($A19,'Incremental Demand for New Gen'!$AG$5:$AQ$53,'Mass Equivalents - States, Opt1'!BO$7-2018,0)</f>
        <v>8796908.4920623042</v>
      </c>
      <c r="CO19" s="64">
        <f>BP19+VLOOKUP($A19,'Incremental Demand for New Gen'!$AG$5:$AQ$53,'Mass Equivalents - States, Opt1'!BP$7-2018,0)</f>
        <v>9181179.8853923585</v>
      </c>
      <c r="CP19" s="65">
        <f>BQ19+VLOOKUP($A19,'Incremental Demand for New Gen'!$AG$5:$AQ$53,'Mass Equivalents - States, Opt1'!BQ$7-2018,0)</f>
        <v>9559694.9041659776</v>
      </c>
      <c r="CQ19" s="29"/>
      <c r="CR19" s="71">
        <f t="shared" si="14"/>
        <v>775.24008376337213</v>
      </c>
      <c r="CS19" s="72">
        <f t="shared" si="15"/>
        <v>788.37448257557753</v>
      </c>
      <c r="CT19" s="72">
        <f t="shared" si="16"/>
        <v>804.45355252524496</v>
      </c>
      <c r="CU19" s="72">
        <f t="shared" si="17"/>
        <v>821.8369233634387</v>
      </c>
      <c r="CV19" s="72">
        <f t="shared" si="18"/>
        <v>840.4860355367781</v>
      </c>
      <c r="CW19" s="72">
        <f t="shared" si="19"/>
        <v>869.54093542467513</v>
      </c>
      <c r="CX19" s="72">
        <f t="shared" si="20"/>
        <v>899.630640335409</v>
      </c>
      <c r="CY19" s="72">
        <f t="shared" si="21"/>
        <v>929.69864362387762</v>
      </c>
      <c r="CZ19" s="72">
        <f t="shared" si="22"/>
        <v>959.87514585577708</v>
      </c>
      <c r="DA19" s="72">
        <f t="shared" si="23"/>
        <v>990.27898332860354</v>
      </c>
      <c r="DB19" s="75">
        <f t="shared" si="35"/>
        <v>867.9415426332755</v>
      </c>
      <c r="DC19" s="76">
        <f t="shared" si="36"/>
        <v>990.27898332860354</v>
      </c>
    </row>
    <row r="20" spans="1:107" x14ac:dyDescent="0.25">
      <c r="A20" s="16" t="s">
        <v>54</v>
      </c>
      <c r="B20" s="17">
        <v>2334.1314781999999</v>
      </c>
      <c r="C20" s="17">
        <v>865.11049949999995</v>
      </c>
      <c r="D20" s="17">
        <v>0</v>
      </c>
      <c r="E20" s="17">
        <v>502713810.86605561</v>
      </c>
      <c r="F20" s="17">
        <v>79166165</v>
      </c>
      <c r="G20" s="17">
        <v>7870423.0049999999</v>
      </c>
      <c r="H20" s="17">
        <v>0</v>
      </c>
      <c r="I20" s="17">
        <v>727383.22051619994</v>
      </c>
      <c r="J20" s="17">
        <v>3395.6</v>
      </c>
      <c r="K20" s="17">
        <v>0</v>
      </c>
      <c r="L20" s="18">
        <f t="shared" si="24"/>
        <v>2194.0835895079999</v>
      </c>
      <c r="M20" s="19">
        <f t="shared" ref="M20:M45" si="37">MAX(F20-((O20-G20)*(F20/(F20+H20))), 0)</f>
        <v>66157722.725000001</v>
      </c>
      <c r="N20" s="19">
        <f t="shared" ref="N20:N45" si="38">MAX(H20-((O20-G20)*(H20/(H20+F20))),0)</f>
        <v>0</v>
      </c>
      <c r="O20" s="19">
        <f t="shared" si="2"/>
        <v>20878865.279999997</v>
      </c>
      <c r="P20" s="19">
        <f t="shared" si="25"/>
        <v>502713810.86605561</v>
      </c>
      <c r="Q20" s="19">
        <f t="shared" si="26"/>
        <v>727383.22051619994</v>
      </c>
      <c r="R20" s="20">
        <f t="shared" si="27"/>
        <v>0.26386951731411334</v>
      </c>
      <c r="S20" s="20">
        <f t="shared" si="28"/>
        <v>0.7</v>
      </c>
      <c r="T20" s="21">
        <v>5305342.0031535765</v>
      </c>
      <c r="U20" s="22">
        <v>10562948.774062034</v>
      </c>
      <c r="V20" s="22">
        <v>11194781.062601805</v>
      </c>
      <c r="W20" s="22">
        <v>11864406.968187384</v>
      </c>
      <c r="X20" s="22">
        <v>12574087.150040077</v>
      </c>
      <c r="Y20" s="22">
        <v>13326217.490747312</v>
      </c>
      <c r="Z20" s="22">
        <v>14123337.184769994</v>
      </c>
      <c r="AA20" s="22">
        <v>14968137.310771216</v>
      </c>
      <c r="AB20" s="22">
        <v>15863469.916706521</v>
      </c>
      <c r="AC20" s="22">
        <v>16812357.648347016</v>
      </c>
      <c r="AD20" s="22">
        <v>17818003.953741267</v>
      </c>
      <c r="AE20" s="23">
        <v>4.361158168069415E-2</v>
      </c>
      <c r="AF20" s="23">
        <v>5.5268462953305439E-2</v>
      </c>
      <c r="AG20" s="23">
        <v>6.5964962928968585E-2</v>
      </c>
      <c r="AH20" s="23">
        <v>7.5731445301236738E-2</v>
      </c>
      <c r="AI20" s="23">
        <v>8.4596895879422415E-2</v>
      </c>
      <c r="AJ20" s="23">
        <v>9.2588975782934665E-2</v>
      </c>
      <c r="AK20" s="23">
        <v>9.9734072436781632E-2</v>
      </c>
      <c r="AL20" s="23">
        <v>0.10605734845647309</v>
      </c>
      <c r="AM20" s="23">
        <v>0.11158278850697179</v>
      </c>
      <c r="AN20" s="23">
        <v>0.11633324421690042</v>
      </c>
      <c r="AO20" s="23">
        <v>1.2699014351631996</v>
      </c>
      <c r="AP20" s="24">
        <v>154319858.30039999</v>
      </c>
      <c r="AQ20" s="25">
        <f t="shared" si="3"/>
        <v>1483.4836900036169</v>
      </c>
      <c r="AR20" s="25">
        <f t="shared" si="3"/>
        <v>1451.5142362231506</v>
      </c>
      <c r="AS20" s="25">
        <f t="shared" si="3"/>
        <v>1422.256480126777</v>
      </c>
      <c r="AT20" s="25">
        <f t="shared" si="3"/>
        <v>1395.3843139896371</v>
      </c>
      <c r="AU20" s="25">
        <f t="shared" si="3"/>
        <v>1370.6162560260459</v>
      </c>
      <c r="AV20" s="25">
        <f t="shared" si="3"/>
        <v>1347.7075115442829</v>
      </c>
      <c r="AW20" s="25">
        <f t="shared" si="3"/>
        <v>1326.443631835695</v>
      </c>
      <c r="AX20" s="25">
        <f t="shared" si="3"/>
        <v>1306.6354080359858</v>
      </c>
      <c r="AY20" s="25">
        <f t="shared" si="3"/>
        <v>1288.1147289704923</v>
      </c>
      <c r="AZ20" s="25">
        <f t="shared" si="3"/>
        <v>1270.7311985672013</v>
      </c>
      <c r="BA20" s="26">
        <f t="shared" si="29"/>
        <v>1366.2887455322884</v>
      </c>
      <c r="BB20" s="26">
        <f t="shared" si="30"/>
        <v>1270.7311985672013</v>
      </c>
      <c r="BC20" s="69"/>
      <c r="BD20" s="70"/>
      <c r="BE20" s="79">
        <f t="shared" si="31"/>
        <v>87763971.2255162</v>
      </c>
      <c r="BF20" s="79">
        <f t="shared" si="32"/>
        <v>87133.264291747779</v>
      </c>
      <c r="BG20" s="84"/>
      <c r="BH20" s="63">
        <f>MAX($BE20-VLOOKUP($A20,'RE Generation'!$A$4:$M$52,'Mass Equivalents - States, Opt1'!BH$7-2016,0)-VLOOKUP('Mass Equivalents - States, Opt1'!$A20,'EE Avoided Generation'!$A$4:$K$52,'Mass Equivalents - States, Opt1'!BH$7-2018,0)-VLOOKUP($A20,'Under Construction Nuclear'!$B$5:$D$53,3,0),0)+U20+$T20+VLOOKUP('Mass Equivalents - States, Opt1'!$A20,'EE Avoided Generation'!$A$4:$K$52,'Mass Equivalents - States, Opt1'!BH$7-2018,0)</f>
        <v>101441973.12866978</v>
      </c>
      <c r="BI20" s="64">
        <f>MAX($BE20-VLOOKUP($A20,'RE Generation'!$A$4:$M$52,'Mass Equivalents - States, Opt1'!BI$7-2016,0)-VLOOKUP('Mass Equivalents - States, Opt1'!$A20,'EE Avoided Generation'!$A$4:$K$52,'Mass Equivalents - States, Opt1'!BI$7-2018,0)-VLOOKUP($A20,'Under Construction Nuclear'!$B$5:$D$53,3,0),0)+V20+$T20+VLOOKUP('Mass Equivalents - States, Opt1'!$A20,'EE Avoided Generation'!$A$4:$K$52,'Mass Equivalents - States, Opt1'!BI$7-2018,0)</f>
        <v>101441973.12866978</v>
      </c>
      <c r="BJ20" s="64">
        <f>MAX($BE20-VLOOKUP($A20,'RE Generation'!$A$4:$M$52,'Mass Equivalents - States, Opt1'!BJ$7-2016,0)-VLOOKUP('Mass Equivalents - States, Opt1'!$A20,'EE Avoided Generation'!$A$4:$K$52,'Mass Equivalents - States, Opt1'!BJ$7-2018,0)-VLOOKUP($A20,'Under Construction Nuclear'!$B$5:$D$53,3,0),0)+W20+$T20+VLOOKUP('Mass Equivalents - States, Opt1'!$A20,'EE Avoided Generation'!$A$4:$K$52,'Mass Equivalents - States, Opt1'!BJ$7-2018,0)</f>
        <v>101441973.1286698</v>
      </c>
      <c r="BK20" s="64">
        <f>MAX($BE20-VLOOKUP($A20,'RE Generation'!$A$4:$M$52,'Mass Equivalents - States, Opt1'!BK$7-2016,0)-VLOOKUP('Mass Equivalents - States, Opt1'!$A20,'EE Avoided Generation'!$A$4:$K$52,'Mass Equivalents - States, Opt1'!BK$7-2018,0)-VLOOKUP($A20,'Under Construction Nuclear'!$B$5:$D$53,3,0),0)+X20+$T20+VLOOKUP('Mass Equivalents - States, Opt1'!$A20,'EE Avoided Generation'!$A$4:$K$52,'Mass Equivalents - States, Opt1'!BK$7-2018,0)</f>
        <v>101441973.12866977</v>
      </c>
      <c r="BL20" s="64">
        <f>MAX($BE20-VLOOKUP($A20,'RE Generation'!$A$4:$M$52,'Mass Equivalents - States, Opt1'!BL$7-2016,0)-VLOOKUP('Mass Equivalents - States, Opt1'!$A20,'EE Avoided Generation'!$A$4:$K$52,'Mass Equivalents - States, Opt1'!BL$7-2018,0)-VLOOKUP($A20,'Under Construction Nuclear'!$B$5:$D$53,3,0),0)+Y20+$T20+VLOOKUP('Mass Equivalents - States, Opt1'!$A20,'EE Avoided Generation'!$A$4:$K$52,'Mass Equivalents - States, Opt1'!BL$7-2018,0)</f>
        <v>101441973.12866978</v>
      </c>
      <c r="BM20" s="64">
        <f>MAX($BE20-VLOOKUP($A20,'RE Generation'!$A$4:$M$52,'Mass Equivalents - States, Opt1'!BM$7-2016,0)-VLOOKUP('Mass Equivalents - States, Opt1'!$A20,'EE Avoided Generation'!$A$4:$K$52,'Mass Equivalents - States, Opt1'!BM$7-2018,0)-VLOOKUP($A20,'Under Construction Nuclear'!$B$5:$D$53,3,0),0)+Z20+$T20+VLOOKUP('Mass Equivalents - States, Opt1'!$A20,'EE Avoided Generation'!$A$4:$K$52,'Mass Equivalents - States, Opt1'!BM$7-2018,0)</f>
        <v>101441973.12866977</v>
      </c>
      <c r="BN20" s="64">
        <f>MAX($BE20-VLOOKUP($A20,'RE Generation'!$A$4:$M$52,'Mass Equivalents - States, Opt1'!BN$7-2016,0)-VLOOKUP('Mass Equivalents - States, Opt1'!$A20,'EE Avoided Generation'!$A$4:$K$52,'Mass Equivalents - States, Opt1'!BN$7-2018,0)-VLOOKUP($A20,'Under Construction Nuclear'!$B$5:$D$53,3,0),0)+AA20+$T20+VLOOKUP('Mass Equivalents - States, Opt1'!$A20,'EE Avoided Generation'!$A$4:$K$52,'Mass Equivalents - States, Opt1'!BN$7-2018,0)</f>
        <v>101441973.12866977</v>
      </c>
      <c r="BO20" s="64">
        <f>MAX($BE20-VLOOKUP($A20,'RE Generation'!$A$4:$M$52,'Mass Equivalents - States, Opt1'!BO$7-2016,0)-VLOOKUP('Mass Equivalents - States, Opt1'!$A20,'EE Avoided Generation'!$A$4:$K$52,'Mass Equivalents - States, Opt1'!BO$7-2018,0)-VLOOKUP($A20,'Under Construction Nuclear'!$B$5:$D$53,3,0),0)+AB20+$T20+VLOOKUP('Mass Equivalents - States, Opt1'!$A20,'EE Avoided Generation'!$A$4:$K$52,'Mass Equivalents - States, Opt1'!BO$7-2018,0)</f>
        <v>101441973.12866977</v>
      </c>
      <c r="BP20" s="64">
        <f>MAX($BE20-VLOOKUP($A20,'RE Generation'!$A$4:$M$52,'Mass Equivalents - States, Opt1'!BP$7-2016,0)-VLOOKUP('Mass Equivalents - States, Opt1'!$A20,'EE Avoided Generation'!$A$4:$K$52,'Mass Equivalents - States, Opt1'!BP$7-2018,0)-VLOOKUP($A20,'Under Construction Nuclear'!$B$5:$D$53,3,0),0)+AC20+$T20+VLOOKUP('Mass Equivalents - States, Opt1'!$A20,'EE Avoided Generation'!$A$4:$K$52,'Mass Equivalents - States, Opt1'!BP$7-2018,0)</f>
        <v>101441973.12866978</v>
      </c>
      <c r="BQ20" s="65">
        <f>MAX($BE20-VLOOKUP($A20,'RE Generation'!$A$4:$M$52,'Mass Equivalents - States, Opt1'!BQ$7-2016,0)-VLOOKUP('Mass Equivalents - States, Opt1'!$A20,'EE Avoided Generation'!$A$4:$K$52,'Mass Equivalents - States, Opt1'!BQ$7-2018,0)-VLOOKUP($A20,'Under Construction Nuclear'!$B$5:$D$53,3,0),0)+AD20+$T20+VLOOKUP('Mass Equivalents - States, Opt1'!$A20,'EE Avoided Generation'!$A$4:$K$52,'Mass Equivalents - States, Opt1'!BQ$7-2018,0)</f>
        <v>101441973.12866978</v>
      </c>
      <c r="BR20" s="29"/>
      <c r="BS20" s="71">
        <f t="shared" si="4"/>
        <v>68260.068682206824</v>
      </c>
      <c r="BT20" s="72">
        <f t="shared" si="5"/>
        <v>66789.04670502423</v>
      </c>
      <c r="BU20" s="72">
        <f t="shared" si="6"/>
        <v>65442.799048859677</v>
      </c>
      <c r="BV20" s="72">
        <f t="shared" si="7"/>
        <v>64206.320401658362</v>
      </c>
      <c r="BW20" s="72">
        <f t="shared" si="8"/>
        <v>63066.658840758115</v>
      </c>
      <c r="BX20" s="72">
        <f t="shared" si="9"/>
        <v>62012.550539948636</v>
      </c>
      <c r="BY20" s="72">
        <f t="shared" si="10"/>
        <v>61034.127993655013</v>
      </c>
      <c r="BZ20" s="72">
        <f t="shared" si="11"/>
        <v>60122.685066340207</v>
      </c>
      <c r="CA20" s="72">
        <f t="shared" si="12"/>
        <v>59270.486398049754</v>
      </c>
      <c r="CB20" s="72">
        <f t="shared" si="13"/>
        <v>58470.611760220076</v>
      </c>
      <c r="CC20" s="75">
        <f t="shared" si="33"/>
        <v>62867.535543672086</v>
      </c>
      <c r="CD20" s="76">
        <f t="shared" si="34"/>
        <v>58470.611760220076</v>
      </c>
      <c r="CG20" s="63">
        <f>BH20+VLOOKUP($A20,'Incremental Demand for New Gen'!$AG$5:$AQ$53,'Mass Equivalents - States, Opt1'!BH$7-2018,0)</f>
        <v>107124945.15906845</v>
      </c>
      <c r="CH20" s="64">
        <f>BI20+VLOOKUP($A20,'Incremental Demand for New Gen'!$AG$5:$AQ$53,'Mass Equivalents - States, Opt1'!BI$7-2018,0)</f>
        <v>107849744.18307273</v>
      </c>
      <c r="CI20" s="64">
        <f>BJ20+VLOOKUP($A20,'Incremental Demand for New Gen'!$AG$5:$AQ$53,'Mass Equivalents - States, Opt1'!BJ$7-2018,0)</f>
        <v>108577797.43078464</v>
      </c>
      <c r="CJ20" s="64">
        <f>BK20+VLOOKUP($A20,'Incremental Demand for New Gen'!$AG$5:$AQ$53,'Mass Equivalents - States, Opt1'!BK$7-2018,0)</f>
        <v>109309119.5131122</v>
      </c>
      <c r="CK20" s="64">
        <f>BL20+VLOOKUP($A20,'Incremental Demand for New Gen'!$AG$5:$AQ$53,'Mass Equivalents - States, Opt1'!BL$7-2018,0)</f>
        <v>110043725.10656409</v>
      </c>
      <c r="CL20" s="64">
        <f>BM20+VLOOKUP($A20,'Incremental Demand for New Gen'!$AG$5:$AQ$53,'Mass Equivalents - States, Opt1'!BM$7-2018,0)</f>
        <v>110781628.95354386</v>
      </c>
      <c r="CM20" s="64">
        <f>BN20+VLOOKUP($A20,'Incremental Demand for New Gen'!$AG$5:$AQ$53,'Mass Equivalents - States, Opt1'!BN$7-2018,0)</f>
        <v>111522845.86264603</v>
      </c>
      <c r="CN20" s="64">
        <f>BO20+VLOOKUP($A20,'Incremental Demand for New Gen'!$AG$5:$AQ$53,'Mass Equivalents - States, Opt1'!BO$7-2018,0)</f>
        <v>112267390.7089531</v>
      </c>
      <c r="CO20" s="64">
        <f>BP20+VLOOKUP($A20,'Incremental Demand for New Gen'!$AG$5:$AQ$53,'Mass Equivalents - States, Opt1'!BP$7-2018,0)</f>
        <v>113015278.43433425</v>
      </c>
      <c r="CP20" s="65">
        <f>BQ20+VLOOKUP($A20,'Incremental Demand for New Gen'!$AG$5:$AQ$53,'Mass Equivalents - States, Opt1'!BQ$7-2018,0)</f>
        <v>113766524.04774493</v>
      </c>
      <c r="CQ20" s="29"/>
      <c r="CR20" s="71">
        <f t="shared" si="14"/>
        <v>72084.127394294701</v>
      </c>
      <c r="CS20" s="72">
        <f t="shared" si="15"/>
        <v>71007.901159725952</v>
      </c>
      <c r="CT20" s="72">
        <f t="shared" si="16"/>
        <v>70046.300947023061</v>
      </c>
      <c r="CU20" s="72">
        <f t="shared" si="17"/>
        <v>69185.723954520654</v>
      </c>
      <c r="CV20" s="72">
        <f t="shared" si="18"/>
        <v>68414.383660094827</v>
      </c>
      <c r="CW20" s="72">
        <f t="shared" si="19"/>
        <v>67721.980877340611</v>
      </c>
      <c r="CX20" s="72">
        <f t="shared" si="20"/>
        <v>67099.440583275413</v>
      </c>
      <c r="CY20" s="72">
        <f t="shared" si="21"/>
        <v>66538.6995800312</v>
      </c>
      <c r="CZ20" s="72">
        <f t="shared" si="22"/>
        <v>66032.533838016156</v>
      </c>
      <c r="DA20" s="72">
        <f t="shared" si="23"/>
        <v>65574.417114974582</v>
      </c>
      <c r="DB20" s="75">
        <f t="shared" si="35"/>
        <v>68370.550910929713</v>
      </c>
      <c r="DC20" s="76">
        <f t="shared" si="36"/>
        <v>65574.417114974582</v>
      </c>
    </row>
    <row r="21" spans="1:107" x14ac:dyDescent="0.25">
      <c r="A21" s="16" t="s">
        <v>55</v>
      </c>
      <c r="B21" s="17">
        <v>2158.1427699999999</v>
      </c>
      <c r="C21" s="17">
        <v>913.95402869999998</v>
      </c>
      <c r="D21" s="17">
        <v>0</v>
      </c>
      <c r="E21" s="17">
        <v>2498940947.3439569</v>
      </c>
      <c r="F21" s="17">
        <v>87213268</v>
      </c>
      <c r="G21" s="17">
        <v>12839308.9999</v>
      </c>
      <c r="H21" s="17">
        <v>0</v>
      </c>
      <c r="I21" s="17">
        <v>1631176.6947404</v>
      </c>
      <c r="J21" s="17">
        <v>2767.7</v>
      </c>
      <c r="K21" s="17">
        <v>0</v>
      </c>
      <c r="L21" s="18">
        <f t="shared" si="24"/>
        <v>2028.6542037999998</v>
      </c>
      <c r="M21" s="19">
        <f t="shared" si="37"/>
        <v>83034543.239900008</v>
      </c>
      <c r="N21" s="19">
        <f t="shared" si="38"/>
        <v>0</v>
      </c>
      <c r="O21" s="19">
        <f t="shared" si="2"/>
        <v>17018033.759999998</v>
      </c>
      <c r="P21" s="19">
        <f t="shared" si="25"/>
        <v>2498940947.3439569</v>
      </c>
      <c r="Q21" s="19">
        <f t="shared" si="26"/>
        <v>1631176.6947404</v>
      </c>
      <c r="R21" s="20">
        <f t="shared" si="27"/>
        <v>0.5281171977137975</v>
      </c>
      <c r="S21" s="20">
        <f t="shared" si="28"/>
        <v>0.7</v>
      </c>
      <c r="T21" s="21"/>
      <c r="U21" s="22">
        <v>4474097.5541361207</v>
      </c>
      <c r="V21" s="22">
        <v>4741719.7264334615</v>
      </c>
      <c r="W21" s="22">
        <v>5025349.9598511811</v>
      </c>
      <c r="X21" s="22">
        <v>5325945.7909739129</v>
      </c>
      <c r="Y21" s="22">
        <v>5644522.03229897</v>
      </c>
      <c r="Z21" s="22">
        <v>5982154.1982466178</v>
      </c>
      <c r="AA21" s="22">
        <v>6339982.1361002298</v>
      </c>
      <c r="AB21" s="22">
        <v>6719213.8741344018</v>
      </c>
      <c r="AC21" s="22">
        <v>7121129.6999223102</v>
      </c>
      <c r="AD21" s="22">
        <v>7547086.4825906968</v>
      </c>
      <c r="AE21" s="23">
        <v>3.1956727591867851E-2</v>
      </c>
      <c r="AF21" s="23">
        <v>4.3265104376892377E-2</v>
      </c>
      <c r="AG21" s="23">
        <v>5.4906687375825887E-2</v>
      </c>
      <c r="AH21" s="23">
        <v>6.5587996988725653E-2</v>
      </c>
      <c r="AI21" s="23">
        <v>7.533938362006927E-2</v>
      </c>
      <c r="AJ21" s="23">
        <v>8.4189820172546906E-2</v>
      </c>
      <c r="AK21" s="23">
        <v>9.216695522320105E-2</v>
      </c>
      <c r="AL21" s="23">
        <v>9.9297164001421079E-2</v>
      </c>
      <c r="AM21" s="23">
        <v>0.10560559725699863</v>
      </c>
      <c r="AN21" s="23">
        <v>0.11111622810286446</v>
      </c>
      <c r="AO21" s="23">
        <v>1.0283960752376078</v>
      </c>
      <c r="AP21" s="24">
        <v>113071949.2175</v>
      </c>
      <c r="AQ21" s="25">
        <f t="shared" si="3"/>
        <v>1698.9967631771033</v>
      </c>
      <c r="AR21" s="25">
        <f t="shared" si="3"/>
        <v>1675.3964511180338</v>
      </c>
      <c r="AS21" s="25">
        <f t="shared" si="3"/>
        <v>1651.6571872907925</v>
      </c>
      <c r="AT21" s="25">
        <f t="shared" si="3"/>
        <v>1629.8851777227435</v>
      </c>
      <c r="AU21" s="25">
        <f t="shared" si="3"/>
        <v>1609.8901267035665</v>
      </c>
      <c r="AV21" s="25">
        <f t="shared" si="3"/>
        <v>1591.5036587468751</v>
      </c>
      <c r="AW21" s="25">
        <f t="shared" si="3"/>
        <v>1574.5759602826856</v>
      </c>
      <c r="AX21" s="25">
        <f t="shared" si="3"/>
        <v>1558.972989289362</v>
      </c>
      <c r="AY21" s="25">
        <f t="shared" si="3"/>
        <v>1544.5741416516328</v>
      </c>
      <c r="AZ21" s="25">
        <f t="shared" si="3"/>
        <v>1531.270287193553</v>
      </c>
      <c r="BA21" s="26">
        <f t="shared" si="29"/>
        <v>1606.6722743176347</v>
      </c>
      <c r="BB21" s="26">
        <f t="shared" si="30"/>
        <v>1531.270287193553</v>
      </c>
      <c r="BC21" s="69"/>
      <c r="BD21" s="70"/>
      <c r="BE21" s="79">
        <f t="shared" si="31"/>
        <v>101683753.69464041</v>
      </c>
      <c r="BF21" s="79">
        <f t="shared" si="32"/>
        <v>91830.865598515418</v>
      </c>
      <c r="BG21" s="84"/>
      <c r="BH21" s="63">
        <f>MAX($BE21-VLOOKUP($A21,'RE Generation'!$A$4:$M$52,'Mass Equivalents - States, Opt1'!BH$7-2016,0)-VLOOKUP('Mass Equivalents - States, Opt1'!$A21,'EE Avoided Generation'!$A$4:$K$52,'Mass Equivalents - States, Opt1'!BH$7-2018,0)-VLOOKUP($A21,'Under Construction Nuclear'!$B$5:$D$53,3,0),0)+U21+$T21+VLOOKUP('Mass Equivalents - States, Opt1'!$A21,'EE Avoided Generation'!$A$4:$K$52,'Mass Equivalents - States, Opt1'!BH$7-2018,0)</f>
        <v>105230121.09464042</v>
      </c>
      <c r="BI21" s="64">
        <f>MAX($BE21-VLOOKUP($A21,'RE Generation'!$A$4:$M$52,'Mass Equivalents - States, Opt1'!BI$7-2016,0)-VLOOKUP('Mass Equivalents - States, Opt1'!$A21,'EE Avoided Generation'!$A$4:$K$52,'Mass Equivalents - States, Opt1'!BI$7-2018,0)-VLOOKUP($A21,'Under Construction Nuclear'!$B$5:$D$53,3,0),0)+V21+$T21+VLOOKUP('Mass Equivalents - States, Opt1'!$A21,'EE Avoided Generation'!$A$4:$K$52,'Mass Equivalents - States, Opt1'!BI$7-2018,0)</f>
        <v>105230121.0946404</v>
      </c>
      <c r="BJ21" s="64">
        <f>MAX($BE21-VLOOKUP($A21,'RE Generation'!$A$4:$M$52,'Mass Equivalents - States, Opt1'!BJ$7-2016,0)-VLOOKUP('Mass Equivalents - States, Opt1'!$A21,'EE Avoided Generation'!$A$4:$K$52,'Mass Equivalents - States, Opt1'!BJ$7-2018,0)-VLOOKUP($A21,'Under Construction Nuclear'!$B$5:$D$53,3,0),0)+W21+$T21+VLOOKUP('Mass Equivalents - States, Opt1'!$A21,'EE Avoided Generation'!$A$4:$K$52,'Mass Equivalents - States, Opt1'!BJ$7-2018,0)</f>
        <v>105230121.0946404</v>
      </c>
      <c r="BK21" s="64">
        <f>MAX($BE21-VLOOKUP($A21,'RE Generation'!$A$4:$M$52,'Mass Equivalents - States, Opt1'!BK$7-2016,0)-VLOOKUP('Mass Equivalents - States, Opt1'!$A21,'EE Avoided Generation'!$A$4:$K$52,'Mass Equivalents - States, Opt1'!BK$7-2018,0)-VLOOKUP($A21,'Under Construction Nuclear'!$B$5:$D$53,3,0),0)+X21+$T21+VLOOKUP('Mass Equivalents - States, Opt1'!$A21,'EE Avoided Generation'!$A$4:$K$52,'Mass Equivalents - States, Opt1'!BK$7-2018,0)</f>
        <v>105230121.09464042</v>
      </c>
      <c r="BL21" s="64">
        <f>MAX($BE21-VLOOKUP($A21,'RE Generation'!$A$4:$M$52,'Mass Equivalents - States, Opt1'!BL$7-2016,0)-VLOOKUP('Mass Equivalents - States, Opt1'!$A21,'EE Avoided Generation'!$A$4:$K$52,'Mass Equivalents - States, Opt1'!BL$7-2018,0)-VLOOKUP($A21,'Under Construction Nuclear'!$B$5:$D$53,3,0),0)+Y21+$T21+VLOOKUP('Mass Equivalents - States, Opt1'!$A21,'EE Avoided Generation'!$A$4:$K$52,'Mass Equivalents - States, Opt1'!BL$7-2018,0)</f>
        <v>105230121.0946404</v>
      </c>
      <c r="BM21" s="64">
        <f>MAX($BE21-VLOOKUP($A21,'RE Generation'!$A$4:$M$52,'Mass Equivalents - States, Opt1'!BM$7-2016,0)-VLOOKUP('Mass Equivalents - States, Opt1'!$A21,'EE Avoided Generation'!$A$4:$K$52,'Mass Equivalents - States, Opt1'!BM$7-2018,0)-VLOOKUP($A21,'Under Construction Nuclear'!$B$5:$D$53,3,0),0)+Z21+$T21+VLOOKUP('Mass Equivalents - States, Opt1'!$A21,'EE Avoided Generation'!$A$4:$K$52,'Mass Equivalents - States, Opt1'!BM$7-2018,0)</f>
        <v>105230121.0946404</v>
      </c>
      <c r="BN21" s="64">
        <f>MAX($BE21-VLOOKUP($A21,'RE Generation'!$A$4:$M$52,'Mass Equivalents - States, Opt1'!BN$7-2016,0)-VLOOKUP('Mass Equivalents - States, Opt1'!$A21,'EE Avoided Generation'!$A$4:$K$52,'Mass Equivalents - States, Opt1'!BN$7-2018,0)-VLOOKUP($A21,'Under Construction Nuclear'!$B$5:$D$53,3,0),0)+AA21+$T21+VLOOKUP('Mass Equivalents - States, Opt1'!$A21,'EE Avoided Generation'!$A$4:$K$52,'Mass Equivalents - States, Opt1'!BN$7-2018,0)</f>
        <v>105230121.09464042</v>
      </c>
      <c r="BO21" s="64">
        <f>MAX($BE21-VLOOKUP($A21,'RE Generation'!$A$4:$M$52,'Mass Equivalents - States, Opt1'!BO$7-2016,0)-VLOOKUP('Mass Equivalents - States, Opt1'!$A21,'EE Avoided Generation'!$A$4:$K$52,'Mass Equivalents - States, Opt1'!BO$7-2018,0)-VLOOKUP($A21,'Under Construction Nuclear'!$B$5:$D$53,3,0),0)+AB21+$T21+VLOOKUP('Mass Equivalents - States, Opt1'!$A21,'EE Avoided Generation'!$A$4:$K$52,'Mass Equivalents - States, Opt1'!BO$7-2018,0)</f>
        <v>105230121.09464042</v>
      </c>
      <c r="BP21" s="64">
        <f>MAX($BE21-VLOOKUP($A21,'RE Generation'!$A$4:$M$52,'Mass Equivalents - States, Opt1'!BP$7-2016,0)-VLOOKUP('Mass Equivalents - States, Opt1'!$A21,'EE Avoided Generation'!$A$4:$K$52,'Mass Equivalents - States, Opt1'!BP$7-2018,0)-VLOOKUP($A21,'Under Construction Nuclear'!$B$5:$D$53,3,0),0)+AC21+$T21+VLOOKUP('Mass Equivalents - States, Opt1'!$A21,'EE Avoided Generation'!$A$4:$K$52,'Mass Equivalents - States, Opt1'!BP$7-2018,0)</f>
        <v>105230121.09464042</v>
      </c>
      <c r="BQ21" s="65">
        <f>MAX($BE21-VLOOKUP($A21,'RE Generation'!$A$4:$M$52,'Mass Equivalents - States, Opt1'!BQ$7-2016,0)-VLOOKUP('Mass Equivalents - States, Opt1'!$A21,'EE Avoided Generation'!$A$4:$K$52,'Mass Equivalents - States, Opt1'!BQ$7-2018,0)-VLOOKUP($A21,'Under Construction Nuclear'!$B$5:$D$53,3,0),0)+AD21+$T21+VLOOKUP('Mass Equivalents - States, Opt1'!$A21,'EE Avoided Generation'!$A$4:$K$52,'Mass Equivalents - States, Opt1'!BQ$7-2018,0)</f>
        <v>105230121.0946404</v>
      </c>
      <c r="BR21" s="29"/>
      <c r="BS21" s="71">
        <f t="shared" si="4"/>
        <v>81095.896403248043</v>
      </c>
      <c r="BT21" s="72">
        <f t="shared" si="5"/>
        <v>79969.414879970922</v>
      </c>
      <c r="BU21" s="72">
        <f t="shared" si="6"/>
        <v>78836.300961364454</v>
      </c>
      <c r="BV21" s="72">
        <f t="shared" si="7"/>
        <v>77797.087308526563</v>
      </c>
      <c r="BW21" s="72">
        <f t="shared" si="8"/>
        <v>76842.690795730014</v>
      </c>
      <c r="BX21" s="72">
        <f t="shared" si="9"/>
        <v>75965.074585414695</v>
      </c>
      <c r="BY21" s="72">
        <f t="shared" si="10"/>
        <v>75157.087830672303</v>
      </c>
      <c r="BZ21" s="72">
        <f t="shared" si="11"/>
        <v>74412.332486411775</v>
      </c>
      <c r="CA21" s="72">
        <f t="shared" si="12"/>
        <v>73725.05192080795</v>
      </c>
      <c r="CB21" s="72">
        <f t="shared" si="13"/>
        <v>73090.037171940014</v>
      </c>
      <c r="CC21" s="75">
        <f t="shared" si="33"/>
        <v>76689.097434408672</v>
      </c>
      <c r="CD21" s="76">
        <f t="shared" si="34"/>
        <v>73090.037171940014</v>
      </c>
      <c r="CG21" s="63">
        <f>BH21+VLOOKUP($A21,'Incremental Demand for New Gen'!$AG$5:$AQ$53,'Mass Equivalents - States, Opt1'!BH$7-2018,0)</f>
        <v>109380035.69771905</v>
      </c>
      <c r="CH21" s="64">
        <f>BI21+VLOOKUP($A21,'Incremental Demand for New Gen'!$AG$5:$AQ$53,'Mass Equivalents - States, Opt1'!BI$7-2018,0)</f>
        <v>109909310.52749531</v>
      </c>
      <c r="CI21" s="64">
        <f>BJ21+VLOOKUP($A21,'Incremental Demand for New Gen'!$AG$5:$AQ$53,'Mass Equivalents - States, Opt1'!BJ$7-2018,0)</f>
        <v>110440961.71077351</v>
      </c>
      <c r="CJ21" s="64">
        <f>BK21+VLOOKUP($A21,'Incremental Demand for New Gen'!$AG$5:$AQ$53,'Mass Equivalents - States, Opt1'!BK$7-2018,0)</f>
        <v>110974999.91697463</v>
      </c>
      <c r="CK21" s="64">
        <f>BL21+VLOOKUP($A21,'Incremental Demand for New Gen'!$AG$5:$AQ$53,'Mass Equivalents - States, Opt1'!BL$7-2018,0)</f>
        <v>111511435.86342347</v>
      </c>
      <c r="CL21" s="64">
        <f>BM21+VLOOKUP($A21,'Incremental Demand for New Gen'!$AG$5:$AQ$53,'Mass Equivalents - States, Opt1'!BM$7-2018,0)</f>
        <v>112050280.31556386</v>
      </c>
      <c r="CM21" s="64">
        <f>BN21+VLOOKUP($A21,'Incremental Demand for New Gen'!$AG$5:$AQ$53,'Mass Equivalents - States, Opt1'!BN$7-2018,0)</f>
        <v>112591544.08717461</v>
      </c>
      <c r="CN21" s="64">
        <f>BO21+VLOOKUP($A21,'Incremental Demand for New Gen'!$AG$5:$AQ$53,'Mass Equivalents - States, Opt1'!BO$7-2018,0)</f>
        <v>113135238.04058652</v>
      </c>
      <c r="CO21" s="64">
        <f>BP21+VLOOKUP($A21,'Incremental Demand for New Gen'!$AG$5:$AQ$53,'Mass Equivalents - States, Opt1'!BP$7-2018,0)</f>
        <v>113681373.08690041</v>
      </c>
      <c r="CP21" s="65">
        <f>BQ21+VLOOKUP($A21,'Incremental Demand for New Gen'!$AG$5:$AQ$53,'Mass Equivalents - States, Opt1'!BQ$7-2018,0)</f>
        <v>114229960.1862061</v>
      </c>
      <c r="CQ21" s="29"/>
      <c r="CR21" s="71">
        <f t="shared" si="14"/>
        <v>84294.040064328845</v>
      </c>
      <c r="CS21" s="72">
        <f t="shared" si="15"/>
        <v>83525.355300503317</v>
      </c>
      <c r="CT21" s="72">
        <f t="shared" si="16"/>
        <v>82740.158476701778</v>
      </c>
      <c r="CU21" s="72">
        <f t="shared" si="17"/>
        <v>82044.301268454277</v>
      </c>
      <c r="CV21" s="72">
        <f t="shared" si="18"/>
        <v>81429.525093242104</v>
      </c>
      <c r="CW21" s="72">
        <f t="shared" si="19"/>
        <v>80888.511891315895</v>
      </c>
      <c r="CX21" s="72">
        <f t="shared" si="20"/>
        <v>80414.737528813726</v>
      </c>
      <c r="CY21" s="72">
        <f t="shared" si="21"/>
        <v>80002.349721084232</v>
      </c>
      <c r="CZ21" s="72">
        <f t="shared" si="22"/>
        <v>79646.065651893878</v>
      </c>
      <c r="DA21" s="72">
        <f t="shared" si="23"/>
        <v>79341.085511534839</v>
      </c>
      <c r="DB21" s="75">
        <f t="shared" si="35"/>
        <v>81432.613050787288</v>
      </c>
      <c r="DC21" s="76">
        <f t="shared" si="36"/>
        <v>79341.085511534839</v>
      </c>
    </row>
    <row r="22" spans="1:107" x14ac:dyDescent="0.25">
      <c r="A22" s="16" t="s">
        <v>56</v>
      </c>
      <c r="B22" s="17">
        <v>2251.3328427000001</v>
      </c>
      <c r="C22" s="17">
        <v>894.23068499999999</v>
      </c>
      <c r="D22" s="17">
        <v>2421.6860683</v>
      </c>
      <c r="E22" s="17">
        <v>0</v>
      </c>
      <c r="F22" s="17">
        <v>33055156</v>
      </c>
      <c r="G22" s="17">
        <v>1437496.0001000001</v>
      </c>
      <c r="H22" s="17">
        <v>305111</v>
      </c>
      <c r="I22" s="17">
        <v>0</v>
      </c>
      <c r="J22" s="17">
        <v>1263.9000000000001</v>
      </c>
      <c r="K22" s="17">
        <v>0</v>
      </c>
      <c r="L22" s="18">
        <f t="shared" si="24"/>
        <v>2116.2528721379999</v>
      </c>
      <c r="M22" s="19">
        <f t="shared" si="37"/>
        <v>26779113.810829978</v>
      </c>
      <c r="N22" s="19">
        <f t="shared" si="38"/>
        <v>247180.86927002086</v>
      </c>
      <c r="O22" s="19">
        <f t="shared" si="2"/>
        <v>7771468.3200000003</v>
      </c>
      <c r="P22" s="19">
        <f t="shared" si="25"/>
        <v>0</v>
      </c>
      <c r="Q22" s="19">
        <f t="shared" si="26"/>
        <v>0</v>
      </c>
      <c r="R22" s="20">
        <f t="shared" si="27"/>
        <v>0.129479675993841</v>
      </c>
      <c r="S22" s="20">
        <f t="shared" si="28"/>
        <v>0.7</v>
      </c>
      <c r="T22" s="21">
        <v>277784.49248620583</v>
      </c>
      <c r="U22" s="22">
        <v>8565920.5484688003</v>
      </c>
      <c r="V22" s="22">
        <v>8565920.5484688003</v>
      </c>
      <c r="W22" s="22">
        <v>8565920.5484688003</v>
      </c>
      <c r="X22" s="22">
        <v>8565920.5484688003</v>
      </c>
      <c r="Y22" s="22">
        <v>8565920.5484688003</v>
      </c>
      <c r="Z22" s="22">
        <v>8565920.5484688003</v>
      </c>
      <c r="AA22" s="22">
        <v>8565920.5484688003</v>
      </c>
      <c r="AB22" s="22">
        <v>8565920.5484688003</v>
      </c>
      <c r="AC22" s="22">
        <v>8565920.5484688003</v>
      </c>
      <c r="AD22" s="22">
        <v>8565920.5484688003</v>
      </c>
      <c r="AE22" s="23">
        <v>4.6458138612440365E-2</v>
      </c>
      <c r="AF22" s="23">
        <v>5.7815701996899123E-2</v>
      </c>
      <c r="AG22" s="23">
        <v>6.821197409508474E-2</v>
      </c>
      <c r="AH22" s="23">
        <v>7.7679294154383863E-2</v>
      </c>
      <c r="AI22" s="23">
        <v>8.6248524613371208E-2</v>
      </c>
      <c r="AJ22" s="23">
        <v>9.3949110781313627E-2</v>
      </c>
      <c r="AK22" s="23">
        <v>0.10080913799186138</v>
      </c>
      <c r="AL22" s="23">
        <v>0.10685538633593043</v>
      </c>
      <c r="AM22" s="23">
        <v>0.11211338307438524</v>
      </c>
      <c r="AN22" s="23">
        <v>0.11660745282691856</v>
      </c>
      <c r="AO22" s="23">
        <v>1.1303387570565711</v>
      </c>
      <c r="AP22" s="24">
        <v>49141853.409999996</v>
      </c>
      <c r="AQ22" s="25">
        <f t="shared" si="3"/>
        <v>1398.3700753170735</v>
      </c>
      <c r="AR22" s="25">
        <f t="shared" si="3"/>
        <v>1381.5794044664328</v>
      </c>
      <c r="AS22" s="25">
        <f t="shared" si="3"/>
        <v>1366.559507859894</v>
      </c>
      <c r="AT22" s="25">
        <f t="shared" si="3"/>
        <v>1353.1630297673184</v>
      </c>
      <c r="AU22" s="25">
        <f t="shared" si="3"/>
        <v>1341.261838859054</v>
      </c>
      <c r="AV22" s="25">
        <f t="shared" si="3"/>
        <v>1330.7442339363813</v>
      </c>
      <c r="AW22" s="25">
        <f t="shared" si="3"/>
        <v>1321.5126407071621</v>
      </c>
      <c r="AX22" s="25">
        <f t="shared" si="3"/>
        <v>1313.4817033658012</v>
      </c>
      <c r="AY22" s="25">
        <f t="shared" si="3"/>
        <v>1306.5766958665138</v>
      </c>
      <c r="AZ22" s="25">
        <f t="shared" si="3"/>
        <v>1300.7321938481659</v>
      </c>
      <c r="BA22" s="26">
        <f t="shared" si="29"/>
        <v>1341.3981323993798</v>
      </c>
      <c r="BB22" s="26">
        <f t="shared" si="30"/>
        <v>1300.7321938481659</v>
      </c>
      <c r="BC22" s="69"/>
      <c r="BD22" s="70"/>
      <c r="BE22" s="79">
        <f t="shared" si="31"/>
        <v>34797763.000100002</v>
      </c>
      <c r="BF22" s="79">
        <f t="shared" si="32"/>
        <v>34673.773445859712</v>
      </c>
      <c r="BG22" s="84"/>
      <c r="BH22" s="63">
        <f>MAX($BE22-VLOOKUP($A22,'RE Generation'!$A$4:$M$52,'Mass Equivalents - States, Opt1'!BH$7-2016,0)-VLOOKUP('Mass Equivalents - States, Opt1'!$A22,'EE Avoided Generation'!$A$4:$K$52,'Mass Equivalents - States, Opt1'!BH$7-2018,0)-VLOOKUP($A22,'Under Construction Nuclear'!$B$5:$D$53,3,0),0)+U22+$T22+VLOOKUP('Mass Equivalents - States, Opt1'!$A22,'EE Avoided Generation'!$A$4:$K$52,'Mass Equivalents - States, Opt1'!BH$7-2018,0)</f>
        <v>43641468.041055009</v>
      </c>
      <c r="BI22" s="64">
        <f>MAX($BE22-VLOOKUP($A22,'RE Generation'!$A$4:$M$52,'Mass Equivalents - States, Opt1'!BI$7-2016,0)-VLOOKUP('Mass Equivalents - States, Opt1'!$A22,'EE Avoided Generation'!$A$4:$K$52,'Mass Equivalents - States, Opt1'!BI$7-2018,0)-VLOOKUP($A22,'Under Construction Nuclear'!$B$5:$D$53,3,0),0)+V22+$T22+VLOOKUP('Mass Equivalents - States, Opt1'!$A22,'EE Avoided Generation'!$A$4:$K$52,'Mass Equivalents - States, Opt1'!BI$7-2018,0)</f>
        <v>43641468.041055009</v>
      </c>
      <c r="BJ22" s="64">
        <f>MAX($BE22-VLOOKUP($A22,'RE Generation'!$A$4:$M$52,'Mass Equivalents - States, Opt1'!BJ$7-2016,0)-VLOOKUP('Mass Equivalents - States, Opt1'!$A22,'EE Avoided Generation'!$A$4:$K$52,'Mass Equivalents - States, Opt1'!BJ$7-2018,0)-VLOOKUP($A22,'Under Construction Nuclear'!$B$5:$D$53,3,0),0)+W22+$T22+VLOOKUP('Mass Equivalents - States, Opt1'!$A22,'EE Avoided Generation'!$A$4:$K$52,'Mass Equivalents - States, Opt1'!BJ$7-2018,0)</f>
        <v>43641468.041055009</v>
      </c>
      <c r="BK22" s="64">
        <f>MAX($BE22-VLOOKUP($A22,'RE Generation'!$A$4:$M$52,'Mass Equivalents - States, Opt1'!BK$7-2016,0)-VLOOKUP('Mass Equivalents - States, Opt1'!$A22,'EE Avoided Generation'!$A$4:$K$52,'Mass Equivalents - States, Opt1'!BK$7-2018,0)-VLOOKUP($A22,'Under Construction Nuclear'!$B$5:$D$53,3,0),0)+X22+$T22+VLOOKUP('Mass Equivalents - States, Opt1'!$A22,'EE Avoided Generation'!$A$4:$K$52,'Mass Equivalents - States, Opt1'!BK$7-2018,0)</f>
        <v>43641468.041055009</v>
      </c>
      <c r="BL22" s="64">
        <f>MAX($BE22-VLOOKUP($A22,'RE Generation'!$A$4:$M$52,'Mass Equivalents - States, Opt1'!BL$7-2016,0)-VLOOKUP('Mass Equivalents - States, Opt1'!$A22,'EE Avoided Generation'!$A$4:$K$52,'Mass Equivalents - States, Opt1'!BL$7-2018,0)-VLOOKUP($A22,'Under Construction Nuclear'!$B$5:$D$53,3,0),0)+Y22+$T22+VLOOKUP('Mass Equivalents - States, Opt1'!$A22,'EE Avoided Generation'!$A$4:$K$52,'Mass Equivalents - States, Opt1'!BL$7-2018,0)</f>
        <v>43641468.041055009</v>
      </c>
      <c r="BM22" s="64">
        <f>MAX($BE22-VLOOKUP($A22,'RE Generation'!$A$4:$M$52,'Mass Equivalents - States, Opt1'!BM$7-2016,0)-VLOOKUP('Mass Equivalents - States, Opt1'!$A22,'EE Avoided Generation'!$A$4:$K$52,'Mass Equivalents - States, Opt1'!BM$7-2018,0)-VLOOKUP($A22,'Under Construction Nuclear'!$B$5:$D$53,3,0),0)+Z22+$T22+VLOOKUP('Mass Equivalents - States, Opt1'!$A22,'EE Avoided Generation'!$A$4:$K$52,'Mass Equivalents - States, Opt1'!BM$7-2018,0)</f>
        <v>43641468.041055009</v>
      </c>
      <c r="BN22" s="64">
        <f>MAX($BE22-VLOOKUP($A22,'RE Generation'!$A$4:$M$52,'Mass Equivalents - States, Opt1'!BN$7-2016,0)-VLOOKUP('Mass Equivalents - States, Opt1'!$A22,'EE Avoided Generation'!$A$4:$K$52,'Mass Equivalents - States, Opt1'!BN$7-2018,0)-VLOOKUP($A22,'Under Construction Nuclear'!$B$5:$D$53,3,0),0)+AA22+$T22+VLOOKUP('Mass Equivalents - States, Opt1'!$A22,'EE Avoided Generation'!$A$4:$K$52,'Mass Equivalents - States, Opt1'!BN$7-2018,0)</f>
        <v>43641468.041055009</v>
      </c>
      <c r="BO22" s="64">
        <f>MAX($BE22-VLOOKUP($A22,'RE Generation'!$A$4:$M$52,'Mass Equivalents - States, Opt1'!BO$7-2016,0)-VLOOKUP('Mass Equivalents - States, Opt1'!$A22,'EE Avoided Generation'!$A$4:$K$52,'Mass Equivalents - States, Opt1'!BO$7-2018,0)-VLOOKUP($A22,'Under Construction Nuclear'!$B$5:$D$53,3,0),0)+AB22+$T22+VLOOKUP('Mass Equivalents - States, Opt1'!$A22,'EE Avoided Generation'!$A$4:$K$52,'Mass Equivalents - States, Opt1'!BO$7-2018,0)</f>
        <v>43641468.041055009</v>
      </c>
      <c r="BP22" s="64">
        <f>MAX($BE22-VLOOKUP($A22,'RE Generation'!$A$4:$M$52,'Mass Equivalents - States, Opt1'!BP$7-2016,0)-VLOOKUP('Mass Equivalents - States, Opt1'!$A22,'EE Avoided Generation'!$A$4:$K$52,'Mass Equivalents - States, Opt1'!BP$7-2018,0)-VLOOKUP($A22,'Under Construction Nuclear'!$B$5:$D$53,3,0),0)+AC22+$T22+VLOOKUP('Mass Equivalents - States, Opt1'!$A22,'EE Avoided Generation'!$A$4:$K$52,'Mass Equivalents - States, Opt1'!BP$7-2018,0)</f>
        <v>43641468.041055009</v>
      </c>
      <c r="BQ22" s="65">
        <f>MAX($BE22-VLOOKUP($A22,'RE Generation'!$A$4:$M$52,'Mass Equivalents - States, Opt1'!BQ$7-2016,0)-VLOOKUP('Mass Equivalents - States, Opt1'!$A22,'EE Avoided Generation'!$A$4:$K$52,'Mass Equivalents - States, Opt1'!BQ$7-2018,0)-VLOOKUP($A22,'Under Construction Nuclear'!$B$5:$D$53,3,0),0)+AD22+$T22+VLOOKUP('Mass Equivalents - States, Opt1'!$A22,'EE Avoided Generation'!$A$4:$K$52,'Mass Equivalents - States, Opt1'!BQ$7-2018,0)</f>
        <v>43641468.041055009</v>
      </c>
      <c r="BR22" s="29"/>
      <c r="BS22" s="71">
        <f t="shared" si="4"/>
        <v>27681.379535483553</v>
      </c>
      <c r="BT22" s="72">
        <f t="shared" si="5"/>
        <v>27349.000474549648</v>
      </c>
      <c r="BU22" s="72">
        <f t="shared" si="6"/>
        <v>27051.674705149835</v>
      </c>
      <c r="BV22" s="72">
        <f t="shared" si="7"/>
        <v>26786.485252754486</v>
      </c>
      <c r="BW22" s="72">
        <f t="shared" si="8"/>
        <v>26550.89569869369</v>
      </c>
      <c r="BX22" s="72">
        <f t="shared" si="9"/>
        <v>26342.69486630477</v>
      </c>
      <c r="BY22" s="72">
        <f t="shared" si="10"/>
        <v>26159.951227545709</v>
      </c>
      <c r="BZ22" s="72">
        <f t="shared" si="11"/>
        <v>26000.975124941764</v>
      </c>
      <c r="CA22" s="72">
        <f t="shared" si="12"/>
        <v>25864.287322008196</v>
      </c>
      <c r="CB22" s="72">
        <f t="shared" si="13"/>
        <v>25748.592713391019</v>
      </c>
      <c r="CC22" s="75">
        <f t="shared" si="33"/>
        <v>26553.593692082264</v>
      </c>
      <c r="CD22" s="76">
        <f t="shared" si="34"/>
        <v>25748.592713391019</v>
      </c>
      <c r="CG22" s="63">
        <f>BH22+VLOOKUP($A22,'Incremental Demand for New Gen'!$AG$5:$AQ$53,'Mass Equivalents - States, Opt1'!BH$7-2018,0)</f>
        <v>45781224.885677263</v>
      </c>
      <c r="CH22" s="64">
        <f>BI22+VLOOKUP($A22,'Incremental Demand for New Gen'!$AG$5:$AQ$53,'Mass Equivalents - States, Opt1'!BI$7-2018,0)</f>
        <v>46055097.401383087</v>
      </c>
      <c r="CI22" s="64">
        <f>BJ22+VLOOKUP($A22,'Incremental Demand for New Gen'!$AG$5:$AQ$53,'Mass Equivalents - States, Opt1'!BJ$7-2018,0)</f>
        <v>46330417.939619906</v>
      </c>
      <c r="CJ22" s="64">
        <f>BK22+VLOOKUP($A22,'Incremental Demand for New Gen'!$AG$5:$AQ$53,'Mass Equivalents - States, Opt1'!BK$7-2018,0)</f>
        <v>46607194.156392366</v>
      </c>
      <c r="CK22" s="64">
        <f>BL22+VLOOKUP($A22,'Incremental Demand for New Gen'!$AG$5:$AQ$53,'Mass Equivalents - States, Opt1'!BL$7-2018,0)</f>
        <v>46885433.748184025</v>
      </c>
      <c r="CL22" s="64">
        <f>BM22+VLOOKUP($A22,'Incremental Demand for New Gen'!$AG$5:$AQ$53,'Mass Equivalents - States, Opt1'!BM$7-2018,0)</f>
        <v>47165144.452171408</v>
      </c>
      <c r="CM22" s="64">
        <f>BN22+VLOOKUP($A22,'Incremental Demand for New Gen'!$AG$5:$AQ$53,'Mass Equivalents - States, Opt1'!BN$7-2018,0)</f>
        <v>47446334.046439163</v>
      </c>
      <c r="CN22" s="64">
        <f>BO22+VLOOKUP($A22,'Incremental Demand for New Gen'!$AG$5:$AQ$53,'Mass Equivalents - States, Opt1'!BO$7-2018,0)</f>
        <v>47729010.350196294</v>
      </c>
      <c r="CO22" s="64">
        <f>BP22+VLOOKUP($A22,'Incremental Demand for New Gen'!$AG$5:$AQ$53,'Mass Equivalents - States, Opt1'!BP$7-2018,0)</f>
        <v>48013181.223993674</v>
      </c>
      <c r="CP22" s="65">
        <f>BQ22+VLOOKUP($A22,'Incremental Demand for New Gen'!$AG$5:$AQ$53,'Mass Equivalents - States, Opt1'!BQ$7-2018,0)</f>
        <v>48298854.569942564</v>
      </c>
      <c r="CQ22" s="29"/>
      <c r="CR22" s="71">
        <f t="shared" si="14"/>
        <v>29038.607511268336</v>
      </c>
      <c r="CS22" s="72">
        <f t="shared" si="15"/>
        <v>28861.560740828991</v>
      </c>
      <c r="CT22" s="72">
        <f t="shared" si="16"/>
        <v>28718.451768790172</v>
      </c>
      <c r="CU22" s="72">
        <f t="shared" si="17"/>
        <v>28606.803917962079</v>
      </c>
      <c r="CV22" s="72">
        <f t="shared" si="18"/>
        <v>28524.48180856277</v>
      </c>
      <c r="CW22" s="72">
        <f t="shared" si="19"/>
        <v>28469.642851150587</v>
      </c>
      <c r="CX22" s="72">
        <f t="shared" si="20"/>
        <v>28440.697352643063</v>
      </c>
      <c r="CY22" s="72">
        <f t="shared" si="21"/>
        <v>28436.275555306489</v>
      </c>
      <c r="CZ22" s="72">
        <f t="shared" si="22"/>
        <v>28455.200298321612</v>
      </c>
      <c r="DA22" s="72">
        <f t="shared" si="23"/>
        <v>28496.46427280661</v>
      </c>
      <c r="DB22" s="75">
        <f t="shared" si="35"/>
        <v>28604.818607764075</v>
      </c>
      <c r="DC22" s="76">
        <f t="shared" si="36"/>
        <v>28496.46427280661</v>
      </c>
    </row>
    <row r="23" spans="1:107" x14ac:dyDescent="0.25">
      <c r="A23" s="16" t="s">
        <v>57</v>
      </c>
      <c r="B23" s="17">
        <v>2363.8496110000001</v>
      </c>
      <c r="C23" s="17">
        <v>0</v>
      </c>
      <c r="D23" s="17">
        <v>1560.4262702000001</v>
      </c>
      <c r="E23" s="17">
        <v>0</v>
      </c>
      <c r="F23" s="17">
        <v>27979593</v>
      </c>
      <c r="G23" s="17">
        <v>0</v>
      </c>
      <c r="H23" s="17">
        <v>1632997</v>
      </c>
      <c r="I23" s="17">
        <v>0</v>
      </c>
      <c r="J23" s="17">
        <v>0</v>
      </c>
      <c r="K23" s="17">
        <v>0</v>
      </c>
      <c r="L23" s="18">
        <f t="shared" si="24"/>
        <v>2222.0186343400001</v>
      </c>
      <c r="M23" s="19">
        <f t="shared" si="37"/>
        <v>27979593</v>
      </c>
      <c r="N23" s="19">
        <f t="shared" si="38"/>
        <v>1632997</v>
      </c>
      <c r="O23" s="19">
        <f t="shared" si="2"/>
        <v>0</v>
      </c>
      <c r="P23" s="19">
        <f t="shared" si="25"/>
        <v>0</v>
      </c>
      <c r="Q23" s="19">
        <f t="shared" si="26"/>
        <v>0</v>
      </c>
      <c r="R23" s="20"/>
      <c r="S23" s="20"/>
      <c r="T23" s="21">
        <v>542728.26516676403</v>
      </c>
      <c r="U23" s="22">
        <v>7238912.608504938</v>
      </c>
      <c r="V23" s="22">
        <v>7843266.6837039823</v>
      </c>
      <c r="W23" s="22">
        <v>8498076.3822767045</v>
      </c>
      <c r="X23" s="22">
        <v>8884938.154000001</v>
      </c>
      <c r="Y23" s="22">
        <v>8884938.154000001</v>
      </c>
      <c r="Z23" s="22">
        <v>8884938.154000001</v>
      </c>
      <c r="AA23" s="22">
        <v>8884938.154000001</v>
      </c>
      <c r="AB23" s="22">
        <v>8884938.154000001</v>
      </c>
      <c r="AC23" s="22">
        <v>8884938.154000001</v>
      </c>
      <c r="AD23" s="22">
        <v>8884938.154000001</v>
      </c>
      <c r="AE23" s="23">
        <v>1.2202151221238364E-2</v>
      </c>
      <c r="AF23" s="23">
        <v>1.9534734610548041E-2</v>
      </c>
      <c r="AG23" s="23">
        <v>2.8295512607355435E-2</v>
      </c>
      <c r="AH23" s="23">
        <v>3.8333184078348397E-2</v>
      </c>
      <c r="AI23" s="23">
        <v>4.9493956101871212E-2</v>
      </c>
      <c r="AJ23" s="23">
        <v>6.0474232447864512E-2</v>
      </c>
      <c r="AK23" s="23">
        <v>7.0501697422929568E-2</v>
      </c>
      <c r="AL23" s="23">
        <v>7.9608983539726272E-2</v>
      </c>
      <c r="AM23" s="23">
        <v>8.7827226156891744E-2</v>
      </c>
      <c r="AN23" s="23">
        <v>9.5186124874907588E-2</v>
      </c>
      <c r="AO23" s="23">
        <v>1.1028009817174655</v>
      </c>
      <c r="AP23" s="24">
        <v>43319516.047600001</v>
      </c>
      <c r="AQ23" s="25">
        <f t="shared" si="3"/>
        <v>1706.606859935637</v>
      </c>
      <c r="AR23" s="25">
        <f t="shared" si="3"/>
        <v>1666.0998329967611</v>
      </c>
      <c r="AS23" s="25">
        <f t="shared" si="3"/>
        <v>1622.887160825361</v>
      </c>
      <c r="AT23" s="25">
        <f t="shared" si="3"/>
        <v>1590.123499099323</v>
      </c>
      <c r="AU23" s="25">
        <f t="shared" si="3"/>
        <v>1571.4563976417621</v>
      </c>
      <c r="AV23" s="25">
        <f t="shared" si="3"/>
        <v>1553.5140098202473</v>
      </c>
      <c r="AW23" s="25">
        <f t="shared" si="3"/>
        <v>1537.4828089401815</v>
      </c>
      <c r="AX23" s="25">
        <f t="shared" si="3"/>
        <v>1523.2067750036558</v>
      </c>
      <c r="AY23" s="25">
        <f t="shared" si="3"/>
        <v>1510.5500194751967</v>
      </c>
      <c r="AZ23" s="25">
        <f t="shared" si="3"/>
        <v>1499.3939005280477</v>
      </c>
      <c r="BA23" s="26">
        <f t="shared" si="29"/>
        <v>1578.1321264266173</v>
      </c>
      <c r="BB23" s="26">
        <f t="shared" si="30"/>
        <v>1499.3939005280477</v>
      </c>
      <c r="BC23" s="69"/>
      <c r="BD23" s="70"/>
      <c r="BE23" s="79">
        <f t="shared" si="31"/>
        <v>29612590</v>
      </c>
      <c r="BF23" s="79">
        <f t="shared" si="32"/>
        <v>31156.263413625078</v>
      </c>
      <c r="BG23" s="84"/>
      <c r="BH23" s="63">
        <f>MAX($BE23-VLOOKUP($A23,'RE Generation'!$A$4:$M$52,'Mass Equivalents - States, Opt1'!BH$7-2016,0)-VLOOKUP('Mass Equivalents - States, Opt1'!$A23,'EE Avoided Generation'!$A$4:$K$52,'Mass Equivalents - States, Opt1'!BH$7-2018,0)-VLOOKUP($A23,'Under Construction Nuclear'!$B$5:$D$53,3,0),0)+U23+$T23+VLOOKUP('Mass Equivalents - States, Opt1'!$A23,'EE Avoided Generation'!$A$4:$K$52,'Mass Equivalents - States, Opt1'!BH$7-2018,0)</f>
        <v>35407971.615166761</v>
      </c>
      <c r="BI23" s="64">
        <f>MAX($BE23-VLOOKUP($A23,'RE Generation'!$A$4:$M$52,'Mass Equivalents - States, Opt1'!BI$7-2016,0)-VLOOKUP('Mass Equivalents - States, Opt1'!$A23,'EE Avoided Generation'!$A$4:$K$52,'Mass Equivalents - States, Opt1'!BI$7-2018,0)-VLOOKUP($A23,'Under Construction Nuclear'!$B$5:$D$53,3,0),0)+V23+$T23+VLOOKUP('Mass Equivalents - States, Opt1'!$A23,'EE Avoided Generation'!$A$4:$K$52,'Mass Equivalents - States, Opt1'!BI$7-2018,0)</f>
        <v>35407971.615166768</v>
      </c>
      <c r="BJ23" s="64">
        <f>MAX($BE23-VLOOKUP($A23,'RE Generation'!$A$4:$M$52,'Mass Equivalents - States, Opt1'!BJ$7-2016,0)-VLOOKUP('Mass Equivalents - States, Opt1'!$A23,'EE Avoided Generation'!$A$4:$K$52,'Mass Equivalents - States, Opt1'!BJ$7-2018,0)-VLOOKUP($A23,'Under Construction Nuclear'!$B$5:$D$53,3,0),0)+W23+$T23+VLOOKUP('Mass Equivalents - States, Opt1'!$A23,'EE Avoided Generation'!$A$4:$K$52,'Mass Equivalents - States, Opt1'!BJ$7-2018,0)</f>
        <v>35407971.615166768</v>
      </c>
      <c r="BK23" s="64">
        <f>MAX($BE23-VLOOKUP($A23,'RE Generation'!$A$4:$M$52,'Mass Equivalents - States, Opt1'!BK$7-2016,0)-VLOOKUP('Mass Equivalents - States, Opt1'!$A23,'EE Avoided Generation'!$A$4:$K$52,'Mass Equivalents - States, Opt1'!BK$7-2018,0)-VLOOKUP($A23,'Under Construction Nuclear'!$B$5:$D$53,3,0),0)+X23+$T23+VLOOKUP('Mass Equivalents - States, Opt1'!$A23,'EE Avoided Generation'!$A$4:$K$52,'Mass Equivalents - States, Opt1'!BK$7-2018,0)</f>
        <v>35407971.615166768</v>
      </c>
      <c r="BL23" s="64">
        <f>MAX($BE23-VLOOKUP($A23,'RE Generation'!$A$4:$M$52,'Mass Equivalents - States, Opt1'!BL$7-2016,0)-VLOOKUP('Mass Equivalents - States, Opt1'!$A23,'EE Avoided Generation'!$A$4:$K$52,'Mass Equivalents - States, Opt1'!BL$7-2018,0)-VLOOKUP($A23,'Under Construction Nuclear'!$B$5:$D$53,3,0),0)+Y23+$T23+VLOOKUP('Mass Equivalents - States, Opt1'!$A23,'EE Avoided Generation'!$A$4:$K$52,'Mass Equivalents - States, Opt1'!BL$7-2018,0)</f>
        <v>35407971.615166768</v>
      </c>
      <c r="BM23" s="64">
        <f>MAX($BE23-VLOOKUP($A23,'RE Generation'!$A$4:$M$52,'Mass Equivalents - States, Opt1'!BM$7-2016,0)-VLOOKUP('Mass Equivalents - States, Opt1'!$A23,'EE Avoided Generation'!$A$4:$K$52,'Mass Equivalents - States, Opt1'!BM$7-2018,0)-VLOOKUP($A23,'Under Construction Nuclear'!$B$5:$D$53,3,0),0)+Z23+$T23+VLOOKUP('Mass Equivalents - States, Opt1'!$A23,'EE Avoided Generation'!$A$4:$K$52,'Mass Equivalents - States, Opt1'!BM$7-2018,0)</f>
        <v>35407971.615166761</v>
      </c>
      <c r="BN23" s="64">
        <f>MAX($BE23-VLOOKUP($A23,'RE Generation'!$A$4:$M$52,'Mass Equivalents - States, Opt1'!BN$7-2016,0)-VLOOKUP('Mass Equivalents - States, Opt1'!$A23,'EE Avoided Generation'!$A$4:$K$52,'Mass Equivalents - States, Opt1'!BN$7-2018,0)-VLOOKUP($A23,'Under Construction Nuclear'!$B$5:$D$53,3,0),0)+AA23+$T23+VLOOKUP('Mass Equivalents - States, Opt1'!$A23,'EE Avoided Generation'!$A$4:$K$52,'Mass Equivalents - States, Opt1'!BN$7-2018,0)</f>
        <v>35407971.615166761</v>
      </c>
      <c r="BO23" s="64">
        <f>MAX($BE23-VLOOKUP($A23,'RE Generation'!$A$4:$M$52,'Mass Equivalents - States, Opt1'!BO$7-2016,0)-VLOOKUP('Mass Equivalents - States, Opt1'!$A23,'EE Avoided Generation'!$A$4:$K$52,'Mass Equivalents - States, Opt1'!BO$7-2018,0)-VLOOKUP($A23,'Under Construction Nuclear'!$B$5:$D$53,3,0),0)+AB23+$T23+VLOOKUP('Mass Equivalents - States, Opt1'!$A23,'EE Avoided Generation'!$A$4:$K$52,'Mass Equivalents - States, Opt1'!BO$7-2018,0)</f>
        <v>35407971.615166761</v>
      </c>
      <c r="BP23" s="64">
        <f>MAX($BE23-VLOOKUP($A23,'RE Generation'!$A$4:$M$52,'Mass Equivalents - States, Opt1'!BP$7-2016,0)-VLOOKUP('Mass Equivalents - States, Opt1'!$A23,'EE Avoided Generation'!$A$4:$K$52,'Mass Equivalents - States, Opt1'!BP$7-2018,0)-VLOOKUP($A23,'Under Construction Nuclear'!$B$5:$D$53,3,0),0)+AC23+$T23+VLOOKUP('Mass Equivalents - States, Opt1'!$A23,'EE Avoided Generation'!$A$4:$K$52,'Mass Equivalents - States, Opt1'!BP$7-2018,0)</f>
        <v>35407971.615166768</v>
      </c>
      <c r="BQ23" s="65">
        <f>MAX($BE23-VLOOKUP($A23,'RE Generation'!$A$4:$M$52,'Mass Equivalents - States, Opt1'!BQ$7-2016,0)-VLOOKUP('Mass Equivalents - States, Opt1'!$A23,'EE Avoided Generation'!$A$4:$K$52,'Mass Equivalents - States, Opt1'!BQ$7-2018,0)-VLOOKUP($A23,'Under Construction Nuclear'!$B$5:$D$53,3,0),0)+AD23+$T23+VLOOKUP('Mass Equivalents - States, Opt1'!$A23,'EE Avoided Generation'!$A$4:$K$52,'Mass Equivalents - States, Opt1'!BQ$7-2018,0)</f>
        <v>35407971.615166761</v>
      </c>
      <c r="BR23" s="29"/>
      <c r="BS23" s="71">
        <f t="shared" si="4"/>
        <v>27409.479753812408</v>
      </c>
      <c r="BT23" s="72">
        <f t="shared" si="5"/>
        <v>26758.904298601763</v>
      </c>
      <c r="BU23" s="72">
        <f t="shared" si="6"/>
        <v>26064.87400328536</v>
      </c>
      <c r="BV23" s="72">
        <f t="shared" si="7"/>
        <v>25538.663225734366</v>
      </c>
      <c r="BW23" s="72">
        <f t="shared" si="8"/>
        <v>25238.854551882749</v>
      </c>
      <c r="BX23" s="72">
        <f t="shared" si="9"/>
        <v>24950.68536232059</v>
      </c>
      <c r="BY23" s="72">
        <f t="shared" si="10"/>
        <v>24693.211373280115</v>
      </c>
      <c r="BZ23" s="72">
        <f t="shared" si="11"/>
        <v>24463.926778020315</v>
      </c>
      <c r="CA23" s="72">
        <f t="shared" si="12"/>
        <v>24260.649097289956</v>
      </c>
      <c r="CB23" s="72">
        <f t="shared" si="13"/>
        <v>24081.47284786099</v>
      </c>
      <c r="CC23" s="75">
        <f t="shared" si="33"/>
        <v>25346.072129208864</v>
      </c>
      <c r="CD23" s="76">
        <f t="shared" si="34"/>
        <v>24081.47284786099</v>
      </c>
      <c r="CG23" s="63">
        <f>BH23+VLOOKUP($A23,'Incremental Demand for New Gen'!$AG$5:$AQ$53,'Mass Equivalents - States, Opt1'!BH$7-2018,0)</f>
        <v>37176499.260786332</v>
      </c>
      <c r="CH23" s="64">
        <f>BI23+VLOOKUP($A23,'Incremental Demand for New Gen'!$AG$5:$AQ$53,'Mass Equivalents - States, Opt1'!BI$7-2018,0)</f>
        <v>37402581.398591064</v>
      </c>
      <c r="CI23" s="64">
        <f>BJ23+VLOOKUP($A23,'Incremental Demand for New Gen'!$AG$5:$AQ$53,'Mass Equivalents - States, Opt1'!BJ$7-2018,0)</f>
        <v>37629796.925108492</v>
      </c>
      <c r="CJ23" s="64">
        <f>BK23+VLOOKUP($A23,'Incremental Demand for New Gen'!$AG$5:$AQ$53,'Mass Equivalents - States, Opt1'!BK$7-2018,0)</f>
        <v>37858151.522211529</v>
      </c>
      <c r="CK23" s="64">
        <f>BL23+VLOOKUP($A23,'Incremental Demand for New Gen'!$AG$5:$AQ$53,'Mass Equivalents - States, Opt1'!BL$7-2018,0)</f>
        <v>38087650.900257289</v>
      </c>
      <c r="CL23" s="64">
        <f>BM23+VLOOKUP($A23,'Incremental Demand for New Gen'!$AG$5:$AQ$53,'Mass Equivalents - States, Opt1'!BM$7-2018,0)</f>
        <v>38318300.798229888</v>
      </c>
      <c r="CM23" s="64">
        <f>BN23+VLOOKUP($A23,'Incremental Demand for New Gen'!$AG$5:$AQ$53,'Mass Equivalents - States, Opt1'!BN$7-2018,0)</f>
        <v>38550106.983883984</v>
      </c>
      <c r="CN23" s="64">
        <f>BO23+VLOOKUP($A23,'Incremental Demand for New Gen'!$AG$5:$AQ$53,'Mass Equivalents - States, Opt1'!BO$7-2018,0)</f>
        <v>38783075.25388895</v>
      </c>
      <c r="CO23" s="64">
        <f>BP23+VLOOKUP($A23,'Incremental Demand for New Gen'!$AG$5:$AQ$53,'Mass Equivalents - States, Opt1'!BP$7-2018,0)</f>
        <v>39017211.433973886</v>
      </c>
      <c r="CP23" s="65">
        <f>BQ23+VLOOKUP($A23,'Incremental Demand for New Gen'!$AG$5:$AQ$53,'Mass Equivalents - States, Opt1'!BQ$7-2018,0)</f>
        <v>39252521.379073232</v>
      </c>
      <c r="CQ23" s="29"/>
      <c r="CR23" s="71">
        <f t="shared" si="14"/>
        <v>28778.505441686139</v>
      </c>
      <c r="CS23" s="72">
        <f t="shared" si="15"/>
        <v>28266.292885776387</v>
      </c>
      <c r="CT23" s="72">
        <f t="shared" si="16"/>
        <v>27700.426510792891</v>
      </c>
      <c r="CU23" s="72">
        <f t="shared" si="17"/>
        <v>27305.901410642815</v>
      </c>
      <c r="CV23" s="72">
        <f t="shared" si="18"/>
        <v>27148.933910767089</v>
      </c>
      <c r="CW23" s="72">
        <f t="shared" si="19"/>
        <v>27001.48647955498</v>
      </c>
      <c r="CX23" s="72">
        <f t="shared" si="20"/>
        <v>26884.509244462293</v>
      </c>
      <c r="CY23" s="72">
        <f t="shared" si="21"/>
        <v>26795.839184167922</v>
      </c>
      <c r="CZ23" s="72">
        <f t="shared" si="22"/>
        <v>26733.609189546103</v>
      </c>
      <c r="DA23" s="72">
        <f t="shared" si="23"/>
        <v>26696.206664245627</v>
      </c>
      <c r="DB23" s="75">
        <f t="shared" si="35"/>
        <v>27331.171092164226</v>
      </c>
      <c r="DC23" s="76">
        <f t="shared" si="36"/>
        <v>26696.206664245627</v>
      </c>
    </row>
    <row r="24" spans="1:107" x14ac:dyDescent="0.25">
      <c r="A24" s="16" t="s">
        <v>58</v>
      </c>
      <c r="B24" s="17">
        <v>2166.3264045000001</v>
      </c>
      <c r="C24" s="17">
        <v>0</v>
      </c>
      <c r="D24" s="17">
        <v>0</v>
      </c>
      <c r="E24" s="17">
        <v>0</v>
      </c>
      <c r="F24" s="17">
        <v>84358283</v>
      </c>
      <c r="G24" s="17">
        <v>0</v>
      </c>
      <c r="H24" s="17">
        <v>0</v>
      </c>
      <c r="I24" s="17">
        <v>0</v>
      </c>
      <c r="J24" s="17">
        <v>0</v>
      </c>
      <c r="K24" s="17">
        <v>640</v>
      </c>
      <c r="L24" s="18">
        <f t="shared" si="24"/>
        <v>2036.34682023</v>
      </c>
      <c r="M24" s="19">
        <f t="shared" si="37"/>
        <v>83515019</v>
      </c>
      <c r="N24" s="19">
        <f t="shared" si="38"/>
        <v>0</v>
      </c>
      <c r="O24" s="19">
        <f t="shared" si="2"/>
        <v>843264</v>
      </c>
      <c r="P24" s="19">
        <f>0.55*8784*907*K24+E24</f>
        <v>2804414976</v>
      </c>
      <c r="Q24" s="19">
        <f t="shared" si="26"/>
        <v>3091968.0000000005</v>
      </c>
      <c r="R24" s="20"/>
      <c r="S24" s="20"/>
      <c r="T24" s="21"/>
      <c r="U24" s="22">
        <v>551117.60800162517</v>
      </c>
      <c r="V24" s="22">
        <v>625149.10274459934</v>
      </c>
      <c r="W24" s="22">
        <v>709125.23023801693</v>
      </c>
      <c r="X24" s="22">
        <v>804381.85058958677</v>
      </c>
      <c r="Y24" s="22">
        <v>912434.26967159729</v>
      </c>
      <c r="Z24" s="22">
        <v>1035001.3440269917</v>
      </c>
      <c r="AA24" s="22">
        <v>1174032.8237816351</v>
      </c>
      <c r="AB24" s="22">
        <v>1331740.3685233609</v>
      </c>
      <c r="AC24" s="22">
        <v>1510632.729536535</v>
      </c>
      <c r="AD24" s="22">
        <v>1713555.6580576627</v>
      </c>
      <c r="AE24" s="23">
        <v>1.9098155139177377E-2</v>
      </c>
      <c r="AF24" s="23">
        <v>2.7766631172219353E-2</v>
      </c>
      <c r="AG24" s="23">
        <v>3.7692858540208533E-2</v>
      </c>
      <c r="AH24" s="23">
        <v>4.8722240471866421E-2</v>
      </c>
      <c r="AI24" s="23">
        <v>5.9597739467634629E-2</v>
      </c>
      <c r="AJ24" s="23">
        <v>6.9503450308202555E-2</v>
      </c>
      <c r="AK24" s="23">
        <v>7.847692350865107E-2</v>
      </c>
      <c r="AL24" s="23">
        <v>8.6553943038222211E-2</v>
      </c>
      <c r="AM24" s="23">
        <v>9.3768604827720994E-2</v>
      </c>
      <c r="AN24" s="23">
        <v>0.10015339173226456</v>
      </c>
      <c r="AO24" s="23">
        <v>0.97179777525598399</v>
      </c>
      <c r="AP24" s="24">
        <v>95736031.598999992</v>
      </c>
      <c r="AQ24" s="25">
        <f>(($L24*$M24)+($N24*$D24)+(907*$O24)+$P24)/($M24+$N24+$O24+$Q24+$T24+U24+(MIN(AE24*$AP24,$AP24*$AO24*AE24)))</f>
        <v>1934.0421877472327</v>
      </c>
      <c r="AR24" s="25">
        <f t="shared" ref="AR24:AZ24" si="39">(($L24*$M24)+($N24*$D24)+(907*$O24)+$P24)/($M24+$N24+$O24+$Q24+$T24+V24+(MIN(AF24*$AP24,$AP24*$AO24*AF24)))</f>
        <v>1915.2580212961911</v>
      </c>
      <c r="AS24" s="25">
        <f t="shared" si="39"/>
        <v>1894.208039929928</v>
      </c>
      <c r="AT24" s="25">
        <f t="shared" si="39"/>
        <v>1871.3155304426718</v>
      </c>
      <c r="AU24" s="25">
        <f t="shared" si="39"/>
        <v>1848.9996944168099</v>
      </c>
      <c r="AV24" s="25">
        <f t="shared" si="39"/>
        <v>1828.6667727792476</v>
      </c>
      <c r="AW24" s="25">
        <f t="shared" si="39"/>
        <v>1810.1011422120071</v>
      </c>
      <c r="AX24" s="25">
        <f t="shared" si="39"/>
        <v>1793.1064520852276</v>
      </c>
      <c r="AY24" s="25">
        <f t="shared" si="39"/>
        <v>1777.501675398423</v>
      </c>
      <c r="AZ24" s="25">
        <f t="shared" si="39"/>
        <v>1763.11768826295</v>
      </c>
      <c r="BA24" s="26">
        <f t="shared" si="29"/>
        <v>1843.6317204570689</v>
      </c>
      <c r="BB24" s="26">
        <f t="shared" si="30"/>
        <v>1763.11768826295</v>
      </c>
      <c r="BC24" s="69"/>
      <c r="BD24" s="70"/>
      <c r="BE24" s="79">
        <f t="shared" si="31"/>
        <v>87450251</v>
      </c>
      <c r="BF24" s="79">
        <f t="shared" si="32"/>
        <v>82893.004645328212</v>
      </c>
      <c r="BG24" s="84"/>
      <c r="BH24" s="63">
        <f>MAX($BE24-VLOOKUP($A24,'RE Generation'!$A$4:$M$52,'Mass Equivalents - States, Opt1'!BH$7-2016,0)-VLOOKUP('Mass Equivalents - States, Opt1'!$A24,'EE Avoided Generation'!$A$4:$K$52,'Mass Equivalents - States, Opt1'!BH$7-2018,0)-VLOOKUP($A24,'Under Construction Nuclear'!$B$5:$D$53,3,0),0)+U24+$T24+VLOOKUP('Mass Equivalents - States, Opt1'!$A24,'EE Avoided Generation'!$A$4:$K$52,'Mass Equivalents - States, Opt1'!BH$7-2018,0)</f>
        <v>87783130.449999988</v>
      </c>
      <c r="BI24" s="64">
        <f>MAX($BE24-VLOOKUP($A24,'RE Generation'!$A$4:$M$52,'Mass Equivalents - States, Opt1'!BI$7-2016,0)-VLOOKUP('Mass Equivalents - States, Opt1'!$A24,'EE Avoided Generation'!$A$4:$K$52,'Mass Equivalents - States, Opt1'!BI$7-2018,0)-VLOOKUP($A24,'Under Construction Nuclear'!$B$5:$D$53,3,0),0)+V24+$T24+VLOOKUP('Mass Equivalents - States, Opt1'!$A24,'EE Avoided Generation'!$A$4:$K$52,'Mass Equivalents - States, Opt1'!BI$7-2018,0)</f>
        <v>87783130.449999988</v>
      </c>
      <c r="BJ24" s="64">
        <f>MAX($BE24-VLOOKUP($A24,'RE Generation'!$A$4:$M$52,'Mass Equivalents - States, Opt1'!BJ$7-2016,0)-VLOOKUP('Mass Equivalents - States, Opt1'!$A24,'EE Avoided Generation'!$A$4:$K$52,'Mass Equivalents - States, Opt1'!BJ$7-2018,0)-VLOOKUP($A24,'Under Construction Nuclear'!$B$5:$D$53,3,0),0)+W24+$T24+VLOOKUP('Mass Equivalents - States, Opt1'!$A24,'EE Avoided Generation'!$A$4:$K$52,'Mass Equivalents - States, Opt1'!BJ$7-2018,0)</f>
        <v>87783130.450000003</v>
      </c>
      <c r="BK24" s="64">
        <f>MAX($BE24-VLOOKUP($A24,'RE Generation'!$A$4:$M$52,'Mass Equivalents - States, Opt1'!BK$7-2016,0)-VLOOKUP('Mass Equivalents - States, Opt1'!$A24,'EE Avoided Generation'!$A$4:$K$52,'Mass Equivalents - States, Opt1'!BK$7-2018,0)-VLOOKUP($A24,'Under Construction Nuclear'!$B$5:$D$53,3,0),0)+X24+$T24+VLOOKUP('Mass Equivalents - States, Opt1'!$A24,'EE Avoided Generation'!$A$4:$K$52,'Mass Equivalents - States, Opt1'!BK$7-2018,0)</f>
        <v>87783130.450000003</v>
      </c>
      <c r="BL24" s="64">
        <f>MAX($BE24-VLOOKUP($A24,'RE Generation'!$A$4:$M$52,'Mass Equivalents - States, Opt1'!BL$7-2016,0)-VLOOKUP('Mass Equivalents - States, Opt1'!$A24,'EE Avoided Generation'!$A$4:$K$52,'Mass Equivalents - States, Opt1'!BL$7-2018,0)-VLOOKUP($A24,'Under Construction Nuclear'!$B$5:$D$53,3,0),0)+Y24+$T24+VLOOKUP('Mass Equivalents - States, Opt1'!$A24,'EE Avoided Generation'!$A$4:$K$52,'Mass Equivalents - States, Opt1'!BL$7-2018,0)</f>
        <v>87783130.450000003</v>
      </c>
      <c r="BM24" s="64">
        <f>MAX($BE24-VLOOKUP($A24,'RE Generation'!$A$4:$M$52,'Mass Equivalents - States, Opt1'!BM$7-2016,0)-VLOOKUP('Mass Equivalents - States, Opt1'!$A24,'EE Avoided Generation'!$A$4:$K$52,'Mass Equivalents - States, Opt1'!BM$7-2018,0)-VLOOKUP($A24,'Under Construction Nuclear'!$B$5:$D$53,3,0),0)+Z24+$T24+VLOOKUP('Mass Equivalents - States, Opt1'!$A24,'EE Avoided Generation'!$A$4:$K$52,'Mass Equivalents - States, Opt1'!BM$7-2018,0)</f>
        <v>87783130.450000003</v>
      </c>
      <c r="BN24" s="64">
        <f>MAX($BE24-VLOOKUP($A24,'RE Generation'!$A$4:$M$52,'Mass Equivalents - States, Opt1'!BN$7-2016,0)-VLOOKUP('Mass Equivalents - States, Opt1'!$A24,'EE Avoided Generation'!$A$4:$K$52,'Mass Equivalents - States, Opt1'!BN$7-2018,0)-VLOOKUP($A24,'Under Construction Nuclear'!$B$5:$D$53,3,0),0)+AA24+$T24+VLOOKUP('Mass Equivalents - States, Opt1'!$A24,'EE Avoided Generation'!$A$4:$K$52,'Mass Equivalents - States, Opt1'!BN$7-2018,0)</f>
        <v>87783130.450000003</v>
      </c>
      <c r="BO24" s="64">
        <f>MAX($BE24-VLOOKUP($A24,'RE Generation'!$A$4:$M$52,'Mass Equivalents - States, Opt1'!BO$7-2016,0)-VLOOKUP('Mass Equivalents - States, Opt1'!$A24,'EE Avoided Generation'!$A$4:$K$52,'Mass Equivalents - States, Opt1'!BO$7-2018,0)-VLOOKUP($A24,'Under Construction Nuclear'!$B$5:$D$53,3,0),0)+AB24+$T24+VLOOKUP('Mass Equivalents - States, Opt1'!$A24,'EE Avoided Generation'!$A$4:$K$52,'Mass Equivalents - States, Opt1'!BO$7-2018,0)</f>
        <v>87783130.450000003</v>
      </c>
      <c r="BP24" s="64">
        <f>MAX($BE24-VLOOKUP($A24,'RE Generation'!$A$4:$M$52,'Mass Equivalents - States, Opt1'!BP$7-2016,0)-VLOOKUP('Mass Equivalents - States, Opt1'!$A24,'EE Avoided Generation'!$A$4:$K$52,'Mass Equivalents - States, Opt1'!BP$7-2018,0)-VLOOKUP($A24,'Under Construction Nuclear'!$B$5:$D$53,3,0),0)+AC24+$T24+VLOOKUP('Mass Equivalents - States, Opt1'!$A24,'EE Avoided Generation'!$A$4:$K$52,'Mass Equivalents - States, Opt1'!BP$7-2018,0)</f>
        <v>87783130.450000003</v>
      </c>
      <c r="BQ24" s="65">
        <f>MAX($BE24-VLOOKUP($A24,'RE Generation'!$A$4:$M$52,'Mass Equivalents - States, Opt1'!BQ$7-2016,0)-VLOOKUP('Mass Equivalents - States, Opt1'!$A24,'EE Avoided Generation'!$A$4:$K$52,'Mass Equivalents - States, Opt1'!BQ$7-2018,0)-VLOOKUP($A24,'Under Construction Nuclear'!$B$5:$D$53,3,0),0)+AD24+$T24+VLOOKUP('Mass Equivalents - States, Opt1'!$A24,'EE Avoided Generation'!$A$4:$K$52,'Mass Equivalents - States, Opt1'!BQ$7-2018,0)</f>
        <v>87783130.450000003</v>
      </c>
      <c r="BR24" s="29"/>
      <c r="BS24" s="71">
        <f t="shared" si="4"/>
        <v>77009.315738230944</v>
      </c>
      <c r="BT24" s="72">
        <f t="shared" si="5"/>
        <v>76261.371451248924</v>
      </c>
      <c r="BU24" s="72">
        <f t="shared" si="6"/>
        <v>75423.207386582566</v>
      </c>
      <c r="BV24" s="72">
        <f t="shared" si="7"/>
        <v>74511.677895492219</v>
      </c>
      <c r="BW24" s="72">
        <f t="shared" si="8"/>
        <v>73623.110276147811</v>
      </c>
      <c r="BX24" s="72">
        <f t="shared" si="9"/>
        <v>72813.497956319552</v>
      </c>
      <c r="BY24" s="72">
        <f t="shared" si="10"/>
        <v>72074.255288662287</v>
      </c>
      <c r="BZ24" s="72">
        <f t="shared" si="11"/>
        <v>71397.564021978498</v>
      </c>
      <c r="CA24" s="72">
        <f t="shared" si="12"/>
        <v>70776.216058365317</v>
      </c>
      <c r="CB24" s="72">
        <f t="shared" si="13"/>
        <v>70203.47725571254</v>
      </c>
      <c r="CC24" s="75">
        <f t="shared" si="33"/>
        <v>73409.369332874048</v>
      </c>
      <c r="CD24" s="76">
        <f t="shared" si="34"/>
        <v>70203.47725571254</v>
      </c>
      <c r="CG24" s="63">
        <f>BH24+VLOOKUP($A24,'Incremental Demand for New Gen'!$AG$5:$AQ$53,'Mass Equivalents - States, Opt1'!BH$7-2018,0)</f>
        <v>92688824.452137813</v>
      </c>
      <c r="CH24" s="64">
        <f>BI24+VLOOKUP($A24,'Incremental Demand for New Gen'!$AG$5:$AQ$53,'Mass Equivalents - States, Opt1'!BI$7-2018,0)</f>
        <v>93733154.932596505</v>
      </c>
      <c r="CI24" s="64">
        <f>BJ24+VLOOKUP($A24,'Incremental Demand for New Gen'!$AG$5:$AQ$53,'Mass Equivalents - States, Opt1'!BJ$7-2018,0)</f>
        <v>94787978.176661432</v>
      </c>
      <c r="CJ24" s="64">
        <f>BK24+VLOOKUP($A24,'Incremental Demand for New Gen'!$AG$5:$AQ$53,'Mass Equivalents - States, Opt1'!BK$7-2018,0)</f>
        <v>95853399.608898953</v>
      </c>
      <c r="CK24" s="64">
        <f>BL24+VLOOKUP($A24,'Incremental Demand for New Gen'!$AG$5:$AQ$53,'Mass Equivalents - States, Opt1'!BL$7-2018,0)</f>
        <v>96929525.713113993</v>
      </c>
      <c r="CL24" s="64">
        <f>BM24+VLOOKUP($A24,'Incremental Demand for New Gen'!$AG$5:$AQ$53,'Mass Equivalents - States, Opt1'!BM$7-2018,0)</f>
        <v>98016464.042992547</v>
      </c>
      <c r="CM24" s="64">
        <f>BN24+VLOOKUP($A24,'Incremental Demand for New Gen'!$AG$5:$AQ$53,'Mass Equivalents - States, Opt1'!BN$7-2018,0)</f>
        <v>99114323.232851088</v>
      </c>
      <c r="CN24" s="64">
        <f>BO24+VLOOKUP($A24,'Incremental Demand for New Gen'!$AG$5:$AQ$53,'Mass Equivalents - States, Opt1'!BO$7-2018,0)</f>
        <v>100223213.00849414</v>
      </c>
      <c r="CO24" s="64">
        <f>BP24+VLOOKUP($A24,'Incremental Demand for New Gen'!$AG$5:$AQ$53,'Mass Equivalents - States, Opt1'!BP$7-2018,0)</f>
        <v>101343244.19818082</v>
      </c>
      <c r="CP24" s="65">
        <f>BQ24+VLOOKUP($A24,'Incremental Demand for New Gen'!$AG$5:$AQ$53,'Mass Equivalents - States, Opt1'!BQ$7-2018,0)</f>
        <v>102474528.74370155</v>
      </c>
      <c r="CQ24" s="29"/>
      <c r="CR24" s="71">
        <f t="shared" si="14"/>
        <v>81312.923235356575</v>
      </c>
      <c r="CS24" s="72">
        <f t="shared" si="15"/>
        <v>81430.440096730556</v>
      </c>
      <c r="CT24" s="72">
        <f t="shared" si="16"/>
        <v>81441.76790146812</v>
      </c>
      <c r="CU24" s="72">
        <f t="shared" si="17"/>
        <v>81361.847091045231</v>
      </c>
      <c r="CV24" s="72">
        <f t="shared" si="18"/>
        <v>81294.129339076171</v>
      </c>
      <c r="CW24" s="72">
        <f t="shared" si="19"/>
        <v>81301.7440559971</v>
      </c>
      <c r="CX24" s="72">
        <f t="shared" si="20"/>
        <v>81377.720284381809</v>
      </c>
      <c r="CY24" s="72">
        <f t="shared" si="21"/>
        <v>81515.585404397571</v>
      </c>
      <c r="CZ24" s="72">
        <f t="shared" si="22"/>
        <v>81709.2226109615</v>
      </c>
      <c r="DA24" s="72">
        <f t="shared" si="23"/>
        <v>81952.742070937529</v>
      </c>
      <c r="DB24" s="75">
        <f t="shared" si="35"/>
        <v>81469.812209035226</v>
      </c>
      <c r="DC24" s="76">
        <f t="shared" si="36"/>
        <v>81952.742070937529</v>
      </c>
    </row>
    <row r="25" spans="1:107" x14ac:dyDescent="0.25">
      <c r="A25" s="16" t="s">
        <v>59</v>
      </c>
      <c r="B25" s="17">
        <v>2323.2195671999998</v>
      </c>
      <c r="C25" s="17">
        <v>766.29985739999995</v>
      </c>
      <c r="D25" s="17">
        <v>1581.2103032</v>
      </c>
      <c r="E25" s="17">
        <v>3267065650.0531979</v>
      </c>
      <c r="F25" s="17">
        <v>24300393</v>
      </c>
      <c r="G25" s="17">
        <v>19771182.009100001</v>
      </c>
      <c r="H25" s="17">
        <v>14254748</v>
      </c>
      <c r="I25" s="17">
        <v>5223728.3741199002</v>
      </c>
      <c r="J25" s="17">
        <v>6508.4</v>
      </c>
      <c r="K25" s="17">
        <v>0</v>
      </c>
      <c r="L25" s="18">
        <f t="shared" si="24"/>
        <v>2183.8263931679999</v>
      </c>
      <c r="M25" s="19">
        <f t="shared" si="37"/>
        <v>11538767.058381507</v>
      </c>
      <c r="N25" s="19">
        <f t="shared" si="38"/>
        <v>6768706.0307185017</v>
      </c>
      <c r="O25" s="19">
        <f t="shared" si="2"/>
        <v>40018849.919999994</v>
      </c>
      <c r="P25" s="19">
        <f t="shared" si="25"/>
        <v>3267065650.0531979</v>
      </c>
      <c r="Q25" s="19">
        <f t="shared" si="26"/>
        <v>5223728.3741199002</v>
      </c>
      <c r="R25" s="20">
        <f t="shared" si="27"/>
        <v>0.34583271218529815</v>
      </c>
      <c r="S25" s="20">
        <f t="shared" si="28"/>
        <v>0.7</v>
      </c>
      <c r="T25" s="21">
        <v>985225.01242613397</v>
      </c>
      <c r="U25" s="22">
        <v>3348948.0774409864</v>
      </c>
      <c r="V25" s="22">
        <v>3628541.2328899889</v>
      </c>
      <c r="W25" s="22">
        <v>3931476.7426443659</v>
      </c>
      <c r="X25" s="22">
        <v>4259703.3865433186</v>
      </c>
      <c r="Y25" s="22">
        <v>4615332.6419334197</v>
      </c>
      <c r="Z25" s="22">
        <v>5000652.2667724481</v>
      </c>
      <c r="AA25" s="22">
        <v>5418141.0167438947</v>
      </c>
      <c r="AB25" s="22">
        <v>5870484.5910571301</v>
      </c>
      <c r="AC25" s="22">
        <v>6360592.9095123401</v>
      </c>
      <c r="AD25" s="22">
        <v>6891618.831973345</v>
      </c>
      <c r="AE25" s="23">
        <v>1.1375467552923934E-2</v>
      </c>
      <c r="AF25" s="23">
        <v>1.8504370938637004E-2</v>
      </c>
      <c r="AG25" s="23">
        <v>2.7058013700924182E-2</v>
      </c>
      <c r="AH25" s="23">
        <v>3.6883833822775193E-2</v>
      </c>
      <c r="AI25" s="23">
        <v>4.7827391089439654E-2</v>
      </c>
      <c r="AJ25" s="23">
        <v>5.8789903099980348E-2</v>
      </c>
      <c r="AK25" s="23">
        <v>6.8780532230988511E-2</v>
      </c>
      <c r="AL25" s="23">
        <v>7.7836674771267433E-2</v>
      </c>
      <c r="AM25" s="23">
        <v>8.5993971490029353E-2</v>
      </c>
      <c r="AN25" s="23">
        <v>9.3286385312307207E-2</v>
      </c>
      <c r="AO25" s="23">
        <v>0.90079198851709141</v>
      </c>
      <c r="AP25" s="24">
        <v>91094021.7993</v>
      </c>
      <c r="AQ25" s="25">
        <f t="shared" si="3"/>
        <v>1014.7819306724076</v>
      </c>
      <c r="AR25" s="25">
        <f t="shared" si="3"/>
        <v>1002.1912323963659</v>
      </c>
      <c r="AS25" s="25">
        <f t="shared" si="3"/>
        <v>987.94503579143395</v>
      </c>
      <c r="AT25" s="25">
        <f t="shared" si="3"/>
        <v>972.33933926507052</v>
      </c>
      <c r="AU25" s="25">
        <f t="shared" si="3"/>
        <v>955.65862343691367</v>
      </c>
      <c r="AV25" s="25">
        <f t="shared" si="3"/>
        <v>939.1457877784095</v>
      </c>
      <c r="AW25" s="25">
        <f t="shared" si="3"/>
        <v>923.77496218704107</v>
      </c>
      <c r="AX25" s="25">
        <f t="shared" si="3"/>
        <v>909.39422023701707</v>
      </c>
      <c r="AY25" s="25">
        <f t="shared" si="3"/>
        <v>895.86779918207844</v>
      </c>
      <c r="AZ25" s="25">
        <f t="shared" si="3"/>
        <v>883.07331730358283</v>
      </c>
      <c r="BA25" s="26">
        <f t="shared" si="29"/>
        <v>948.41722482503189</v>
      </c>
      <c r="BB25" s="26">
        <f t="shared" si="30"/>
        <v>883.07331730358283</v>
      </c>
      <c r="BC25" s="69"/>
      <c r="BD25" s="70"/>
      <c r="BE25" s="79">
        <f t="shared" si="31"/>
        <v>63550051.383219905</v>
      </c>
      <c r="BF25" s="79">
        <f t="shared" si="32"/>
        <v>44185.674864432636</v>
      </c>
      <c r="BG25" s="84"/>
      <c r="BH25" s="63">
        <f>MAX($BE25-VLOOKUP($A25,'RE Generation'!$A$4:$M$52,'Mass Equivalents - States, Opt1'!BH$7-2016,0)-VLOOKUP('Mass Equivalents - States, Opt1'!$A25,'EE Avoided Generation'!$A$4:$K$52,'Mass Equivalents - States, Opt1'!BH$7-2018,0)-VLOOKUP($A25,'Under Construction Nuclear'!$B$5:$D$53,3,0),0)+U25+$T25+VLOOKUP('Mass Equivalents - States, Opt1'!$A25,'EE Avoided Generation'!$A$4:$K$52,'Mass Equivalents - States, Opt1'!BH$7-2018,0)</f>
        <v>66965318.625646032</v>
      </c>
      <c r="BI25" s="64">
        <f>MAX($BE25-VLOOKUP($A25,'RE Generation'!$A$4:$M$52,'Mass Equivalents - States, Opt1'!BI$7-2016,0)-VLOOKUP('Mass Equivalents - States, Opt1'!$A25,'EE Avoided Generation'!$A$4:$K$52,'Mass Equivalents - States, Opt1'!BI$7-2018,0)-VLOOKUP($A25,'Under Construction Nuclear'!$B$5:$D$53,3,0),0)+V25+$T25+VLOOKUP('Mass Equivalents - States, Opt1'!$A25,'EE Avoided Generation'!$A$4:$K$52,'Mass Equivalents - States, Opt1'!BI$7-2018,0)</f>
        <v>66965318.625646032</v>
      </c>
      <c r="BJ25" s="64">
        <f>MAX($BE25-VLOOKUP($A25,'RE Generation'!$A$4:$M$52,'Mass Equivalents - States, Opt1'!BJ$7-2016,0)-VLOOKUP('Mass Equivalents - States, Opt1'!$A25,'EE Avoided Generation'!$A$4:$K$52,'Mass Equivalents - States, Opt1'!BJ$7-2018,0)-VLOOKUP($A25,'Under Construction Nuclear'!$B$5:$D$53,3,0),0)+W25+$T25+VLOOKUP('Mass Equivalents - States, Opt1'!$A25,'EE Avoided Generation'!$A$4:$K$52,'Mass Equivalents - States, Opt1'!BJ$7-2018,0)</f>
        <v>66965318.62564604</v>
      </c>
      <c r="BK25" s="64">
        <f>MAX($BE25-VLOOKUP($A25,'RE Generation'!$A$4:$M$52,'Mass Equivalents - States, Opt1'!BK$7-2016,0)-VLOOKUP('Mass Equivalents - States, Opt1'!$A25,'EE Avoided Generation'!$A$4:$K$52,'Mass Equivalents - States, Opt1'!BK$7-2018,0)-VLOOKUP($A25,'Under Construction Nuclear'!$B$5:$D$53,3,0),0)+X25+$T25+VLOOKUP('Mass Equivalents - States, Opt1'!$A25,'EE Avoided Generation'!$A$4:$K$52,'Mass Equivalents - States, Opt1'!BK$7-2018,0)</f>
        <v>66965318.625646032</v>
      </c>
      <c r="BL25" s="64">
        <f>MAX($BE25-VLOOKUP($A25,'RE Generation'!$A$4:$M$52,'Mass Equivalents - States, Opt1'!BL$7-2016,0)-VLOOKUP('Mass Equivalents - States, Opt1'!$A25,'EE Avoided Generation'!$A$4:$K$52,'Mass Equivalents - States, Opt1'!BL$7-2018,0)-VLOOKUP($A25,'Under Construction Nuclear'!$B$5:$D$53,3,0),0)+Y25+$T25+VLOOKUP('Mass Equivalents - States, Opt1'!$A25,'EE Avoided Generation'!$A$4:$K$52,'Mass Equivalents - States, Opt1'!BL$7-2018,0)</f>
        <v>66965318.625646032</v>
      </c>
      <c r="BM25" s="64">
        <f>MAX($BE25-VLOOKUP($A25,'RE Generation'!$A$4:$M$52,'Mass Equivalents - States, Opt1'!BM$7-2016,0)-VLOOKUP('Mass Equivalents - States, Opt1'!$A25,'EE Avoided Generation'!$A$4:$K$52,'Mass Equivalents - States, Opt1'!BM$7-2018,0)-VLOOKUP($A25,'Under Construction Nuclear'!$B$5:$D$53,3,0),0)+Z25+$T25+VLOOKUP('Mass Equivalents - States, Opt1'!$A25,'EE Avoided Generation'!$A$4:$K$52,'Mass Equivalents - States, Opt1'!BM$7-2018,0)</f>
        <v>66965318.62564604</v>
      </c>
      <c r="BN25" s="64">
        <f>MAX($BE25-VLOOKUP($A25,'RE Generation'!$A$4:$M$52,'Mass Equivalents - States, Opt1'!BN$7-2016,0)-VLOOKUP('Mass Equivalents - States, Opt1'!$A25,'EE Avoided Generation'!$A$4:$K$52,'Mass Equivalents - States, Opt1'!BN$7-2018,0)-VLOOKUP($A25,'Under Construction Nuclear'!$B$5:$D$53,3,0),0)+AA25+$T25+VLOOKUP('Mass Equivalents - States, Opt1'!$A25,'EE Avoided Generation'!$A$4:$K$52,'Mass Equivalents - States, Opt1'!BN$7-2018,0)</f>
        <v>66965318.625646032</v>
      </c>
      <c r="BO25" s="64">
        <f>MAX($BE25-VLOOKUP($A25,'RE Generation'!$A$4:$M$52,'Mass Equivalents - States, Opt1'!BO$7-2016,0)-VLOOKUP('Mass Equivalents - States, Opt1'!$A25,'EE Avoided Generation'!$A$4:$K$52,'Mass Equivalents - States, Opt1'!BO$7-2018,0)-VLOOKUP($A25,'Under Construction Nuclear'!$B$5:$D$53,3,0),0)+AB25+$T25+VLOOKUP('Mass Equivalents - States, Opt1'!$A25,'EE Avoided Generation'!$A$4:$K$52,'Mass Equivalents - States, Opt1'!BO$7-2018,0)</f>
        <v>66965318.625646032</v>
      </c>
      <c r="BP25" s="64">
        <f>MAX($BE25-VLOOKUP($A25,'RE Generation'!$A$4:$M$52,'Mass Equivalents - States, Opt1'!BP$7-2016,0)-VLOOKUP('Mass Equivalents - States, Opt1'!$A25,'EE Avoided Generation'!$A$4:$K$52,'Mass Equivalents - States, Opt1'!BP$7-2018,0)-VLOOKUP($A25,'Under Construction Nuclear'!$B$5:$D$53,3,0),0)+AC25+$T25+VLOOKUP('Mass Equivalents - States, Opt1'!$A25,'EE Avoided Generation'!$A$4:$K$52,'Mass Equivalents - States, Opt1'!BP$7-2018,0)</f>
        <v>66965318.62564604</v>
      </c>
      <c r="BQ25" s="65">
        <f>MAX($BE25-VLOOKUP($A25,'RE Generation'!$A$4:$M$52,'Mass Equivalents - States, Opt1'!BQ$7-2016,0)-VLOOKUP('Mass Equivalents - States, Opt1'!$A25,'EE Avoided Generation'!$A$4:$K$52,'Mass Equivalents - States, Opt1'!BQ$7-2018,0)-VLOOKUP($A25,'Under Construction Nuclear'!$B$5:$D$53,3,0),0)+AD25+$T25+VLOOKUP('Mass Equivalents - States, Opt1'!$A25,'EE Avoided Generation'!$A$4:$K$52,'Mass Equivalents - States, Opt1'!BQ$7-2018,0)</f>
        <v>66965318.625646032</v>
      </c>
      <c r="BR25" s="29"/>
      <c r="BS25" s="71">
        <f t="shared" si="4"/>
        <v>30823.994757838547</v>
      </c>
      <c r="BT25" s="72">
        <f t="shared" si="5"/>
        <v>30441.552376940934</v>
      </c>
      <c r="BU25" s="72">
        <f t="shared" si="6"/>
        <v>30008.82424472184</v>
      </c>
      <c r="BV25" s="72">
        <f t="shared" si="7"/>
        <v>29534.801310945008</v>
      </c>
      <c r="BW25" s="72">
        <f t="shared" si="8"/>
        <v>29028.124672641636</v>
      </c>
      <c r="BX25" s="72">
        <f t="shared" si="9"/>
        <v>28526.547393434947</v>
      </c>
      <c r="BY25" s="72">
        <f t="shared" si="10"/>
        <v>28059.658662830476</v>
      </c>
      <c r="BZ25" s="72">
        <f t="shared" si="11"/>
        <v>27622.843716600943</v>
      </c>
      <c r="CA25" s="72">
        <f t="shared" si="12"/>
        <v>27211.978762183131</v>
      </c>
      <c r="CB25" s="72">
        <f t="shared" si="13"/>
        <v>26823.346455643441</v>
      </c>
      <c r="CC25" s="75">
        <f t="shared" si="33"/>
        <v>28808.167235378089</v>
      </c>
      <c r="CD25" s="76">
        <f t="shared" si="34"/>
        <v>26823.346455643441</v>
      </c>
      <c r="CG25" s="63">
        <f>BH25+VLOOKUP($A25,'Incremental Demand for New Gen'!$AG$5:$AQ$53,'Mass Equivalents - States, Opt1'!BH$7-2018,0)</f>
        <v>73747586.852231339</v>
      </c>
      <c r="CH25" s="64">
        <f>BI25+VLOOKUP($A25,'Incremental Demand for New Gen'!$AG$5:$AQ$53,'Mass Equivalents - States, Opt1'!BI$7-2018,0)</f>
        <v>74630130.422810316</v>
      </c>
      <c r="CI25" s="64">
        <f>BJ25+VLOOKUP($A25,'Incremental Demand for New Gen'!$AG$5:$AQ$53,'Mass Equivalents - States, Opt1'!BJ$7-2018,0)</f>
        <v>75520631.826218516</v>
      </c>
      <c r="CJ25" s="64">
        <f>BK25+VLOOKUP($A25,'Incremental Demand for New Gen'!$AG$5:$AQ$53,'Mass Equivalents - States, Opt1'!BK$7-2018,0)</f>
        <v>76419162.817670569</v>
      </c>
      <c r="CK25" s="64">
        <f>BL25+VLOOKUP($A25,'Incremental Demand for New Gen'!$AG$5:$AQ$53,'Mass Equivalents - States, Opt1'!BL$7-2018,0)</f>
        <v>77325795.799392819</v>
      </c>
      <c r="CL25" s="64">
        <f>BM25+VLOOKUP($A25,'Incremental Demand for New Gen'!$AG$5:$AQ$53,'Mass Equivalents - States, Opt1'!BM$7-2018,0)</f>
        <v>78240603.826457322</v>
      </c>
      <c r="CM25" s="64">
        <f>BN25+VLOOKUP($A25,'Incremental Demand for New Gen'!$AG$5:$AQ$53,'Mass Equivalents - States, Opt1'!BN$7-2018,0)</f>
        <v>79163660.612668574</v>
      </c>
      <c r="CN25" s="64">
        <f>BO25+VLOOKUP($A25,'Incremental Demand for New Gen'!$AG$5:$AQ$53,'Mass Equivalents - States, Opt1'!BO$7-2018,0)</f>
        <v>80095040.536503181</v>
      </c>
      <c r="CO25" s="64">
        <f>BP25+VLOOKUP($A25,'Incremental Demand for New Gen'!$AG$5:$AQ$53,'Mass Equivalents - States, Opt1'!BP$7-2018,0)</f>
        <v>81034818.64710325</v>
      </c>
      <c r="CP25" s="65">
        <f>BQ25+VLOOKUP($A25,'Incremental Demand for New Gen'!$AG$5:$AQ$53,'Mass Equivalents - States, Opt1'!BQ$7-2018,0)</f>
        <v>81983070.670323625</v>
      </c>
      <c r="CQ25" s="29"/>
      <c r="CR25" s="71">
        <f t="shared" si="14"/>
        <v>33945.858500938208</v>
      </c>
      <c r="CS25" s="72">
        <f t="shared" si="15"/>
        <v>33925.874927351557</v>
      </c>
      <c r="CT25" s="72">
        <f t="shared" si="16"/>
        <v>33842.672801909248</v>
      </c>
      <c r="CU25" s="72">
        <f t="shared" si="17"/>
        <v>33704.383649483199</v>
      </c>
      <c r="CV25" s="72">
        <f t="shared" si="18"/>
        <v>33519.184063381275</v>
      </c>
      <c r="CW25" s="72">
        <f t="shared" si="19"/>
        <v>33329.704673302753</v>
      </c>
      <c r="CX25" s="72">
        <f t="shared" si="20"/>
        <v>33170.980753624513</v>
      </c>
      <c r="CY25" s="72">
        <f t="shared" si="21"/>
        <v>33038.785338763861</v>
      </c>
      <c r="CZ25" s="72">
        <f t="shared" si="22"/>
        <v>32929.250681976591</v>
      </c>
      <c r="DA25" s="72">
        <f t="shared" si="23"/>
        <v>32838.794068627132</v>
      </c>
      <c r="DB25" s="75">
        <f t="shared" si="35"/>
        <v>33424.548945935836</v>
      </c>
      <c r="DC25" s="76">
        <f t="shared" si="36"/>
        <v>32838.794068627132</v>
      </c>
    </row>
    <row r="26" spans="1:107" x14ac:dyDescent="0.25">
      <c r="A26" s="16" t="s">
        <v>60</v>
      </c>
      <c r="B26" s="17">
        <v>0</v>
      </c>
      <c r="C26" s="17">
        <v>847.59208590000003</v>
      </c>
      <c r="D26" s="17">
        <v>2635.1274653999999</v>
      </c>
      <c r="E26" s="17">
        <v>0</v>
      </c>
      <c r="F26" s="17">
        <v>0</v>
      </c>
      <c r="G26" s="17">
        <v>4053378.0000999998</v>
      </c>
      <c r="H26" s="17">
        <v>59067</v>
      </c>
      <c r="I26" s="17">
        <v>0</v>
      </c>
      <c r="J26" s="17">
        <v>1388.6</v>
      </c>
      <c r="K26" s="17">
        <v>0</v>
      </c>
      <c r="L26" s="18">
        <f t="shared" si="24"/>
        <v>0</v>
      </c>
      <c r="M26" s="19">
        <f t="shared" si="37"/>
        <v>0</v>
      </c>
      <c r="N26" s="19">
        <f t="shared" si="38"/>
        <v>0</v>
      </c>
      <c r="O26" s="19">
        <f t="shared" si="2"/>
        <v>4112445.0000999998</v>
      </c>
      <c r="P26" s="19">
        <f t="shared" si="25"/>
        <v>0</v>
      </c>
      <c r="Q26" s="19">
        <f t="shared" si="26"/>
        <v>0</v>
      </c>
      <c r="R26" s="20">
        <f t="shared" si="27"/>
        <v>0.33231321951851234</v>
      </c>
      <c r="S26" s="20">
        <f t="shared" si="28"/>
        <v>0.33715578414900466</v>
      </c>
      <c r="T26" s="21"/>
      <c r="U26" s="22">
        <v>3611728.4319631737</v>
      </c>
      <c r="V26" s="22">
        <v>3611728.4319631737</v>
      </c>
      <c r="W26" s="22">
        <v>3611728.4319631737</v>
      </c>
      <c r="X26" s="22">
        <v>3611728.4319631737</v>
      </c>
      <c r="Y26" s="22">
        <v>3611728.4319631737</v>
      </c>
      <c r="Z26" s="22">
        <v>3611728.4319631737</v>
      </c>
      <c r="AA26" s="22">
        <v>3611728.4319631737</v>
      </c>
      <c r="AB26" s="22">
        <v>3611728.4319631737</v>
      </c>
      <c r="AC26" s="22">
        <v>3611728.4319631737</v>
      </c>
      <c r="AD26" s="22">
        <v>3611728.4319631737</v>
      </c>
      <c r="AE26" s="23">
        <v>5.3736007062315301E-2</v>
      </c>
      <c r="AF26" s="23">
        <v>6.4714739161627025E-2</v>
      </c>
      <c r="AG26" s="23">
        <v>7.4768049126363714E-2</v>
      </c>
      <c r="AH26" s="23">
        <v>8.3922056188356853E-2</v>
      </c>
      <c r="AI26" s="23">
        <v>9.2201681659859827E-2</v>
      </c>
      <c r="AJ26" s="23">
        <v>9.9630691656382706E-2</v>
      </c>
      <c r="AK26" s="23">
        <v>0.10623173809645967</v>
      </c>
      <c r="AL26" s="23">
        <v>0.11202639804365881</v>
      </c>
      <c r="AM26" s="23">
        <v>0.11703521145358933</v>
      </c>
      <c r="AN26" s="23">
        <v>0.12127771738620828</v>
      </c>
      <c r="AO26" s="23">
        <v>1.3252080576650536</v>
      </c>
      <c r="AP26" s="24">
        <v>12429294.5309</v>
      </c>
      <c r="AQ26" s="25">
        <f t="shared" si="3"/>
        <v>415.35332005989289</v>
      </c>
      <c r="AR26" s="25">
        <f t="shared" si="3"/>
        <v>408.70759958124916</v>
      </c>
      <c r="AS26" s="25">
        <f t="shared" si="3"/>
        <v>402.80590007440549</v>
      </c>
      <c r="AT26" s="25">
        <f t="shared" si="3"/>
        <v>397.57845602840376</v>
      </c>
      <c r="AU26" s="25">
        <f t="shared" si="3"/>
        <v>392.96583460395601</v>
      </c>
      <c r="AV26" s="25">
        <f t="shared" si="3"/>
        <v>388.91725731789103</v>
      </c>
      <c r="AW26" s="25">
        <f t="shared" si="3"/>
        <v>385.38925317750244</v>
      </c>
      <c r="AX26" s="25">
        <f t="shared" si="3"/>
        <v>382.34457098973024</v>
      </c>
      <c r="AY26" s="25">
        <f t="shared" si="3"/>
        <v>379.75129624808994</v>
      </c>
      <c r="AZ26" s="25">
        <f t="shared" si="3"/>
        <v>377.58213098950591</v>
      </c>
      <c r="BA26" s="26">
        <f t="shared" si="29"/>
        <v>393.13956190706267</v>
      </c>
      <c r="BB26" s="26">
        <f t="shared" si="30"/>
        <v>377.58213098950591</v>
      </c>
      <c r="BC26" s="69"/>
      <c r="BD26" s="70"/>
      <c r="BE26" s="79">
        <f t="shared" si="31"/>
        <v>4112445.0000999998</v>
      </c>
      <c r="BF26" s="79">
        <f t="shared" si="32"/>
        <v>1628.9701572355832</v>
      </c>
      <c r="BG26" s="84"/>
      <c r="BH26" s="63">
        <f>MAX($BE26-VLOOKUP($A26,'RE Generation'!$A$4:$M$52,'Mass Equivalents - States, Opt1'!BH$7-2016,0)-VLOOKUP('Mass Equivalents - States, Opt1'!$A26,'EE Avoided Generation'!$A$4:$K$52,'Mass Equivalents - States, Opt1'!BH$7-2018,0)-VLOOKUP($A26,'Under Construction Nuclear'!$B$5:$D$53,3,0),0)+U26+$T26+VLOOKUP('Mass Equivalents - States, Opt1'!$A26,'EE Avoided Generation'!$A$4:$K$52,'Mass Equivalents - States, Opt1'!BH$7-2018,0)</f>
        <v>7724173.4320631735</v>
      </c>
      <c r="BI26" s="64">
        <f>MAX($BE26-VLOOKUP($A26,'RE Generation'!$A$4:$M$52,'Mass Equivalents - States, Opt1'!BI$7-2016,0)-VLOOKUP('Mass Equivalents - States, Opt1'!$A26,'EE Avoided Generation'!$A$4:$K$52,'Mass Equivalents - States, Opt1'!BI$7-2018,0)-VLOOKUP($A26,'Under Construction Nuclear'!$B$5:$D$53,3,0),0)+V26+$T26+VLOOKUP('Mass Equivalents - States, Opt1'!$A26,'EE Avoided Generation'!$A$4:$K$52,'Mass Equivalents - States, Opt1'!BI$7-2018,0)</f>
        <v>7724173.4320631735</v>
      </c>
      <c r="BJ26" s="64">
        <f>MAX($BE26-VLOOKUP($A26,'RE Generation'!$A$4:$M$52,'Mass Equivalents - States, Opt1'!BJ$7-2016,0)-VLOOKUP('Mass Equivalents - States, Opt1'!$A26,'EE Avoided Generation'!$A$4:$K$52,'Mass Equivalents - States, Opt1'!BJ$7-2018,0)-VLOOKUP($A26,'Under Construction Nuclear'!$B$5:$D$53,3,0),0)+W26+$T26+VLOOKUP('Mass Equivalents - States, Opt1'!$A26,'EE Avoided Generation'!$A$4:$K$52,'Mass Equivalents - States, Opt1'!BJ$7-2018,0)</f>
        <v>7724173.4320631744</v>
      </c>
      <c r="BK26" s="64">
        <f>MAX($BE26-VLOOKUP($A26,'RE Generation'!$A$4:$M$52,'Mass Equivalents - States, Opt1'!BK$7-2016,0)-VLOOKUP('Mass Equivalents - States, Opt1'!$A26,'EE Avoided Generation'!$A$4:$K$52,'Mass Equivalents - States, Opt1'!BK$7-2018,0)-VLOOKUP($A26,'Under Construction Nuclear'!$B$5:$D$53,3,0),0)+X26+$T26+VLOOKUP('Mass Equivalents - States, Opt1'!$A26,'EE Avoided Generation'!$A$4:$K$52,'Mass Equivalents - States, Opt1'!BK$7-2018,0)</f>
        <v>7724173.4320631735</v>
      </c>
      <c r="BL26" s="64">
        <f>MAX($BE26-VLOOKUP($A26,'RE Generation'!$A$4:$M$52,'Mass Equivalents - States, Opt1'!BL$7-2016,0)-VLOOKUP('Mass Equivalents - States, Opt1'!$A26,'EE Avoided Generation'!$A$4:$K$52,'Mass Equivalents - States, Opt1'!BL$7-2018,0)-VLOOKUP($A26,'Under Construction Nuclear'!$B$5:$D$53,3,0),0)+Y26+$T26+VLOOKUP('Mass Equivalents - States, Opt1'!$A26,'EE Avoided Generation'!$A$4:$K$52,'Mass Equivalents - States, Opt1'!BL$7-2018,0)</f>
        <v>7724173.4320631735</v>
      </c>
      <c r="BM26" s="64">
        <f>MAX($BE26-VLOOKUP($A26,'RE Generation'!$A$4:$M$52,'Mass Equivalents - States, Opt1'!BM$7-2016,0)-VLOOKUP('Mass Equivalents - States, Opt1'!$A26,'EE Avoided Generation'!$A$4:$K$52,'Mass Equivalents - States, Opt1'!BM$7-2018,0)-VLOOKUP($A26,'Under Construction Nuclear'!$B$5:$D$53,3,0),0)+Z26+$T26+VLOOKUP('Mass Equivalents - States, Opt1'!$A26,'EE Avoided Generation'!$A$4:$K$52,'Mass Equivalents - States, Opt1'!BM$7-2018,0)</f>
        <v>7724173.4320631735</v>
      </c>
      <c r="BN26" s="64">
        <f>MAX($BE26-VLOOKUP($A26,'RE Generation'!$A$4:$M$52,'Mass Equivalents - States, Opt1'!BN$7-2016,0)-VLOOKUP('Mass Equivalents - States, Opt1'!$A26,'EE Avoided Generation'!$A$4:$K$52,'Mass Equivalents - States, Opt1'!BN$7-2018,0)-VLOOKUP($A26,'Under Construction Nuclear'!$B$5:$D$53,3,0),0)+AA26+$T26+VLOOKUP('Mass Equivalents - States, Opt1'!$A26,'EE Avoided Generation'!$A$4:$K$52,'Mass Equivalents - States, Opt1'!BN$7-2018,0)</f>
        <v>7724173.4320631735</v>
      </c>
      <c r="BO26" s="64">
        <f>MAX($BE26-VLOOKUP($A26,'RE Generation'!$A$4:$M$52,'Mass Equivalents - States, Opt1'!BO$7-2016,0)-VLOOKUP('Mass Equivalents - States, Opt1'!$A26,'EE Avoided Generation'!$A$4:$K$52,'Mass Equivalents - States, Opt1'!BO$7-2018,0)-VLOOKUP($A26,'Under Construction Nuclear'!$B$5:$D$53,3,0),0)+AB26+$T26+VLOOKUP('Mass Equivalents - States, Opt1'!$A26,'EE Avoided Generation'!$A$4:$K$52,'Mass Equivalents - States, Opt1'!BO$7-2018,0)</f>
        <v>7724173.4320631735</v>
      </c>
      <c r="BP26" s="64">
        <f>MAX($BE26-VLOOKUP($A26,'RE Generation'!$A$4:$M$52,'Mass Equivalents - States, Opt1'!BP$7-2016,0)-VLOOKUP('Mass Equivalents - States, Opt1'!$A26,'EE Avoided Generation'!$A$4:$K$52,'Mass Equivalents - States, Opt1'!BP$7-2018,0)-VLOOKUP($A26,'Under Construction Nuclear'!$B$5:$D$53,3,0),0)+AC26+$T26+VLOOKUP('Mass Equivalents - States, Opt1'!$A26,'EE Avoided Generation'!$A$4:$K$52,'Mass Equivalents - States, Opt1'!BP$7-2018,0)</f>
        <v>7724173.4320631735</v>
      </c>
      <c r="BQ26" s="65">
        <f>MAX($BE26-VLOOKUP($A26,'RE Generation'!$A$4:$M$52,'Mass Equivalents - States, Opt1'!BQ$7-2016,0)-VLOOKUP('Mass Equivalents - States, Opt1'!$A26,'EE Avoided Generation'!$A$4:$K$52,'Mass Equivalents - States, Opt1'!BQ$7-2018,0)-VLOOKUP($A26,'Under Construction Nuclear'!$B$5:$D$53,3,0),0)+AD26+$T26+VLOOKUP('Mass Equivalents - States, Opt1'!$A26,'EE Avoided Generation'!$A$4:$K$52,'Mass Equivalents - States, Opt1'!BQ$7-2018,0)</f>
        <v>7724173.4320631735</v>
      </c>
      <c r="BR26" s="29"/>
      <c r="BS26" s="71">
        <f t="shared" si="4"/>
        <v>1455.2444773819782</v>
      </c>
      <c r="BT26" s="72">
        <f t="shared" si="5"/>
        <v>1431.9603297474389</v>
      </c>
      <c r="BU26" s="72">
        <f t="shared" si="6"/>
        <v>1411.2829565335599</v>
      </c>
      <c r="BV26" s="72">
        <f t="shared" si="7"/>
        <v>1392.9679251822506</v>
      </c>
      <c r="BW26" s="72">
        <f t="shared" si="8"/>
        <v>1376.8070049969647</v>
      </c>
      <c r="BX26" s="72">
        <f t="shared" si="9"/>
        <v>1362.6222869454741</v>
      </c>
      <c r="BY26" s="72">
        <f t="shared" si="10"/>
        <v>1350.2614647405594</v>
      </c>
      <c r="BZ26" s="72">
        <f t="shared" si="11"/>
        <v>1339.5940239735041</v>
      </c>
      <c r="CA26" s="72">
        <f t="shared" si="12"/>
        <v>1330.5081480123779</v>
      </c>
      <c r="CB26" s="72">
        <f t="shared" si="13"/>
        <v>1322.9081948866192</v>
      </c>
      <c r="CC26" s="75">
        <f t="shared" si="33"/>
        <v>1377.4156812400727</v>
      </c>
      <c r="CD26" s="76">
        <f t="shared" si="34"/>
        <v>1322.9081948866192</v>
      </c>
      <c r="CG26" s="63">
        <f>BH26+VLOOKUP($A26,'Incremental Demand for New Gen'!$AG$5:$AQ$53,'Mass Equivalents - States, Opt1'!BH$7-2018,0)</f>
        <v>8020764.4218692407</v>
      </c>
      <c r="CH26" s="64">
        <f>BI26+VLOOKUP($A26,'Incremental Demand for New Gen'!$AG$5:$AQ$53,'Mass Equivalents - States, Opt1'!BI$7-2018,0)</f>
        <v>8058323.0653066756</v>
      </c>
      <c r="CI26" s="64">
        <f>BJ26+VLOOKUP($A26,'Incremental Demand for New Gen'!$AG$5:$AQ$53,'Mass Equivalents - States, Opt1'!BJ$7-2018,0)</f>
        <v>8095990.4770037839</v>
      </c>
      <c r="CJ26" s="64">
        <f>BK26+VLOOKUP($A26,'Incremental Demand for New Gen'!$AG$5:$AQ$53,'Mass Equivalents - States, Opt1'!BK$7-2018,0)</f>
        <v>8133766.9719488956</v>
      </c>
      <c r="CK26" s="64">
        <f>BL26+VLOOKUP($A26,'Incremental Demand for New Gen'!$AG$5:$AQ$53,'Mass Equivalents - States, Opt1'!BL$7-2018,0)</f>
        <v>8171652.8660425302</v>
      </c>
      <c r="CL26" s="64">
        <f>BM26+VLOOKUP($A26,'Incremental Demand for New Gen'!$AG$5:$AQ$53,'Mass Equivalents - States, Opt1'!BM$7-2018,0)</f>
        <v>8209648.4761000453</v>
      </c>
      <c r="CM26" s="64">
        <f>BN26+VLOOKUP($A26,'Incremental Demand for New Gen'!$AG$5:$AQ$53,'Mass Equivalents - States, Opt1'!BN$7-2018,0)</f>
        <v>8247754.1198542807</v>
      </c>
      <c r="CN26" s="64">
        <f>BO26+VLOOKUP($A26,'Incremental Demand for New Gen'!$AG$5:$AQ$53,'Mass Equivalents - States, Opt1'!BO$7-2018,0)</f>
        <v>8285970.1159582166</v>
      </c>
      <c r="CO26" s="64">
        <f>BP26+VLOOKUP($A26,'Incremental Demand for New Gen'!$AG$5:$AQ$53,'Mass Equivalents - States, Opt1'!BP$7-2018,0)</f>
        <v>8324296.7839876423</v>
      </c>
      <c r="CP26" s="65">
        <f>BQ26+VLOOKUP($A26,'Incremental Demand for New Gen'!$AG$5:$AQ$53,'Mass Equivalents - States, Opt1'!BQ$7-2018,0)</f>
        <v>8362734.444443821</v>
      </c>
      <c r="CQ26" s="29"/>
      <c r="CR26" s="71">
        <f t="shared" si="14"/>
        <v>1511.1226116254306</v>
      </c>
      <c r="CS26" s="72">
        <f t="shared" si="15"/>
        <v>1493.9072840996205</v>
      </c>
      <c r="CT26" s="72">
        <f t="shared" si="16"/>
        <v>1479.2176116896901</v>
      </c>
      <c r="CU26" s="72">
        <f t="shared" si="17"/>
        <v>1466.833519791287</v>
      </c>
      <c r="CV26" s="72">
        <f t="shared" si="18"/>
        <v>1456.5686551869314</v>
      </c>
      <c r="CW26" s="72">
        <f t="shared" si="19"/>
        <v>1448.2649930005323</v>
      </c>
      <c r="CX26" s="72">
        <f t="shared" si="20"/>
        <v>1441.7885171332523</v>
      </c>
      <c r="CY26" s="72">
        <f t="shared" si="21"/>
        <v>1437.0257410437034</v>
      </c>
      <c r="CZ26" s="72">
        <f t="shared" si="22"/>
        <v>1433.8808928854469</v>
      </c>
      <c r="DA26" s="72">
        <f t="shared" si="23"/>
        <v>1432.2736310259547</v>
      </c>
      <c r="DB26" s="75">
        <f t="shared" si="35"/>
        <v>1460.088345748185</v>
      </c>
      <c r="DC26" s="76">
        <f t="shared" si="36"/>
        <v>1432.2736310259547</v>
      </c>
    </row>
    <row r="27" spans="1:107" x14ac:dyDescent="0.25">
      <c r="A27" s="16" t="s">
        <v>61</v>
      </c>
      <c r="B27" s="17">
        <v>2157.9958127</v>
      </c>
      <c r="C27" s="17">
        <v>975.17739540000002</v>
      </c>
      <c r="D27" s="17">
        <v>1544.2413833000001</v>
      </c>
      <c r="E27" s="17">
        <v>48214762.492757589</v>
      </c>
      <c r="F27" s="17">
        <v>16297835</v>
      </c>
      <c r="G27" s="17">
        <v>676555.59400000004</v>
      </c>
      <c r="H27" s="17">
        <v>2892354</v>
      </c>
      <c r="I27" s="17">
        <v>20917.47183750011</v>
      </c>
      <c r="J27" s="17">
        <v>288.8</v>
      </c>
      <c r="K27" s="17">
        <v>0</v>
      </c>
      <c r="L27" s="18">
        <f t="shared" si="24"/>
        <v>2028.5160639379999</v>
      </c>
      <c r="M27" s="19">
        <f t="shared" si="37"/>
        <v>15364291.766884193</v>
      </c>
      <c r="N27" s="19">
        <f t="shared" si="38"/>
        <v>2726679.3871158077</v>
      </c>
      <c r="O27" s="19">
        <f t="shared" si="2"/>
        <v>1775773.44</v>
      </c>
      <c r="P27" s="19">
        <f t="shared" si="25"/>
        <v>48214762.492757589</v>
      </c>
      <c r="Q27" s="19">
        <f t="shared" si="26"/>
        <v>20917.47183750011</v>
      </c>
      <c r="R27" s="20">
        <f t="shared" si="27"/>
        <v>0.26669444712496659</v>
      </c>
      <c r="S27" s="20">
        <f t="shared" si="28"/>
        <v>0.7</v>
      </c>
      <c r="T27" s="21">
        <v>787533.354986666</v>
      </c>
      <c r="U27" s="22">
        <v>1697994.5225357746</v>
      </c>
      <c r="V27" s="22">
        <v>1991053.089595275</v>
      </c>
      <c r="W27" s="22">
        <v>2334690.9268391752</v>
      </c>
      <c r="X27" s="22">
        <v>2737637.5609216713</v>
      </c>
      <c r="Y27" s="22">
        <v>3210129.1562030497</v>
      </c>
      <c r="Z27" s="22">
        <v>3764168.5468530674</v>
      </c>
      <c r="AA27" s="22">
        <v>4413830.1481542345</v>
      </c>
      <c r="AB27" s="22">
        <v>5175617.4927508356</v>
      </c>
      <c r="AC27" s="22">
        <v>5982068.5757632507</v>
      </c>
      <c r="AD27" s="22">
        <v>5982068.5757632507</v>
      </c>
      <c r="AE27" s="23">
        <v>4.2074781713191504E-2</v>
      </c>
      <c r="AF27" s="23">
        <v>5.3795009159865084E-2</v>
      </c>
      <c r="AG27" s="23">
        <v>6.4544470420188085E-2</v>
      </c>
      <c r="AH27" s="23">
        <v>7.4355427813469654E-2</v>
      </c>
      <c r="AI27" s="23">
        <v>8.3258675750193675E-2</v>
      </c>
      <c r="AJ27" s="23">
        <v>9.1283599414817479E-2</v>
      </c>
      <c r="AK27" s="23">
        <v>9.8458230981317119E-2</v>
      </c>
      <c r="AL27" s="23">
        <v>0.10480930346314697</v>
      </c>
      <c r="AM27" s="23">
        <v>0.1103623022950582</v>
      </c>
      <c r="AN27" s="23">
        <v>0.1151415147401727</v>
      </c>
      <c r="AO27" s="23">
        <v>0.60820033171625643</v>
      </c>
      <c r="AP27" s="24">
        <v>66455749.755199999</v>
      </c>
      <c r="AQ27" s="25">
        <f t="shared" si="3"/>
        <v>1543.4744323724074</v>
      </c>
      <c r="AR27" s="25">
        <f t="shared" si="3"/>
        <v>1495.8308864490257</v>
      </c>
      <c r="AS27" s="25">
        <f t="shared" si="3"/>
        <v>1450.398128179017</v>
      </c>
      <c r="AT27" s="25">
        <f t="shared" si="3"/>
        <v>1406.504888048039</v>
      </c>
      <c r="AU27" s="25">
        <f t="shared" si="3"/>
        <v>1363.544231009691</v>
      </c>
      <c r="AV27" s="25">
        <f t="shared" si="3"/>
        <v>1320.9642138359736</v>
      </c>
      <c r="AW27" s="25">
        <f t="shared" si="3"/>
        <v>1278.2636868130107</v>
      </c>
      <c r="AX27" s="25">
        <f t="shared" si="3"/>
        <v>1234.9927043846469</v>
      </c>
      <c r="AY27" s="25">
        <f t="shared" si="3"/>
        <v>1194.0790886907871</v>
      </c>
      <c r="AZ27" s="25">
        <f t="shared" si="3"/>
        <v>1186.7124341020524</v>
      </c>
      <c r="BA27" s="26">
        <f t="shared" si="29"/>
        <v>1347.4764693884649</v>
      </c>
      <c r="BB27" s="26">
        <f t="shared" si="30"/>
        <v>1186.7124341020524</v>
      </c>
      <c r="BC27" s="69"/>
      <c r="BD27" s="70"/>
      <c r="BE27" s="79">
        <f t="shared" si="31"/>
        <v>19887662.065837502</v>
      </c>
      <c r="BF27" s="79">
        <f t="shared" si="32"/>
        <v>18300.264404986694</v>
      </c>
      <c r="BG27" s="84"/>
      <c r="BH27" s="63">
        <f>MAX($BE27-VLOOKUP($A27,'RE Generation'!$A$4:$M$52,'Mass Equivalents - States, Opt1'!BH$7-2016,0)-VLOOKUP('Mass Equivalents - States, Opt1'!$A27,'EE Avoided Generation'!$A$4:$K$52,'Mass Equivalents - States, Opt1'!BH$7-2018,0)-VLOOKUP($A27,'Under Construction Nuclear'!$B$5:$D$53,3,0),0)+U27+$T27+VLOOKUP('Mass Equivalents - States, Opt1'!$A27,'EE Avoided Generation'!$A$4:$K$52,'Mass Equivalents - States, Opt1'!BH$7-2018,0)</f>
        <v>21573347.880824171</v>
      </c>
      <c r="BI27" s="64">
        <f>MAX($BE27-VLOOKUP($A27,'RE Generation'!$A$4:$M$52,'Mass Equivalents - States, Opt1'!BI$7-2016,0)-VLOOKUP('Mass Equivalents - States, Opt1'!$A27,'EE Avoided Generation'!$A$4:$K$52,'Mass Equivalents - States, Opt1'!BI$7-2018,0)-VLOOKUP($A27,'Under Construction Nuclear'!$B$5:$D$53,3,0),0)+V27+$T27+VLOOKUP('Mass Equivalents - States, Opt1'!$A27,'EE Avoided Generation'!$A$4:$K$52,'Mass Equivalents - States, Opt1'!BI$7-2018,0)</f>
        <v>21573347.880824167</v>
      </c>
      <c r="BJ27" s="64">
        <f>MAX($BE27-VLOOKUP($A27,'RE Generation'!$A$4:$M$52,'Mass Equivalents - States, Opt1'!BJ$7-2016,0)-VLOOKUP('Mass Equivalents - States, Opt1'!$A27,'EE Avoided Generation'!$A$4:$K$52,'Mass Equivalents - States, Opt1'!BJ$7-2018,0)-VLOOKUP($A27,'Under Construction Nuclear'!$B$5:$D$53,3,0),0)+W27+$T27+VLOOKUP('Mass Equivalents - States, Opt1'!$A27,'EE Avoided Generation'!$A$4:$K$52,'Mass Equivalents - States, Opt1'!BJ$7-2018,0)</f>
        <v>21573347.880824171</v>
      </c>
      <c r="BK27" s="64">
        <f>MAX($BE27-VLOOKUP($A27,'RE Generation'!$A$4:$M$52,'Mass Equivalents - States, Opt1'!BK$7-2016,0)-VLOOKUP('Mass Equivalents - States, Opt1'!$A27,'EE Avoided Generation'!$A$4:$K$52,'Mass Equivalents - States, Opt1'!BK$7-2018,0)-VLOOKUP($A27,'Under Construction Nuclear'!$B$5:$D$53,3,0),0)+X27+$T27+VLOOKUP('Mass Equivalents - States, Opt1'!$A27,'EE Avoided Generation'!$A$4:$K$52,'Mass Equivalents - States, Opt1'!BK$7-2018,0)</f>
        <v>21573347.880824171</v>
      </c>
      <c r="BL27" s="64">
        <f>MAX($BE27-VLOOKUP($A27,'RE Generation'!$A$4:$M$52,'Mass Equivalents - States, Opt1'!BL$7-2016,0)-VLOOKUP('Mass Equivalents - States, Opt1'!$A27,'EE Avoided Generation'!$A$4:$K$52,'Mass Equivalents - States, Opt1'!BL$7-2018,0)-VLOOKUP($A27,'Under Construction Nuclear'!$B$5:$D$53,3,0),0)+Y27+$T27+VLOOKUP('Mass Equivalents - States, Opt1'!$A27,'EE Avoided Generation'!$A$4:$K$52,'Mass Equivalents - States, Opt1'!BL$7-2018,0)</f>
        <v>21573347.880824171</v>
      </c>
      <c r="BM27" s="64">
        <f>MAX($BE27-VLOOKUP($A27,'RE Generation'!$A$4:$M$52,'Mass Equivalents - States, Opt1'!BM$7-2016,0)-VLOOKUP('Mass Equivalents - States, Opt1'!$A27,'EE Avoided Generation'!$A$4:$K$52,'Mass Equivalents - States, Opt1'!BM$7-2018,0)-VLOOKUP($A27,'Under Construction Nuclear'!$B$5:$D$53,3,0),0)+Z27+$T27+VLOOKUP('Mass Equivalents - States, Opt1'!$A27,'EE Avoided Generation'!$A$4:$K$52,'Mass Equivalents - States, Opt1'!BM$7-2018,0)</f>
        <v>21573347.880824167</v>
      </c>
      <c r="BN27" s="64">
        <f>MAX($BE27-VLOOKUP($A27,'RE Generation'!$A$4:$M$52,'Mass Equivalents - States, Opt1'!BN$7-2016,0)-VLOOKUP('Mass Equivalents - States, Opt1'!$A27,'EE Avoided Generation'!$A$4:$K$52,'Mass Equivalents - States, Opt1'!BN$7-2018,0)-VLOOKUP($A27,'Under Construction Nuclear'!$B$5:$D$53,3,0),0)+AA27+$T27+VLOOKUP('Mass Equivalents - States, Opt1'!$A27,'EE Avoided Generation'!$A$4:$K$52,'Mass Equivalents - States, Opt1'!BN$7-2018,0)</f>
        <v>21573347.880824171</v>
      </c>
      <c r="BO27" s="64">
        <f>MAX($BE27-VLOOKUP($A27,'RE Generation'!$A$4:$M$52,'Mass Equivalents - States, Opt1'!BO$7-2016,0)-VLOOKUP('Mass Equivalents - States, Opt1'!$A27,'EE Avoided Generation'!$A$4:$K$52,'Mass Equivalents - States, Opt1'!BO$7-2018,0)-VLOOKUP($A27,'Under Construction Nuclear'!$B$5:$D$53,3,0),0)+AB27+$T27+VLOOKUP('Mass Equivalents - States, Opt1'!$A27,'EE Avoided Generation'!$A$4:$K$52,'Mass Equivalents - States, Opt1'!BO$7-2018,0)</f>
        <v>21573347.880824171</v>
      </c>
      <c r="BP27" s="64">
        <f>MAX($BE27-VLOOKUP($A27,'RE Generation'!$A$4:$M$52,'Mass Equivalents - States, Opt1'!BP$7-2016,0)-VLOOKUP('Mass Equivalents - States, Opt1'!$A27,'EE Avoided Generation'!$A$4:$K$52,'Mass Equivalents - States, Opt1'!BP$7-2018,0)-VLOOKUP($A27,'Under Construction Nuclear'!$B$5:$D$53,3,0),0)+AC27+$T27+VLOOKUP('Mass Equivalents - States, Opt1'!$A27,'EE Avoided Generation'!$A$4:$K$52,'Mass Equivalents - States, Opt1'!BP$7-2018,0)</f>
        <v>21573347.880824171</v>
      </c>
      <c r="BQ27" s="65">
        <f>MAX($BE27-VLOOKUP($A27,'RE Generation'!$A$4:$M$52,'Mass Equivalents - States, Opt1'!BQ$7-2016,0)-VLOOKUP('Mass Equivalents - States, Opt1'!$A27,'EE Avoided Generation'!$A$4:$K$52,'Mass Equivalents - States, Opt1'!BQ$7-2018,0)-VLOOKUP($A27,'Under Construction Nuclear'!$B$5:$D$53,3,0),0)+AD27+$T27+VLOOKUP('Mass Equivalents - States, Opt1'!$A27,'EE Avoided Generation'!$A$4:$K$52,'Mass Equivalents - States, Opt1'!BQ$7-2018,0)</f>
        <v>21573347.880824171</v>
      </c>
      <c r="BR27" s="29"/>
      <c r="BS27" s="71">
        <f t="shared" si="4"/>
        <v>15103.696271796305</v>
      </c>
      <c r="BT27" s="72">
        <f t="shared" si="5"/>
        <v>14637.479513134429</v>
      </c>
      <c r="BU27" s="72">
        <f t="shared" si="6"/>
        <v>14192.896456034212</v>
      </c>
      <c r="BV27" s="72">
        <f t="shared" si="7"/>
        <v>13763.378380827535</v>
      </c>
      <c r="BW27" s="72">
        <f t="shared" si="8"/>
        <v>13342.986113916659</v>
      </c>
      <c r="BX27" s="72">
        <f t="shared" si="9"/>
        <v>12926.318605112385</v>
      </c>
      <c r="BY27" s="72">
        <f t="shared" si="10"/>
        <v>12508.471845053551</v>
      </c>
      <c r="BZ27" s="72">
        <f t="shared" si="11"/>
        <v>12085.042883567163</v>
      </c>
      <c r="CA27" s="72">
        <f t="shared" si="12"/>
        <v>11684.681975825244</v>
      </c>
      <c r="CB27" s="72">
        <f t="shared" si="13"/>
        <v>11612.595447461788</v>
      </c>
      <c r="CC27" s="75">
        <f t="shared" si="33"/>
        <v>13185.754749272925</v>
      </c>
      <c r="CD27" s="76">
        <f t="shared" si="34"/>
        <v>11612.595447461788</v>
      </c>
      <c r="CG27" s="63">
        <f>BH27+VLOOKUP($A27,'Incremental Demand for New Gen'!$AG$5:$AQ$53,'Mass Equivalents - States, Opt1'!BH$7-2018,0)</f>
        <v>24587491.318279535</v>
      </c>
      <c r="CH27" s="64">
        <f>BI27+VLOOKUP($A27,'Incremental Demand for New Gen'!$AG$5:$AQ$53,'Mass Equivalents - States, Opt1'!BI$7-2018,0)</f>
        <v>24973661.333729472</v>
      </c>
      <c r="CI27" s="64">
        <f>BJ27+VLOOKUP($A27,'Incremental Demand for New Gen'!$AG$5:$AQ$53,'Mass Equivalents - States, Opt1'!BJ$7-2018,0)</f>
        <v>25361959.199603509</v>
      </c>
      <c r="CJ27" s="64">
        <f>BK27+VLOOKUP($A27,'Incremental Demand for New Gen'!$AG$5:$AQ$53,'Mass Equivalents - States, Opt1'!BK$7-2018,0)</f>
        <v>25752396.640653044</v>
      </c>
      <c r="CK27" s="64">
        <f>BL27+VLOOKUP($A27,'Incremental Demand for New Gen'!$AG$5:$AQ$53,'Mass Equivalents - States, Opt1'!BL$7-2018,0)</f>
        <v>26144985.446234472</v>
      </c>
      <c r="CL27" s="64">
        <f>BM27+VLOOKUP($A27,'Incremental Demand for New Gen'!$AG$5:$AQ$53,'Mass Equivalents - States, Opt1'!BM$7-2018,0)</f>
        <v>26539737.470665194</v>
      </c>
      <c r="CM27" s="64">
        <f>BN27+VLOOKUP($A27,'Incremental Demand for New Gen'!$AG$5:$AQ$53,'Mass Equivalents - States, Opt1'!BN$7-2018,0)</f>
        <v>26936664.633581553</v>
      </c>
      <c r="CN27" s="64">
        <f>BO27+VLOOKUP($A27,'Incremental Demand for New Gen'!$AG$5:$AQ$53,'Mass Equivalents - States, Opt1'!BO$7-2018,0)</f>
        <v>27335778.92029871</v>
      </c>
      <c r="CO27" s="64">
        <f>BP27+VLOOKUP($A27,'Incremental Demand for New Gen'!$AG$5:$AQ$53,'Mass Equivalents - States, Opt1'!BP$7-2018,0)</f>
        <v>27737092.382172611</v>
      </c>
      <c r="CP27" s="65">
        <f>BQ27+VLOOKUP($A27,'Incremental Demand for New Gen'!$AG$5:$AQ$53,'Mass Equivalents - States, Opt1'!BQ$7-2018,0)</f>
        <v>28140617.136963826</v>
      </c>
      <c r="CQ27" s="29"/>
      <c r="CR27" s="71">
        <f t="shared" si="14"/>
        <v>17213.925395733961</v>
      </c>
      <c r="CS27" s="72">
        <f t="shared" si="15"/>
        <v>16944.586355340292</v>
      </c>
      <c r="CT27" s="72">
        <f t="shared" si="16"/>
        <v>16685.387118894654</v>
      </c>
      <c r="CU27" s="72">
        <f t="shared" si="17"/>
        <v>16429.530601205835</v>
      </c>
      <c r="CV27" s="72">
        <f t="shared" si="18"/>
        <v>16170.516494926724</v>
      </c>
      <c r="CW27" s="72">
        <f t="shared" si="19"/>
        <v>15902.079924590351</v>
      </c>
      <c r="CX27" s="72">
        <f t="shared" si="20"/>
        <v>15618.183743669018</v>
      </c>
      <c r="CY27" s="72">
        <f t="shared" si="21"/>
        <v>15313.064172165967</v>
      </c>
      <c r="CZ27" s="72">
        <f t="shared" si="22"/>
        <v>15023.125071276161</v>
      </c>
      <c r="DA27" s="72">
        <f t="shared" si="23"/>
        <v>15147.653681695834</v>
      </c>
      <c r="DB27" s="75">
        <f t="shared" si="35"/>
        <v>16044.805255949879</v>
      </c>
      <c r="DC27" s="76">
        <f t="shared" si="36"/>
        <v>15147.653681695834</v>
      </c>
    </row>
    <row r="28" spans="1:107" x14ac:dyDescent="0.25">
      <c r="A28" s="16" t="s">
        <v>62</v>
      </c>
      <c r="B28" s="17">
        <v>2082.5040770999999</v>
      </c>
      <c r="C28" s="17">
        <v>886.31744089999995</v>
      </c>
      <c r="D28" s="17">
        <v>1756.554529</v>
      </c>
      <c r="E28" s="17">
        <v>33906455.554328367</v>
      </c>
      <c r="F28" s="17">
        <v>2268133</v>
      </c>
      <c r="G28" s="17">
        <v>23603159.816199999</v>
      </c>
      <c r="H28" s="17">
        <v>329883.23700000002</v>
      </c>
      <c r="I28" s="17">
        <v>34983.969129000077</v>
      </c>
      <c r="J28" s="17">
        <v>6625.1</v>
      </c>
      <c r="K28" s="17">
        <v>0</v>
      </c>
      <c r="L28" s="18">
        <f t="shared" si="24"/>
        <v>1957.5538324739998</v>
      </c>
      <c r="M28" s="19">
        <f t="shared" si="37"/>
        <v>4.6566128730773926E-10</v>
      </c>
      <c r="N28" s="19">
        <f t="shared" si="38"/>
        <v>5.8207660913467407E-11</v>
      </c>
      <c r="O28" s="19">
        <f t="shared" si="2"/>
        <v>26201176.053199999</v>
      </c>
      <c r="P28" s="19">
        <f t="shared" si="25"/>
        <v>33906455.554328367</v>
      </c>
      <c r="Q28" s="19">
        <f t="shared" si="26"/>
        <v>34983.969129000077</v>
      </c>
      <c r="R28" s="20">
        <f t="shared" si="27"/>
        <v>0.40558826592891373</v>
      </c>
      <c r="S28" s="20">
        <f t="shared" si="28"/>
        <v>0.4502316487905918</v>
      </c>
      <c r="T28" s="21">
        <v>316260.46226356021</v>
      </c>
      <c r="U28" s="22">
        <v>2962380.3259656811</v>
      </c>
      <c r="V28" s="22">
        <v>3335377.5726553947</v>
      </c>
      <c r="W28" s="22">
        <v>3755339.3987472332</v>
      </c>
      <c r="X28" s="22">
        <v>4228179.17689473</v>
      </c>
      <c r="Y28" s="22">
        <v>4760554.8403667752</v>
      </c>
      <c r="Z28" s="22">
        <v>5359962.6316649299</v>
      </c>
      <c r="AA28" s="22">
        <v>6034842.6551538287</v>
      </c>
      <c r="AB28" s="22">
        <v>6794697.7199636595</v>
      </c>
      <c r="AC28" s="22">
        <v>7650227.1465605469</v>
      </c>
      <c r="AD28" s="22">
        <v>8613477.4210801758</v>
      </c>
      <c r="AE28" s="23">
        <v>4.4340193491464598E-2</v>
      </c>
      <c r="AF28" s="23">
        <v>5.604529365023047E-2</v>
      </c>
      <c r="AG28" s="23">
        <v>6.6803887842410314E-2</v>
      </c>
      <c r="AH28" s="23">
        <v>7.6643046825041278E-2</v>
      </c>
      <c r="AI28" s="23">
        <v>8.5588609248013744E-2</v>
      </c>
      <c r="AJ28" s="23">
        <v>9.3665225750441936E-2</v>
      </c>
      <c r="AK28" s="23">
        <v>0.10089640128180878</v>
      </c>
      <c r="AL28" s="23">
        <v>0.10730453571523049</v>
      </c>
      <c r="AM28" s="23">
        <v>0.11291096281755593</v>
      </c>
      <c r="AN28" s="23">
        <v>0.11773598763848463</v>
      </c>
      <c r="AO28" s="23">
        <v>0.74767633692062474</v>
      </c>
      <c r="AP28" s="24">
        <v>59467354.632399999</v>
      </c>
      <c r="AQ28" s="25">
        <f t="shared" si="3"/>
        <v>738.62246249769248</v>
      </c>
      <c r="AR28" s="25">
        <f t="shared" si="3"/>
        <v>718.24210492413215</v>
      </c>
      <c r="AS28" s="25">
        <f t="shared" si="3"/>
        <v>698.85372102978147</v>
      </c>
      <c r="AT28" s="25">
        <f t="shared" si="3"/>
        <v>680.24576961721596</v>
      </c>
      <c r="AU28" s="25">
        <f t="shared" si="3"/>
        <v>662.22937827581404</v>
      </c>
      <c r="AV28" s="25">
        <f t="shared" si="3"/>
        <v>644.6348936942702</v>
      </c>
      <c r="AW28" s="25">
        <f t="shared" si="3"/>
        <v>627.30948564557491</v>
      </c>
      <c r="AX28" s="25">
        <f t="shared" si="3"/>
        <v>610.11562744362243</v>
      </c>
      <c r="AY28" s="25">
        <f t="shared" si="3"/>
        <v>592.93031516589542</v>
      </c>
      <c r="AZ28" s="25">
        <f t="shared" si="3"/>
        <v>575.64490969352948</v>
      </c>
      <c r="BA28" s="26">
        <f t="shared" si="29"/>
        <v>654.88286679875284</v>
      </c>
      <c r="BB28" s="26">
        <f t="shared" si="30"/>
        <v>575.64490969352948</v>
      </c>
      <c r="BC28" s="69"/>
      <c r="BD28" s="70"/>
      <c r="BE28" s="79">
        <f t="shared" si="31"/>
        <v>26236160.022328999</v>
      </c>
      <c r="BF28" s="79">
        <f t="shared" si="32"/>
        <v>11909.831524208712</v>
      </c>
      <c r="BG28" s="84"/>
      <c r="BH28" s="63">
        <f>MAX($BE28-VLOOKUP($A28,'RE Generation'!$A$4:$M$52,'Mass Equivalents - States, Opt1'!BH$7-2016,0)-VLOOKUP('Mass Equivalents - States, Opt1'!$A28,'EE Avoided Generation'!$A$4:$K$52,'Mass Equivalents - States, Opt1'!BH$7-2018,0)-VLOOKUP($A28,'Under Construction Nuclear'!$B$5:$D$53,3,0),0)+U28+$T28+VLOOKUP('Mass Equivalents - States, Opt1'!$A28,'EE Avoided Generation'!$A$4:$K$52,'Mass Equivalents - States, Opt1'!BH$7-2018,0)</f>
        <v>28395839.474592559</v>
      </c>
      <c r="BI28" s="64">
        <f>MAX($BE28-VLOOKUP($A28,'RE Generation'!$A$4:$M$52,'Mass Equivalents - States, Opt1'!BI$7-2016,0)-VLOOKUP('Mass Equivalents - States, Opt1'!$A28,'EE Avoided Generation'!$A$4:$K$52,'Mass Equivalents - States, Opt1'!BI$7-2018,0)-VLOOKUP($A28,'Under Construction Nuclear'!$B$5:$D$53,3,0),0)+V28+$T28+VLOOKUP('Mass Equivalents - States, Opt1'!$A28,'EE Avoided Generation'!$A$4:$K$52,'Mass Equivalents - States, Opt1'!BI$7-2018,0)</f>
        <v>28395839.474592559</v>
      </c>
      <c r="BJ28" s="64">
        <f>MAX($BE28-VLOOKUP($A28,'RE Generation'!$A$4:$M$52,'Mass Equivalents - States, Opt1'!BJ$7-2016,0)-VLOOKUP('Mass Equivalents - States, Opt1'!$A28,'EE Avoided Generation'!$A$4:$K$52,'Mass Equivalents - States, Opt1'!BJ$7-2018,0)-VLOOKUP($A28,'Under Construction Nuclear'!$B$5:$D$53,3,0),0)+W28+$T28+VLOOKUP('Mass Equivalents - States, Opt1'!$A28,'EE Avoided Generation'!$A$4:$K$52,'Mass Equivalents - States, Opt1'!BJ$7-2018,0)</f>
        <v>28395839.474592559</v>
      </c>
      <c r="BK28" s="64">
        <f>MAX($BE28-VLOOKUP($A28,'RE Generation'!$A$4:$M$52,'Mass Equivalents - States, Opt1'!BK$7-2016,0)-VLOOKUP('Mass Equivalents - States, Opt1'!$A28,'EE Avoided Generation'!$A$4:$K$52,'Mass Equivalents - States, Opt1'!BK$7-2018,0)-VLOOKUP($A28,'Under Construction Nuclear'!$B$5:$D$53,3,0),0)+X28+$T28+VLOOKUP('Mass Equivalents - States, Opt1'!$A28,'EE Avoided Generation'!$A$4:$K$52,'Mass Equivalents - States, Opt1'!BK$7-2018,0)</f>
        <v>28395839.474592559</v>
      </c>
      <c r="BL28" s="64">
        <f>MAX($BE28-VLOOKUP($A28,'RE Generation'!$A$4:$M$52,'Mass Equivalents - States, Opt1'!BL$7-2016,0)-VLOOKUP('Mass Equivalents - States, Opt1'!$A28,'EE Avoided Generation'!$A$4:$K$52,'Mass Equivalents - States, Opt1'!BL$7-2018,0)-VLOOKUP($A28,'Under Construction Nuclear'!$B$5:$D$53,3,0),0)+Y28+$T28+VLOOKUP('Mass Equivalents - States, Opt1'!$A28,'EE Avoided Generation'!$A$4:$K$52,'Mass Equivalents - States, Opt1'!BL$7-2018,0)</f>
        <v>28395839.474592559</v>
      </c>
      <c r="BM28" s="64">
        <f>MAX($BE28-VLOOKUP($A28,'RE Generation'!$A$4:$M$52,'Mass Equivalents - States, Opt1'!BM$7-2016,0)-VLOOKUP('Mass Equivalents - States, Opt1'!$A28,'EE Avoided Generation'!$A$4:$K$52,'Mass Equivalents - States, Opt1'!BM$7-2018,0)-VLOOKUP($A28,'Under Construction Nuclear'!$B$5:$D$53,3,0),0)+Z28+$T28+VLOOKUP('Mass Equivalents - States, Opt1'!$A28,'EE Avoided Generation'!$A$4:$K$52,'Mass Equivalents - States, Opt1'!BM$7-2018,0)</f>
        <v>28395839.474592559</v>
      </c>
      <c r="BN28" s="64">
        <f>MAX($BE28-VLOOKUP($A28,'RE Generation'!$A$4:$M$52,'Mass Equivalents - States, Opt1'!BN$7-2016,0)-VLOOKUP('Mass Equivalents - States, Opt1'!$A28,'EE Avoided Generation'!$A$4:$K$52,'Mass Equivalents - States, Opt1'!BN$7-2018,0)-VLOOKUP($A28,'Under Construction Nuclear'!$B$5:$D$53,3,0),0)+AA28+$T28+VLOOKUP('Mass Equivalents - States, Opt1'!$A28,'EE Avoided Generation'!$A$4:$K$52,'Mass Equivalents - States, Opt1'!BN$7-2018,0)</f>
        <v>28395839.474592563</v>
      </c>
      <c r="BO28" s="64">
        <f>MAX($BE28-VLOOKUP($A28,'RE Generation'!$A$4:$M$52,'Mass Equivalents - States, Opt1'!BO$7-2016,0)-VLOOKUP('Mass Equivalents - States, Opt1'!$A28,'EE Avoided Generation'!$A$4:$K$52,'Mass Equivalents - States, Opt1'!BO$7-2018,0)-VLOOKUP($A28,'Under Construction Nuclear'!$B$5:$D$53,3,0),0)+AB28+$T28+VLOOKUP('Mass Equivalents - States, Opt1'!$A28,'EE Avoided Generation'!$A$4:$K$52,'Mass Equivalents - States, Opt1'!BO$7-2018,0)</f>
        <v>28395839.474592559</v>
      </c>
      <c r="BP28" s="64">
        <f>MAX($BE28-VLOOKUP($A28,'RE Generation'!$A$4:$M$52,'Mass Equivalents - States, Opt1'!BP$7-2016,0)-VLOOKUP('Mass Equivalents - States, Opt1'!$A28,'EE Avoided Generation'!$A$4:$K$52,'Mass Equivalents - States, Opt1'!BP$7-2018,0)-VLOOKUP($A28,'Under Construction Nuclear'!$B$5:$D$53,3,0),0)+AC28+$T28+VLOOKUP('Mass Equivalents - States, Opt1'!$A28,'EE Avoided Generation'!$A$4:$K$52,'Mass Equivalents - States, Opt1'!BP$7-2018,0)</f>
        <v>28395839.474592559</v>
      </c>
      <c r="BQ28" s="65">
        <f>MAX($BE28-VLOOKUP($A28,'RE Generation'!$A$4:$M$52,'Mass Equivalents - States, Opt1'!BQ$7-2016,0)-VLOOKUP('Mass Equivalents - States, Opt1'!$A28,'EE Avoided Generation'!$A$4:$K$52,'Mass Equivalents - States, Opt1'!BQ$7-2018,0)-VLOOKUP($A28,'Under Construction Nuclear'!$B$5:$D$53,3,0),0)+AD28+$T28+VLOOKUP('Mass Equivalents - States, Opt1'!$A28,'EE Avoided Generation'!$A$4:$K$52,'Mass Equivalents - States, Opt1'!BQ$7-2018,0)</f>
        <v>28395839.474592563</v>
      </c>
      <c r="BR28" s="29"/>
      <c r="BS28" s="71">
        <f t="shared" si="4"/>
        <v>9513.5691762810548</v>
      </c>
      <c r="BT28" s="72">
        <f t="shared" si="5"/>
        <v>9251.0670842680938</v>
      </c>
      <c r="BU28" s="72">
        <f t="shared" si="6"/>
        <v>9001.3417634709676</v>
      </c>
      <c r="BV28" s="72">
        <f t="shared" si="7"/>
        <v>8761.6685312303889</v>
      </c>
      <c r="BW28" s="72">
        <f t="shared" si="8"/>
        <v>8529.6146822941137</v>
      </c>
      <c r="BX28" s="72">
        <f t="shared" si="9"/>
        <v>8302.9950563196999</v>
      </c>
      <c r="BY28" s="72">
        <f t="shared" si="10"/>
        <v>8079.8411768381729</v>
      </c>
      <c r="BZ28" s="72">
        <f t="shared" si="11"/>
        <v>7858.3816793050155</v>
      </c>
      <c r="CA28" s="72">
        <f t="shared" si="12"/>
        <v>7637.0322545701038</v>
      </c>
      <c r="CB28" s="72">
        <f t="shared" si="13"/>
        <v>7414.3936143298151</v>
      </c>
      <c r="CC28" s="75">
        <f t="shared" si="33"/>
        <v>8434.990501890743</v>
      </c>
      <c r="CD28" s="76">
        <f t="shared" si="34"/>
        <v>7414.3936143298151</v>
      </c>
      <c r="CG28" s="63">
        <f>BH28+VLOOKUP($A28,'Incremental Demand for New Gen'!$AG$5:$AQ$53,'Mass Equivalents - States, Opt1'!BH$7-2018,0)</f>
        <v>29800696.776127964</v>
      </c>
      <c r="CH28" s="64">
        <f>BI28+VLOOKUP($A28,'Incremental Demand for New Gen'!$AG$5:$AQ$53,'Mass Equivalents - States, Opt1'!BI$7-2018,0)</f>
        <v>29978600.138948746</v>
      </c>
      <c r="CI28" s="64">
        <f>BJ28+VLOOKUP($A28,'Incremental Demand for New Gen'!$AG$5:$AQ$53,'Mass Equivalents - States, Opt1'!BJ$7-2018,0)</f>
        <v>30157018.702463523</v>
      </c>
      <c r="CJ28" s="64">
        <f>BK28+VLOOKUP($A28,'Incremental Demand for New Gen'!$AG$5:$AQ$53,'Mass Equivalents - States, Opt1'!BK$7-2018,0)</f>
        <v>30335953.958671931</v>
      </c>
      <c r="CK28" s="64">
        <f>BL28+VLOOKUP($A28,'Incremental Demand for New Gen'!$AG$5:$AQ$53,'Mass Equivalents - States, Opt1'!BL$7-2018,0)</f>
        <v>30515407.403894398</v>
      </c>
      <c r="CL28" s="64">
        <f>BM28+VLOOKUP($A28,'Incremental Demand for New Gen'!$AG$5:$AQ$53,'Mass Equivalents - States, Opt1'!BM$7-2018,0)</f>
        <v>30695380.538784627</v>
      </c>
      <c r="CM28" s="64">
        <f>BN28+VLOOKUP($A28,'Incremental Demand for New Gen'!$AG$5:$AQ$53,'Mass Equivalents - States, Opt1'!BN$7-2018,0)</f>
        <v>30875874.868342146</v>
      </c>
      <c r="CN28" s="64">
        <f>BO28+VLOOKUP($A28,'Incremental Demand for New Gen'!$AG$5:$AQ$53,'Mass Equivalents - States, Opt1'!BO$7-2018,0)</f>
        <v>31056891.901924882</v>
      </c>
      <c r="CO28" s="64">
        <f>BP28+VLOOKUP($A28,'Incremental Demand for New Gen'!$AG$5:$AQ$53,'Mass Equivalents - States, Opt1'!BP$7-2018,0)</f>
        <v>31238433.153261844</v>
      </c>
      <c r="CP28" s="65">
        <f>BQ28+VLOOKUP($A28,'Incremental Demand for New Gen'!$AG$5:$AQ$53,'Mass Equivalents - States, Opt1'!BQ$7-2018,0)</f>
        <v>31420500.140465703</v>
      </c>
      <c r="CQ28" s="29"/>
      <c r="CR28" s="71">
        <f t="shared" si="14"/>
        <v>9984.244013449339</v>
      </c>
      <c r="CS28" s="72">
        <f t="shared" si="15"/>
        <v>9766.7139309619924</v>
      </c>
      <c r="CT28" s="72">
        <f t="shared" si="16"/>
        <v>9559.6269358807167</v>
      </c>
      <c r="CU28" s="72">
        <f t="shared" si="17"/>
        <v>9360.2998919039183</v>
      </c>
      <c r="CV28" s="72">
        <f t="shared" si="18"/>
        <v>9166.295902656313</v>
      </c>
      <c r="CW28" s="72">
        <f t="shared" si="19"/>
        <v>8975.3850416509868</v>
      </c>
      <c r="CX28" s="72">
        <f t="shared" si="20"/>
        <v>8785.5182219687958</v>
      </c>
      <c r="CY28" s="72">
        <f t="shared" si="21"/>
        <v>8594.8122983514877</v>
      </c>
      <c r="CZ28" s="72">
        <f t="shared" si="22"/>
        <v>8401.5449441864384</v>
      </c>
      <c r="DA28" s="72">
        <f t="shared" si="23"/>
        <v>8204.1580707259818</v>
      </c>
      <c r="DB28" s="75">
        <f t="shared" si="35"/>
        <v>9079.8599251735977</v>
      </c>
      <c r="DC28" s="76">
        <f t="shared" si="36"/>
        <v>8204.1580707259818</v>
      </c>
    </row>
    <row r="29" spans="1:107" x14ac:dyDescent="0.25">
      <c r="A29" s="16" t="s">
        <v>63</v>
      </c>
      <c r="B29" s="17">
        <v>2254.9510461</v>
      </c>
      <c r="C29" s="17">
        <v>810.28612769999995</v>
      </c>
      <c r="D29" s="17">
        <v>1586.13537</v>
      </c>
      <c r="E29" s="17">
        <v>3044925860.3700438</v>
      </c>
      <c r="F29" s="17">
        <v>53210780</v>
      </c>
      <c r="G29" s="17">
        <v>18499950.609700002</v>
      </c>
      <c r="H29" s="17">
        <v>774872</v>
      </c>
      <c r="I29" s="17">
        <v>4299172.8757443</v>
      </c>
      <c r="J29" s="17">
        <v>5008.3999999999996</v>
      </c>
      <c r="K29" s="17">
        <v>0</v>
      </c>
      <c r="L29" s="18">
        <f t="shared" si="24"/>
        <v>2119.6539833339998</v>
      </c>
      <c r="M29" s="19">
        <f t="shared" si="37"/>
        <v>41091564.491654843</v>
      </c>
      <c r="N29" s="19">
        <f t="shared" si="38"/>
        <v>598388.19804516248</v>
      </c>
      <c r="O29" s="19">
        <f t="shared" si="2"/>
        <v>30795649.919999994</v>
      </c>
      <c r="P29" s="19">
        <f t="shared" si="25"/>
        <v>3044925860.3700438</v>
      </c>
      <c r="Q29" s="19">
        <f t="shared" si="26"/>
        <v>4299172.8757443</v>
      </c>
      <c r="R29" s="20">
        <f t="shared" si="27"/>
        <v>0.4205128146485308</v>
      </c>
      <c r="S29" s="20">
        <f t="shared" si="28"/>
        <v>0.7</v>
      </c>
      <c r="T29" s="21">
        <v>1827908.7970816612</v>
      </c>
      <c r="U29" s="22">
        <v>4775710.4785206858</v>
      </c>
      <c r="V29" s="22">
        <v>5061373.8993692854</v>
      </c>
      <c r="W29" s="22">
        <v>5364124.5348591302</v>
      </c>
      <c r="X29" s="22">
        <v>5684984.4721140405</v>
      </c>
      <c r="Y29" s="22">
        <v>6025036.9353191201</v>
      </c>
      <c r="Z29" s="22">
        <v>6385429.9426891059</v>
      </c>
      <c r="AA29" s="22">
        <v>6767380.1821815707</v>
      </c>
      <c r="AB29" s="22">
        <v>7172177.1190393995</v>
      </c>
      <c r="AC29" s="22">
        <v>7601187.3490296174</v>
      </c>
      <c r="AD29" s="22">
        <v>8055859.2120751143</v>
      </c>
      <c r="AE29" s="23">
        <v>4.5925301256458884E-2</v>
      </c>
      <c r="AF29" s="23">
        <v>5.7447475252927635E-2</v>
      </c>
      <c r="AG29" s="23">
        <v>6.8019871965554771E-2</v>
      </c>
      <c r="AH29" s="23">
        <v>7.7671255549376234E-2</v>
      </c>
      <c r="AI29" s="23">
        <v>8.6429083608699164E-2</v>
      </c>
      <c r="AJ29" s="23">
        <v>9.4319556124933548E-2</v>
      </c>
      <c r="AK29" s="23">
        <v>0.1013676623859309</v>
      </c>
      <c r="AL29" s="23">
        <v>0.1075972259952423</v>
      </c>
      <c r="AM29" s="23">
        <v>0.11303094803657514</v>
      </c>
      <c r="AN29" s="23">
        <v>0.11769044846571815</v>
      </c>
      <c r="AO29" s="23">
        <v>1.0389198760429761</v>
      </c>
      <c r="AP29" s="24">
        <v>112690037.1441</v>
      </c>
      <c r="AQ29" s="25">
        <f t="shared" si="3"/>
        <v>1310.3247986281974</v>
      </c>
      <c r="AR29" s="25">
        <f t="shared" si="3"/>
        <v>1287.2994775312359</v>
      </c>
      <c r="AS29" s="25">
        <f t="shared" si="3"/>
        <v>1266.3110136087121</v>
      </c>
      <c r="AT29" s="25">
        <f t="shared" si="3"/>
        <v>1247.1432704371809</v>
      </c>
      <c r="AU29" s="25">
        <f t="shared" si="3"/>
        <v>1229.6080933070223</v>
      </c>
      <c r="AV29" s="25">
        <f t="shared" si="3"/>
        <v>1213.5406398999182</v>
      </c>
      <c r="AW29" s="25">
        <f t="shared" si="3"/>
        <v>1198.7955841250985</v>
      </c>
      <c r="AX29" s="25">
        <f t="shared" si="3"/>
        <v>1185.244005966231</v>
      </c>
      <c r="AY29" s="25">
        <f t="shared" si="3"/>
        <v>1172.7708246129985</v>
      </c>
      <c r="AZ29" s="25">
        <f t="shared" si="3"/>
        <v>1161.2726650816751</v>
      </c>
      <c r="BA29" s="26">
        <f t="shared" si="29"/>
        <v>1227.231037319827</v>
      </c>
      <c r="BB29" s="26">
        <f t="shared" si="30"/>
        <v>1161.2726650816751</v>
      </c>
      <c r="BC29" s="69"/>
      <c r="BD29" s="70"/>
      <c r="BE29" s="79">
        <f t="shared" si="31"/>
        <v>76784775.485444292</v>
      </c>
      <c r="BF29" s="79">
        <f t="shared" si="32"/>
        <v>63163.690392795463</v>
      </c>
      <c r="BG29" s="84"/>
      <c r="BH29" s="63">
        <f>MAX($BE29-VLOOKUP($A29,'RE Generation'!$A$4:$M$52,'Mass Equivalents - States, Opt1'!BH$7-2016,0)-VLOOKUP('Mass Equivalents - States, Opt1'!$A29,'EE Avoided Generation'!$A$4:$K$52,'Mass Equivalents - States, Opt1'!BH$7-2018,0)-VLOOKUP($A29,'Under Construction Nuclear'!$B$5:$D$53,3,0),0)+U29+$T29+VLOOKUP('Mass Equivalents - States, Opt1'!$A29,'EE Avoided Generation'!$A$4:$K$52,'Mass Equivalents - States, Opt1'!BH$7-2018,0)</f>
        <v>82398123.412525967</v>
      </c>
      <c r="BI29" s="64">
        <f>MAX($BE29-VLOOKUP($A29,'RE Generation'!$A$4:$M$52,'Mass Equivalents - States, Opt1'!BI$7-2016,0)-VLOOKUP('Mass Equivalents - States, Opt1'!$A29,'EE Avoided Generation'!$A$4:$K$52,'Mass Equivalents - States, Opt1'!BI$7-2018,0)-VLOOKUP($A29,'Under Construction Nuclear'!$B$5:$D$53,3,0),0)+V29+$T29+VLOOKUP('Mass Equivalents - States, Opt1'!$A29,'EE Avoided Generation'!$A$4:$K$52,'Mass Equivalents - States, Opt1'!BI$7-2018,0)</f>
        <v>82398123.412525952</v>
      </c>
      <c r="BJ29" s="64">
        <f>MAX($BE29-VLOOKUP($A29,'RE Generation'!$A$4:$M$52,'Mass Equivalents - States, Opt1'!BJ$7-2016,0)-VLOOKUP('Mass Equivalents - States, Opt1'!$A29,'EE Avoided Generation'!$A$4:$K$52,'Mass Equivalents - States, Opt1'!BJ$7-2018,0)-VLOOKUP($A29,'Under Construction Nuclear'!$B$5:$D$53,3,0),0)+W29+$T29+VLOOKUP('Mass Equivalents - States, Opt1'!$A29,'EE Avoided Generation'!$A$4:$K$52,'Mass Equivalents - States, Opt1'!BJ$7-2018,0)</f>
        <v>82398123.412525967</v>
      </c>
      <c r="BK29" s="64">
        <f>MAX($BE29-VLOOKUP($A29,'RE Generation'!$A$4:$M$52,'Mass Equivalents - States, Opt1'!BK$7-2016,0)-VLOOKUP('Mass Equivalents - States, Opt1'!$A29,'EE Avoided Generation'!$A$4:$K$52,'Mass Equivalents - States, Opt1'!BK$7-2018,0)-VLOOKUP($A29,'Under Construction Nuclear'!$B$5:$D$53,3,0),0)+X29+$T29+VLOOKUP('Mass Equivalents - States, Opt1'!$A29,'EE Avoided Generation'!$A$4:$K$52,'Mass Equivalents - States, Opt1'!BK$7-2018,0)</f>
        <v>82398123.412525937</v>
      </c>
      <c r="BL29" s="64">
        <f>MAX($BE29-VLOOKUP($A29,'RE Generation'!$A$4:$M$52,'Mass Equivalents - States, Opt1'!BL$7-2016,0)-VLOOKUP('Mass Equivalents - States, Opt1'!$A29,'EE Avoided Generation'!$A$4:$K$52,'Mass Equivalents - States, Opt1'!BL$7-2018,0)-VLOOKUP($A29,'Under Construction Nuclear'!$B$5:$D$53,3,0),0)+Y29+$T29+VLOOKUP('Mass Equivalents - States, Opt1'!$A29,'EE Avoided Generation'!$A$4:$K$52,'Mass Equivalents - States, Opt1'!BL$7-2018,0)</f>
        <v>82398123.412525967</v>
      </c>
      <c r="BM29" s="64">
        <f>MAX($BE29-VLOOKUP($A29,'RE Generation'!$A$4:$M$52,'Mass Equivalents - States, Opt1'!BM$7-2016,0)-VLOOKUP('Mass Equivalents - States, Opt1'!$A29,'EE Avoided Generation'!$A$4:$K$52,'Mass Equivalents - States, Opt1'!BM$7-2018,0)-VLOOKUP($A29,'Under Construction Nuclear'!$B$5:$D$53,3,0),0)+Z29+$T29+VLOOKUP('Mass Equivalents - States, Opt1'!$A29,'EE Avoided Generation'!$A$4:$K$52,'Mass Equivalents - States, Opt1'!BM$7-2018,0)</f>
        <v>82398123.412525952</v>
      </c>
      <c r="BN29" s="64">
        <f>MAX($BE29-VLOOKUP($A29,'RE Generation'!$A$4:$M$52,'Mass Equivalents - States, Opt1'!BN$7-2016,0)-VLOOKUP('Mass Equivalents - States, Opt1'!$A29,'EE Avoided Generation'!$A$4:$K$52,'Mass Equivalents - States, Opt1'!BN$7-2018,0)-VLOOKUP($A29,'Under Construction Nuclear'!$B$5:$D$53,3,0),0)+AA29+$T29+VLOOKUP('Mass Equivalents - States, Opt1'!$A29,'EE Avoided Generation'!$A$4:$K$52,'Mass Equivalents - States, Opt1'!BN$7-2018,0)</f>
        <v>82398123.412525952</v>
      </c>
      <c r="BO29" s="64">
        <f>MAX($BE29-VLOOKUP($A29,'RE Generation'!$A$4:$M$52,'Mass Equivalents - States, Opt1'!BO$7-2016,0)-VLOOKUP('Mass Equivalents - States, Opt1'!$A29,'EE Avoided Generation'!$A$4:$K$52,'Mass Equivalents - States, Opt1'!BO$7-2018,0)-VLOOKUP($A29,'Under Construction Nuclear'!$B$5:$D$53,3,0),0)+AB29+$T29+VLOOKUP('Mass Equivalents - States, Opt1'!$A29,'EE Avoided Generation'!$A$4:$K$52,'Mass Equivalents - States, Opt1'!BO$7-2018,0)</f>
        <v>82398123.412525952</v>
      </c>
      <c r="BP29" s="64">
        <f>MAX($BE29-VLOOKUP($A29,'RE Generation'!$A$4:$M$52,'Mass Equivalents - States, Opt1'!BP$7-2016,0)-VLOOKUP('Mass Equivalents - States, Opt1'!$A29,'EE Avoided Generation'!$A$4:$K$52,'Mass Equivalents - States, Opt1'!BP$7-2018,0)-VLOOKUP($A29,'Under Construction Nuclear'!$B$5:$D$53,3,0),0)+AC29+$T29+VLOOKUP('Mass Equivalents - States, Opt1'!$A29,'EE Avoided Generation'!$A$4:$K$52,'Mass Equivalents - States, Opt1'!BP$7-2018,0)</f>
        <v>82398123.412525967</v>
      </c>
      <c r="BQ29" s="65">
        <f>MAX($BE29-VLOOKUP($A29,'RE Generation'!$A$4:$M$52,'Mass Equivalents - States, Opt1'!BQ$7-2016,0)-VLOOKUP('Mass Equivalents - States, Opt1'!$A29,'EE Avoided Generation'!$A$4:$K$52,'Mass Equivalents - States, Opt1'!BQ$7-2018,0)-VLOOKUP($A29,'Under Construction Nuclear'!$B$5:$D$53,3,0),0)+AD29+$T29+VLOOKUP('Mass Equivalents - States, Opt1'!$A29,'EE Avoided Generation'!$A$4:$K$52,'Mass Equivalents - States, Opt1'!BQ$7-2018,0)</f>
        <v>82398123.412525952</v>
      </c>
      <c r="BR29" s="29"/>
      <c r="BS29" s="71">
        <f t="shared" si="4"/>
        <v>48973.657350409354</v>
      </c>
      <c r="BT29" s="72">
        <f t="shared" si="5"/>
        <v>48113.08126502479</v>
      </c>
      <c r="BU29" s="72">
        <f t="shared" si="6"/>
        <v>47328.633133134746</v>
      </c>
      <c r="BV29" s="72">
        <f t="shared" si="7"/>
        <v>46612.234811706352</v>
      </c>
      <c r="BW29" s="72">
        <f t="shared" si="8"/>
        <v>45956.853979984204</v>
      </c>
      <c r="BX29" s="72">
        <f t="shared" si="9"/>
        <v>45356.329622605794</v>
      </c>
      <c r="BY29" s="72">
        <f t="shared" si="10"/>
        <v>44805.230147204958</v>
      </c>
      <c r="BZ29" s="72">
        <f t="shared" si="11"/>
        <v>44298.737141803191</v>
      </c>
      <c r="CA29" s="72">
        <f t="shared" si="12"/>
        <v>43832.549437577305</v>
      </c>
      <c r="CB29" s="72">
        <f t="shared" si="13"/>
        <v>43402.803373367198</v>
      </c>
      <c r="CC29" s="75">
        <f t="shared" si="33"/>
        <v>45868.011026281791</v>
      </c>
      <c r="CD29" s="76">
        <f t="shared" si="34"/>
        <v>43402.803373367198</v>
      </c>
      <c r="CG29" s="63">
        <f>BH29+VLOOKUP($A29,'Incremental Demand for New Gen'!$AG$5:$AQ$53,'Mass Equivalents - States, Opt1'!BH$7-2018,0)</f>
        <v>85324050.131954879</v>
      </c>
      <c r="CH29" s="64">
        <f>BI29+VLOOKUP($A29,'Incremental Demand for New Gen'!$AG$5:$AQ$53,'Mass Equivalents - States, Opt1'!BI$7-2018,0)</f>
        <v>85695039.850206926</v>
      </c>
      <c r="CI29" s="64">
        <f>BJ29+VLOOKUP($A29,'Incremental Demand for New Gen'!$AG$5:$AQ$53,'Mass Equivalents - States, Opt1'!BJ$7-2018,0)</f>
        <v>86067208.362721339</v>
      </c>
      <c r="CJ29" s="64">
        <f>BK29+VLOOKUP($A29,'Incremental Demand for New Gen'!$AG$5:$AQ$53,'Mass Equivalents - States, Opt1'!BK$7-2018,0)</f>
        <v>86440559.415035591</v>
      </c>
      <c r="CK29" s="64">
        <f>BL29+VLOOKUP($A29,'Incremental Demand for New Gen'!$AG$5:$AQ$53,'Mass Equivalents - States, Opt1'!BL$7-2018,0)</f>
        <v>86815096.764588475</v>
      </c>
      <c r="CL29" s="64">
        <f>BM29+VLOOKUP($A29,'Incremental Demand for New Gen'!$AG$5:$AQ$53,'Mass Equivalents - States, Opt1'!BM$7-2018,0)</f>
        <v>87190824.180757627</v>
      </c>
      <c r="CM29" s="64">
        <f>BN29+VLOOKUP($A29,'Incremental Demand for New Gen'!$AG$5:$AQ$53,'Mass Equivalents - States, Opt1'!BN$7-2018,0)</f>
        <v>87567745.444897756</v>
      </c>
      <c r="CN29" s="64">
        <f>BO29+VLOOKUP($A29,'Incremental Demand for New Gen'!$AG$5:$AQ$53,'Mass Equivalents - States, Opt1'!BO$7-2018,0)</f>
        <v>87945864.350378484</v>
      </c>
      <c r="CO29" s="64">
        <f>BP29+VLOOKUP($A29,'Incremental Demand for New Gen'!$AG$5:$AQ$53,'Mass Equivalents - States, Opt1'!BP$7-2018,0)</f>
        <v>88325184.702622682</v>
      </c>
      <c r="CP29" s="65">
        <f>BQ29+VLOOKUP($A29,'Incremental Demand for New Gen'!$AG$5:$AQ$53,'Mass Equivalents - States, Opt1'!BQ$7-2018,0)</f>
        <v>88705710.319144562</v>
      </c>
      <c r="CQ29" s="29"/>
      <c r="CR29" s="71">
        <f t="shared" si="14"/>
        <v>50712.693710161388</v>
      </c>
      <c r="CS29" s="72">
        <f t="shared" si="15"/>
        <v>50038.18346299581</v>
      </c>
      <c r="CT29" s="72">
        <f t="shared" si="16"/>
        <v>49436.117725626136</v>
      </c>
      <c r="CU29" s="72">
        <f t="shared" si="17"/>
        <v>48899.022038848845</v>
      </c>
      <c r="CV29" s="72">
        <f t="shared" si="18"/>
        <v>48420.383378074359</v>
      </c>
      <c r="CW29" s="72">
        <f t="shared" si="19"/>
        <v>47994.488197384533</v>
      </c>
      <c r="CX29" s="72">
        <f t="shared" si="20"/>
        <v>47616.290585740018</v>
      </c>
      <c r="CY29" s="72">
        <f t="shared" si="21"/>
        <v>47281.30406637214</v>
      </c>
      <c r="CZ29" s="72">
        <f t="shared" si="22"/>
        <v>46985.512105392416</v>
      </c>
      <c r="DA29" s="72">
        <f t="shared" si="23"/>
        <v>46725.293533704702</v>
      </c>
      <c r="DB29" s="75">
        <f t="shared" si="35"/>
        <v>48410.928880430038</v>
      </c>
      <c r="DC29" s="76">
        <f t="shared" si="36"/>
        <v>46725.293533704702</v>
      </c>
    </row>
    <row r="30" spans="1:107" x14ac:dyDescent="0.25">
      <c r="A30" s="16" t="s">
        <v>64</v>
      </c>
      <c r="B30" s="17">
        <v>2317.9822393999998</v>
      </c>
      <c r="C30" s="17">
        <v>862.64948679999998</v>
      </c>
      <c r="D30" s="17">
        <v>1590.7834353999999</v>
      </c>
      <c r="E30" s="17">
        <v>83925611.73884958</v>
      </c>
      <c r="F30" s="17">
        <v>21989584</v>
      </c>
      <c r="G30" s="17">
        <v>5715510.0219999999</v>
      </c>
      <c r="H30" s="17">
        <v>29243</v>
      </c>
      <c r="I30" s="17">
        <v>97924.447742399992</v>
      </c>
      <c r="J30" s="17">
        <v>2768.2</v>
      </c>
      <c r="K30" s="17">
        <v>0</v>
      </c>
      <c r="L30" s="18">
        <f t="shared" si="24"/>
        <v>2178.9033050359999</v>
      </c>
      <c r="M30" s="19">
        <f t="shared" si="37"/>
        <v>10699000.722071774</v>
      </c>
      <c r="N30" s="19">
        <f t="shared" si="38"/>
        <v>14228.139928228969</v>
      </c>
      <c r="O30" s="19">
        <f t="shared" si="2"/>
        <v>17021108.159999996</v>
      </c>
      <c r="P30" s="19">
        <f t="shared" si="25"/>
        <v>83925611.73884958</v>
      </c>
      <c r="Q30" s="19">
        <f t="shared" si="26"/>
        <v>97924.447742399992</v>
      </c>
      <c r="R30" s="20">
        <f t="shared" si="27"/>
        <v>0.2350526756420071</v>
      </c>
      <c r="S30" s="20">
        <f t="shared" si="28"/>
        <v>0.7</v>
      </c>
      <c r="T30" s="21">
        <v>840189.54411773931</v>
      </c>
      <c r="U30" s="22">
        <v>7888544.3585652001</v>
      </c>
      <c r="V30" s="22">
        <v>7888544.3585652001</v>
      </c>
      <c r="W30" s="22">
        <v>7888544.3585652001</v>
      </c>
      <c r="X30" s="22">
        <v>7888544.3585652001</v>
      </c>
      <c r="Y30" s="22">
        <v>7888544.3585652001</v>
      </c>
      <c r="Z30" s="22">
        <v>7888544.3585652001</v>
      </c>
      <c r="AA30" s="22">
        <v>7888544.3585652001</v>
      </c>
      <c r="AB30" s="22">
        <v>7888544.3585652001</v>
      </c>
      <c r="AC30" s="22">
        <v>7888544.3585652001</v>
      </c>
      <c r="AD30" s="22">
        <v>7888544.3585652001</v>
      </c>
      <c r="AE30" s="23">
        <v>4.8008468033873729E-2</v>
      </c>
      <c r="AF30" s="23">
        <v>5.924360710051195E-2</v>
      </c>
      <c r="AG30" s="23">
        <v>6.9521643169629638E-2</v>
      </c>
      <c r="AH30" s="23">
        <v>7.8874725617712527E-2</v>
      </c>
      <c r="AI30" s="23">
        <v>8.7333534705797786E-2</v>
      </c>
      <c r="AJ30" s="23">
        <v>9.492734093371212E-2</v>
      </c>
      <c r="AK30" s="23">
        <v>0.10168406188202468</v>
      </c>
      <c r="AL30" s="23">
        <v>0.10763031664615251</v>
      </c>
      <c r="AM30" s="23">
        <v>0.11279147796268493</v>
      </c>
      <c r="AN30" s="23">
        <v>0.11719172212380437</v>
      </c>
      <c r="AO30" s="23">
        <v>0.82836500905863464</v>
      </c>
      <c r="AP30" s="24">
        <v>73094473.978499994</v>
      </c>
      <c r="AQ30" s="25">
        <f t="shared" si="3"/>
        <v>965.39062608530605</v>
      </c>
      <c r="AR30" s="25">
        <f t="shared" si="3"/>
        <v>949.03291665828226</v>
      </c>
      <c r="AS30" s="25">
        <f t="shared" si="3"/>
        <v>934.54679431037823</v>
      </c>
      <c r="AT30" s="25">
        <f t="shared" si="3"/>
        <v>921.7433879627788</v>
      </c>
      <c r="AU30" s="25">
        <f t="shared" si="3"/>
        <v>910.46255864323768</v>
      </c>
      <c r="AV30" s="25">
        <f t="shared" si="3"/>
        <v>900.56796913922881</v>
      </c>
      <c r="AW30" s="25">
        <f t="shared" si="3"/>
        <v>891.94316297556838</v>
      </c>
      <c r="AX30" s="25">
        <f t="shared" si="3"/>
        <v>884.48842249325651</v>
      </c>
      <c r="AY30" s="25">
        <f t="shared" si="3"/>
        <v>878.11823426853812</v>
      </c>
      <c r="AZ30" s="25">
        <f t="shared" si="3"/>
        <v>872.75923243264003</v>
      </c>
      <c r="BA30" s="26">
        <f t="shared" si="29"/>
        <v>910.90533049692147</v>
      </c>
      <c r="BB30" s="26">
        <f t="shared" si="30"/>
        <v>872.75923243264003</v>
      </c>
      <c r="BC30" s="69"/>
      <c r="BD30" s="70"/>
      <c r="BE30" s="79">
        <f t="shared" si="31"/>
        <v>27832261.469742399</v>
      </c>
      <c r="BF30" s="79">
        <f t="shared" si="32"/>
        <v>25415.895638619448</v>
      </c>
      <c r="BG30" s="84"/>
      <c r="BH30" s="63">
        <f>MAX($BE30-VLOOKUP($A30,'RE Generation'!$A$4:$M$52,'Mass Equivalents - States, Opt1'!BH$7-2016,0)-VLOOKUP('Mass Equivalents - States, Opt1'!$A30,'EE Avoided Generation'!$A$4:$K$52,'Mass Equivalents - States, Opt1'!BH$7-2018,0)-VLOOKUP($A30,'Under Construction Nuclear'!$B$5:$D$53,3,0),0)+U30+$T30+VLOOKUP('Mass Equivalents - States, Opt1'!$A30,'EE Avoided Generation'!$A$4:$K$52,'Mass Equivalents - States, Opt1'!BH$7-2018,0)</f>
        <v>36560995.37242534</v>
      </c>
      <c r="BI30" s="64">
        <f>MAX($BE30-VLOOKUP($A30,'RE Generation'!$A$4:$M$52,'Mass Equivalents - States, Opt1'!BI$7-2016,0)-VLOOKUP('Mass Equivalents - States, Opt1'!$A30,'EE Avoided Generation'!$A$4:$K$52,'Mass Equivalents - States, Opt1'!BI$7-2018,0)-VLOOKUP($A30,'Under Construction Nuclear'!$B$5:$D$53,3,0),0)+V30+$T30+VLOOKUP('Mass Equivalents - States, Opt1'!$A30,'EE Avoided Generation'!$A$4:$K$52,'Mass Equivalents - States, Opt1'!BI$7-2018,0)</f>
        <v>36560995.37242534</v>
      </c>
      <c r="BJ30" s="64">
        <f>MAX($BE30-VLOOKUP($A30,'RE Generation'!$A$4:$M$52,'Mass Equivalents - States, Opt1'!BJ$7-2016,0)-VLOOKUP('Mass Equivalents - States, Opt1'!$A30,'EE Avoided Generation'!$A$4:$K$52,'Mass Equivalents - States, Opt1'!BJ$7-2018,0)-VLOOKUP($A30,'Under Construction Nuclear'!$B$5:$D$53,3,0),0)+W30+$T30+VLOOKUP('Mass Equivalents - States, Opt1'!$A30,'EE Avoided Generation'!$A$4:$K$52,'Mass Equivalents - States, Opt1'!BJ$7-2018,0)</f>
        <v>36560995.372425333</v>
      </c>
      <c r="BK30" s="64">
        <f>MAX($BE30-VLOOKUP($A30,'RE Generation'!$A$4:$M$52,'Mass Equivalents - States, Opt1'!BK$7-2016,0)-VLOOKUP('Mass Equivalents - States, Opt1'!$A30,'EE Avoided Generation'!$A$4:$K$52,'Mass Equivalents - States, Opt1'!BK$7-2018,0)-VLOOKUP($A30,'Under Construction Nuclear'!$B$5:$D$53,3,0),0)+X30+$T30+VLOOKUP('Mass Equivalents - States, Opt1'!$A30,'EE Avoided Generation'!$A$4:$K$52,'Mass Equivalents - States, Opt1'!BK$7-2018,0)</f>
        <v>36560995.37242534</v>
      </c>
      <c r="BL30" s="64">
        <f>MAX($BE30-VLOOKUP($A30,'RE Generation'!$A$4:$M$52,'Mass Equivalents - States, Opt1'!BL$7-2016,0)-VLOOKUP('Mass Equivalents - States, Opt1'!$A30,'EE Avoided Generation'!$A$4:$K$52,'Mass Equivalents - States, Opt1'!BL$7-2018,0)-VLOOKUP($A30,'Under Construction Nuclear'!$B$5:$D$53,3,0),0)+Y30+$T30+VLOOKUP('Mass Equivalents - States, Opt1'!$A30,'EE Avoided Generation'!$A$4:$K$52,'Mass Equivalents - States, Opt1'!BL$7-2018,0)</f>
        <v>36560995.372425333</v>
      </c>
      <c r="BM30" s="64">
        <f>MAX($BE30-VLOOKUP($A30,'RE Generation'!$A$4:$M$52,'Mass Equivalents - States, Opt1'!BM$7-2016,0)-VLOOKUP('Mass Equivalents - States, Opt1'!$A30,'EE Avoided Generation'!$A$4:$K$52,'Mass Equivalents - States, Opt1'!BM$7-2018,0)-VLOOKUP($A30,'Under Construction Nuclear'!$B$5:$D$53,3,0),0)+Z30+$T30+VLOOKUP('Mass Equivalents - States, Opt1'!$A30,'EE Avoided Generation'!$A$4:$K$52,'Mass Equivalents - States, Opt1'!BM$7-2018,0)</f>
        <v>36560995.372425333</v>
      </c>
      <c r="BN30" s="64">
        <f>MAX($BE30-VLOOKUP($A30,'RE Generation'!$A$4:$M$52,'Mass Equivalents - States, Opt1'!BN$7-2016,0)-VLOOKUP('Mass Equivalents - States, Opt1'!$A30,'EE Avoided Generation'!$A$4:$K$52,'Mass Equivalents - States, Opt1'!BN$7-2018,0)-VLOOKUP($A30,'Under Construction Nuclear'!$B$5:$D$53,3,0),0)+AA30+$T30+VLOOKUP('Mass Equivalents - States, Opt1'!$A30,'EE Avoided Generation'!$A$4:$K$52,'Mass Equivalents - States, Opt1'!BN$7-2018,0)</f>
        <v>36560995.372425333</v>
      </c>
      <c r="BO30" s="64">
        <f>MAX($BE30-VLOOKUP($A30,'RE Generation'!$A$4:$M$52,'Mass Equivalents - States, Opt1'!BO$7-2016,0)-VLOOKUP('Mass Equivalents - States, Opt1'!$A30,'EE Avoided Generation'!$A$4:$K$52,'Mass Equivalents - States, Opt1'!BO$7-2018,0)-VLOOKUP($A30,'Under Construction Nuclear'!$B$5:$D$53,3,0),0)+AB30+$T30+VLOOKUP('Mass Equivalents - States, Opt1'!$A30,'EE Avoided Generation'!$A$4:$K$52,'Mass Equivalents - States, Opt1'!BO$7-2018,0)</f>
        <v>36560995.37242534</v>
      </c>
      <c r="BP30" s="64">
        <f>MAX($BE30-VLOOKUP($A30,'RE Generation'!$A$4:$M$52,'Mass Equivalents - States, Opt1'!BP$7-2016,0)-VLOOKUP('Mass Equivalents - States, Opt1'!$A30,'EE Avoided Generation'!$A$4:$K$52,'Mass Equivalents - States, Opt1'!BP$7-2018,0)-VLOOKUP($A30,'Under Construction Nuclear'!$B$5:$D$53,3,0),0)+AC30+$T30+VLOOKUP('Mass Equivalents - States, Opt1'!$A30,'EE Avoided Generation'!$A$4:$K$52,'Mass Equivalents - States, Opt1'!BP$7-2018,0)</f>
        <v>36560995.372425333</v>
      </c>
      <c r="BQ30" s="65">
        <f>MAX($BE30-VLOOKUP($A30,'RE Generation'!$A$4:$M$52,'Mass Equivalents - States, Opt1'!BQ$7-2016,0)-VLOOKUP('Mass Equivalents - States, Opt1'!$A30,'EE Avoided Generation'!$A$4:$K$52,'Mass Equivalents - States, Opt1'!BQ$7-2018,0)-VLOOKUP($A30,'Under Construction Nuclear'!$B$5:$D$53,3,0),0)+AD30+$T30+VLOOKUP('Mass Equivalents - States, Opt1'!$A30,'EE Avoided Generation'!$A$4:$K$52,'Mass Equivalents - States, Opt1'!BQ$7-2018,0)</f>
        <v>36560995.37242534</v>
      </c>
      <c r="BR30" s="29"/>
      <c r="BS30" s="71">
        <f t="shared" si="4"/>
        <v>16009.853041743103</v>
      </c>
      <c r="BT30" s="72">
        <f t="shared" si="5"/>
        <v>15738.579924986067</v>
      </c>
      <c r="BU30" s="72">
        <f t="shared" si="6"/>
        <v>15498.344849496363</v>
      </c>
      <c r="BV30" s="72">
        <f t="shared" si="7"/>
        <v>15286.015613516531</v>
      </c>
      <c r="BW30" s="72">
        <f t="shared" si="8"/>
        <v>15098.936503035418</v>
      </c>
      <c r="BX30" s="72">
        <f t="shared" si="9"/>
        <v>14934.846527861413</v>
      </c>
      <c r="BY30" s="72">
        <f t="shared" si="10"/>
        <v>14791.814396139094</v>
      </c>
      <c r="BZ30" s="72">
        <f t="shared" si="11"/>
        <v>14668.186409331196</v>
      </c>
      <c r="CA30" s="72">
        <f t="shared" si="12"/>
        <v>14562.544429214253</v>
      </c>
      <c r="CB30" s="72">
        <f t="shared" si="13"/>
        <v>14473.671770287508</v>
      </c>
      <c r="CC30" s="75">
        <f t="shared" si="33"/>
        <v>15106.279346561094</v>
      </c>
      <c r="CD30" s="76">
        <f t="shared" si="34"/>
        <v>14473.671770287508</v>
      </c>
      <c r="CG30" s="63">
        <f>BH30+VLOOKUP($A30,'Incremental Demand for New Gen'!$AG$5:$AQ$53,'Mass Equivalents - States, Opt1'!BH$7-2018,0)</f>
        <v>39745720.229417138</v>
      </c>
      <c r="CH30" s="64">
        <f>BI30+VLOOKUP($A30,'Incremental Demand for New Gen'!$AG$5:$AQ$53,'Mass Equivalents - States, Opt1'!BI$7-2018,0)</f>
        <v>40153340.660966307</v>
      </c>
      <c r="CI30" s="64">
        <f>BJ30+VLOOKUP($A30,'Incremental Demand for New Gen'!$AG$5:$AQ$53,'Mass Equivalents - States, Opt1'!BJ$7-2018,0)</f>
        <v>40563116.268866248</v>
      </c>
      <c r="CJ30" s="64">
        <f>BK30+VLOOKUP($A30,'Incremental Demand for New Gen'!$AG$5:$AQ$53,'Mass Equivalents - States, Opt1'!BK$7-2018,0)</f>
        <v>40975058.447995014</v>
      </c>
      <c r="CK30" s="64">
        <f>BL30+VLOOKUP($A30,'Incremental Demand for New Gen'!$AG$5:$AQ$53,'Mass Equivalents - States, Opt1'!BL$7-2018,0)</f>
        <v>41389178.653477781</v>
      </c>
      <c r="CL30" s="64">
        <f>BM30+VLOOKUP($A30,'Incremental Demand for New Gen'!$AG$5:$AQ$53,'Mass Equivalents - States, Opt1'!BM$7-2018,0)</f>
        <v>41805488.401005454</v>
      </c>
      <c r="CM30" s="64">
        <f>BN30+VLOOKUP($A30,'Incremental Demand for New Gen'!$AG$5:$AQ$53,'Mass Equivalents - States, Opt1'!BN$7-2018,0)</f>
        <v>42223999.267154843</v>
      </c>
      <c r="CN30" s="64">
        <f>BO30+VLOOKUP($A30,'Incremental Demand for New Gen'!$AG$5:$AQ$53,'Mass Equivalents - States, Opt1'!BO$7-2018,0)</f>
        <v>42644722.88971059</v>
      </c>
      <c r="CO30" s="64">
        <f>BP30+VLOOKUP($A30,'Incremental Demand for New Gen'!$AG$5:$AQ$53,'Mass Equivalents - States, Opt1'!BP$7-2018,0)</f>
        <v>43067670.967988774</v>
      </c>
      <c r="CP30" s="65">
        <f>BQ30+VLOOKUP($A30,'Incremental Demand for New Gen'!$AG$5:$AQ$53,'Mass Equivalents - States, Opt1'!BQ$7-2018,0)</f>
        <v>43492855.2631623</v>
      </c>
      <c r="CQ30" s="29"/>
      <c r="CR30" s="71">
        <f t="shared" si="14"/>
        <v>17404.426040083294</v>
      </c>
      <c r="CS30" s="72">
        <f t="shared" si="15"/>
        <v>17284.99333266071</v>
      </c>
      <c r="CT30" s="72">
        <f t="shared" si="16"/>
        <v>17194.859103295854</v>
      </c>
      <c r="CU30" s="72">
        <f t="shared" si="17"/>
        <v>17131.518899324059</v>
      </c>
      <c r="CV30" s="72">
        <f t="shared" si="18"/>
        <v>17092.876548787299</v>
      </c>
      <c r="CW30" s="72">
        <f t="shared" si="19"/>
        <v>17077.176015897105</v>
      </c>
      <c r="CX30" s="72">
        <f t="shared" si="20"/>
        <v>17082.947383142749</v>
      </c>
      <c r="CY30" s="72">
        <f t="shared" si="21"/>
        <v>17108.963756285524</v>
      </c>
      <c r="CZ30" s="72">
        <f t="shared" si="22"/>
        <v>17154.206704315795</v>
      </c>
      <c r="DA30" s="72">
        <f t="shared" si="23"/>
        <v>17217.838437364007</v>
      </c>
      <c r="DB30" s="75">
        <f t="shared" si="35"/>
        <v>17174.98062211564</v>
      </c>
      <c r="DC30" s="76">
        <f t="shared" si="36"/>
        <v>17217.838437364007</v>
      </c>
    </row>
    <row r="31" spans="1:107" x14ac:dyDescent="0.25">
      <c r="A31" s="16" t="s">
        <v>65</v>
      </c>
      <c r="B31" s="17">
        <v>2493.9278509999999</v>
      </c>
      <c r="C31" s="17">
        <v>848.17551279999998</v>
      </c>
      <c r="D31" s="17">
        <v>1388.2063624</v>
      </c>
      <c r="E31" s="17">
        <v>0</v>
      </c>
      <c r="F31" s="17">
        <v>7503114</v>
      </c>
      <c r="G31" s="17">
        <v>31813676.742600001</v>
      </c>
      <c r="H31" s="17">
        <v>4402778</v>
      </c>
      <c r="I31" s="17">
        <v>0</v>
      </c>
      <c r="J31" s="17">
        <v>7894.4</v>
      </c>
      <c r="K31" s="17">
        <v>150</v>
      </c>
      <c r="L31" s="18">
        <f t="shared" si="24"/>
        <v>2344.2921799399996</v>
      </c>
      <c r="M31" s="19">
        <f t="shared" si="37"/>
        <v>0</v>
      </c>
      <c r="N31" s="19">
        <f t="shared" si="38"/>
        <v>0</v>
      </c>
      <c r="O31" s="19">
        <f t="shared" si="2"/>
        <v>43719568.742600001</v>
      </c>
      <c r="P31" s="19">
        <f>0.55*8784*C31*K31+4703731231</f>
        <v>5318387061.6159039</v>
      </c>
      <c r="Q31" s="19">
        <f>K31*8784*0.55+5836968</f>
        <v>6561648</v>
      </c>
      <c r="R31" s="20">
        <f t="shared" si="27"/>
        <v>0.45877781534389189</v>
      </c>
      <c r="S31" s="20">
        <f t="shared" si="28"/>
        <v>0.62761986140840986</v>
      </c>
      <c r="T31" s="21">
        <v>631874.26957287942</v>
      </c>
      <c r="U31" s="22">
        <v>2498625.7029471667</v>
      </c>
      <c r="V31" s="22">
        <v>2834265.4881885191</v>
      </c>
      <c r="W31" s="22">
        <v>3214991.6844533328</v>
      </c>
      <c r="X31" s="22">
        <v>3646860.7384096175</v>
      </c>
      <c r="Y31" s="22">
        <v>4136742.657738775</v>
      </c>
      <c r="Z31" s="22">
        <v>4692430.296589396</v>
      </c>
      <c r="AA31" s="22">
        <v>5322763.3213195838</v>
      </c>
      <c r="AB31" s="22">
        <v>5458429.5010000002</v>
      </c>
      <c r="AC31" s="22">
        <v>5458429.5010000002</v>
      </c>
      <c r="AD31" s="22">
        <v>5458429.5010000002</v>
      </c>
      <c r="AE31" s="23">
        <v>1.399843513390662E-2</v>
      </c>
      <c r="AF31" s="23">
        <v>2.1653477031590512E-2</v>
      </c>
      <c r="AG31" s="23">
        <v>3.0677656086512427E-2</v>
      </c>
      <c r="AH31" s="23">
        <v>4.0917598983544558E-2</v>
      </c>
      <c r="AI31" s="23">
        <v>5.2218631526603387E-2</v>
      </c>
      <c r="AJ31" s="23">
        <v>6.2796481544960814E-2</v>
      </c>
      <c r="AK31" s="23">
        <v>7.2417279926557013E-2</v>
      </c>
      <c r="AL31" s="23">
        <v>8.1117727177937152E-2</v>
      </c>
      <c r="AM31" s="23">
        <v>8.8932799077439673E-2</v>
      </c>
      <c r="AN31" s="23">
        <v>9.5895822965259531E-2</v>
      </c>
      <c r="AO31" s="23">
        <v>0.9863437987582192</v>
      </c>
      <c r="AP31" s="24">
        <v>52021589.392499998</v>
      </c>
      <c r="AQ31" s="25">
        <f t="shared" si="3"/>
        <v>783.30427334259525</v>
      </c>
      <c r="AR31" s="25">
        <f t="shared" si="3"/>
        <v>772.90329029143879</v>
      </c>
      <c r="AS31" s="25">
        <f t="shared" si="3"/>
        <v>761.19548114009979</v>
      </c>
      <c r="AT31" s="25">
        <f t="shared" si="3"/>
        <v>748.33467262134945</v>
      </c>
      <c r="AU31" s="25">
        <f t="shared" si="3"/>
        <v>734.46766221318444</v>
      </c>
      <c r="AV31" s="25">
        <f t="shared" si="3"/>
        <v>720.75344435645707</v>
      </c>
      <c r="AW31" s="25">
        <f t="shared" si="3"/>
        <v>707.2405957609119</v>
      </c>
      <c r="AX31" s="25">
        <f t="shared" si="3"/>
        <v>700.43972777644331</v>
      </c>
      <c r="AY31" s="25">
        <f t="shared" si="3"/>
        <v>695.83026267402477</v>
      </c>
      <c r="AZ31" s="25">
        <f t="shared" si="3"/>
        <v>691.77415940892911</v>
      </c>
      <c r="BA31" s="26">
        <f t="shared" si="29"/>
        <v>731.62435695854333</v>
      </c>
      <c r="BB31" s="26">
        <f t="shared" si="30"/>
        <v>691.77415940892911</v>
      </c>
      <c r="BC31" s="69"/>
      <c r="BD31" s="70"/>
      <c r="BE31" s="79">
        <f t="shared" si="31"/>
        <v>50281216.742600001</v>
      </c>
      <c r="BF31" s="79">
        <f t="shared" si="32"/>
        <v>23499.637575124492</v>
      </c>
      <c r="BG31" s="84"/>
      <c r="BH31" s="63">
        <f>MAX($BE31-VLOOKUP($A31,'RE Generation'!$A$4:$M$52,'Mass Equivalents - States, Opt1'!BH$7-2016,0)-VLOOKUP('Mass Equivalents - States, Opt1'!$A31,'EE Avoided Generation'!$A$4:$K$52,'Mass Equivalents - States, Opt1'!BH$7-2018,0)-VLOOKUP($A31,'Under Construction Nuclear'!$B$5:$D$53,3,0),0)+U31+$T31+VLOOKUP('Mass Equivalents - States, Opt1'!$A31,'EE Avoided Generation'!$A$4:$K$52,'Mass Equivalents - States, Opt1'!BH$7-2018,0)</f>
        <v>52422280.952172883</v>
      </c>
      <c r="BI31" s="64">
        <f>MAX($BE31-VLOOKUP($A31,'RE Generation'!$A$4:$M$52,'Mass Equivalents - States, Opt1'!BI$7-2016,0)-VLOOKUP('Mass Equivalents - States, Opt1'!$A31,'EE Avoided Generation'!$A$4:$K$52,'Mass Equivalents - States, Opt1'!BI$7-2018,0)-VLOOKUP($A31,'Under Construction Nuclear'!$B$5:$D$53,3,0),0)+V31+$T31+VLOOKUP('Mass Equivalents - States, Opt1'!$A31,'EE Avoided Generation'!$A$4:$K$52,'Mass Equivalents - States, Opt1'!BI$7-2018,0)</f>
        <v>52422280.952172875</v>
      </c>
      <c r="BJ31" s="64">
        <f>MAX($BE31-VLOOKUP($A31,'RE Generation'!$A$4:$M$52,'Mass Equivalents - States, Opt1'!BJ$7-2016,0)-VLOOKUP('Mass Equivalents - States, Opt1'!$A31,'EE Avoided Generation'!$A$4:$K$52,'Mass Equivalents - States, Opt1'!BJ$7-2018,0)-VLOOKUP($A31,'Under Construction Nuclear'!$B$5:$D$53,3,0),0)+W31+$T31+VLOOKUP('Mass Equivalents - States, Opt1'!$A31,'EE Avoided Generation'!$A$4:$K$52,'Mass Equivalents - States, Opt1'!BJ$7-2018,0)</f>
        <v>52422280.952172875</v>
      </c>
      <c r="BK31" s="64">
        <f>MAX($BE31-VLOOKUP($A31,'RE Generation'!$A$4:$M$52,'Mass Equivalents - States, Opt1'!BK$7-2016,0)-VLOOKUP('Mass Equivalents - States, Opt1'!$A31,'EE Avoided Generation'!$A$4:$K$52,'Mass Equivalents - States, Opt1'!BK$7-2018,0)-VLOOKUP($A31,'Under Construction Nuclear'!$B$5:$D$53,3,0),0)+X31+$T31+VLOOKUP('Mass Equivalents - States, Opt1'!$A31,'EE Avoided Generation'!$A$4:$K$52,'Mass Equivalents - States, Opt1'!BK$7-2018,0)</f>
        <v>52422280.952172875</v>
      </c>
      <c r="BL31" s="64">
        <f>MAX($BE31-VLOOKUP($A31,'RE Generation'!$A$4:$M$52,'Mass Equivalents - States, Opt1'!BL$7-2016,0)-VLOOKUP('Mass Equivalents - States, Opt1'!$A31,'EE Avoided Generation'!$A$4:$K$52,'Mass Equivalents - States, Opt1'!BL$7-2018,0)-VLOOKUP($A31,'Under Construction Nuclear'!$B$5:$D$53,3,0),0)+Y31+$T31+VLOOKUP('Mass Equivalents - States, Opt1'!$A31,'EE Avoided Generation'!$A$4:$K$52,'Mass Equivalents - States, Opt1'!BL$7-2018,0)</f>
        <v>52422280.952172875</v>
      </c>
      <c r="BM31" s="64">
        <f>MAX($BE31-VLOOKUP($A31,'RE Generation'!$A$4:$M$52,'Mass Equivalents - States, Opt1'!BM$7-2016,0)-VLOOKUP('Mass Equivalents - States, Opt1'!$A31,'EE Avoided Generation'!$A$4:$K$52,'Mass Equivalents - States, Opt1'!BM$7-2018,0)-VLOOKUP($A31,'Under Construction Nuclear'!$B$5:$D$53,3,0),0)+Z31+$T31+VLOOKUP('Mass Equivalents - States, Opt1'!$A31,'EE Avoided Generation'!$A$4:$K$52,'Mass Equivalents - States, Opt1'!BM$7-2018,0)</f>
        <v>52422280.952172875</v>
      </c>
      <c r="BN31" s="64">
        <f>MAX($BE31-VLOOKUP($A31,'RE Generation'!$A$4:$M$52,'Mass Equivalents - States, Opt1'!BN$7-2016,0)-VLOOKUP('Mass Equivalents - States, Opt1'!$A31,'EE Avoided Generation'!$A$4:$K$52,'Mass Equivalents - States, Opt1'!BN$7-2018,0)-VLOOKUP($A31,'Under Construction Nuclear'!$B$5:$D$53,3,0),0)+AA31+$T31+VLOOKUP('Mass Equivalents - States, Opt1'!$A31,'EE Avoided Generation'!$A$4:$K$52,'Mass Equivalents - States, Opt1'!BN$7-2018,0)</f>
        <v>52422280.952172875</v>
      </c>
      <c r="BO31" s="64">
        <f>MAX($BE31-VLOOKUP($A31,'RE Generation'!$A$4:$M$52,'Mass Equivalents - States, Opt1'!BO$7-2016,0)-VLOOKUP('Mass Equivalents - States, Opt1'!$A31,'EE Avoided Generation'!$A$4:$K$52,'Mass Equivalents - States, Opt1'!BO$7-2018,0)-VLOOKUP($A31,'Under Construction Nuclear'!$B$5:$D$53,3,0),0)+AB31+$T31+VLOOKUP('Mass Equivalents - States, Opt1'!$A31,'EE Avoided Generation'!$A$4:$K$52,'Mass Equivalents - States, Opt1'!BO$7-2018,0)</f>
        <v>52422280.952172883</v>
      </c>
      <c r="BP31" s="64">
        <f>MAX($BE31-VLOOKUP($A31,'RE Generation'!$A$4:$M$52,'Mass Equivalents - States, Opt1'!BP$7-2016,0)-VLOOKUP('Mass Equivalents - States, Opt1'!$A31,'EE Avoided Generation'!$A$4:$K$52,'Mass Equivalents - States, Opt1'!BP$7-2018,0)-VLOOKUP($A31,'Under Construction Nuclear'!$B$5:$D$53,3,0),0)+AC31+$T31+VLOOKUP('Mass Equivalents - States, Opt1'!$A31,'EE Avoided Generation'!$A$4:$K$52,'Mass Equivalents - States, Opt1'!BP$7-2018,0)</f>
        <v>52422280.952172883</v>
      </c>
      <c r="BQ31" s="65">
        <f>MAX($BE31-VLOOKUP($A31,'RE Generation'!$A$4:$M$52,'Mass Equivalents - States, Opt1'!BQ$7-2016,0)-VLOOKUP('Mass Equivalents - States, Opt1'!$A31,'EE Avoided Generation'!$A$4:$K$52,'Mass Equivalents - States, Opt1'!BQ$7-2018,0)-VLOOKUP($A31,'Under Construction Nuclear'!$B$5:$D$53,3,0),0)+AD31+$T31+VLOOKUP('Mass Equivalents - States, Opt1'!$A31,'EE Avoided Generation'!$A$4:$K$52,'Mass Equivalents - States, Opt1'!BQ$7-2018,0)</f>
        <v>52422280.952172883</v>
      </c>
      <c r="BR31" s="29"/>
      <c r="BS31" s="71">
        <f t="shared" si="4"/>
        <v>18625.702700784332</v>
      </c>
      <c r="BT31" s="72">
        <f t="shared" si="5"/>
        <v>18378.384226087324</v>
      </c>
      <c r="BU31" s="72">
        <f t="shared" si="6"/>
        <v>18099.991550403574</v>
      </c>
      <c r="BV31" s="72">
        <f t="shared" si="7"/>
        <v>17794.182423460141</v>
      </c>
      <c r="BW31" s="72">
        <f t="shared" si="8"/>
        <v>17464.447450728545</v>
      </c>
      <c r="BX31" s="72">
        <f t="shared" si="9"/>
        <v>17138.345636572514</v>
      </c>
      <c r="BY31" s="72">
        <f t="shared" si="10"/>
        <v>16817.032056209529</v>
      </c>
      <c r="BZ31" s="72">
        <f t="shared" si="11"/>
        <v>16655.318467382225</v>
      </c>
      <c r="CA31" s="72">
        <f t="shared" si="12"/>
        <v>16545.712877920905</v>
      </c>
      <c r="CB31" s="72">
        <f t="shared" si="13"/>
        <v>16449.265333702911</v>
      </c>
      <c r="CC31" s="75">
        <f t="shared" si="33"/>
        <v>17396.838272325203</v>
      </c>
      <c r="CD31" s="76">
        <f t="shared" si="34"/>
        <v>16449.265333702911</v>
      </c>
      <c r="CG31" s="63">
        <f>BH31+VLOOKUP($A31,'Incremental Demand for New Gen'!$AG$5:$AQ$53,'Mass Equivalents - States, Opt1'!BH$7-2018,0)</f>
        <v>55575716.512606449</v>
      </c>
      <c r="CH31" s="64">
        <f>BI31+VLOOKUP($A31,'Incremental Demand for New Gen'!$AG$5:$AQ$53,'Mass Equivalents - States, Opt1'!BI$7-2018,0)</f>
        <v>56080099.176822521</v>
      </c>
      <c r="CI31" s="64">
        <f>BJ31+VLOOKUP($A31,'Incremental Demand for New Gen'!$AG$5:$AQ$53,'Mass Equivalents - States, Opt1'!BJ$7-2018,0)</f>
        <v>56589029.823775768</v>
      </c>
      <c r="CJ31" s="64">
        <f>BK31+VLOOKUP($A31,'Incremental Demand for New Gen'!$AG$5:$AQ$53,'Mass Equivalents - States, Opt1'!BK$7-2018,0)</f>
        <v>57102549.462304197</v>
      </c>
      <c r="CK31" s="64">
        <f>BL31+VLOOKUP($A31,'Incremental Demand for New Gen'!$AG$5:$AQ$53,'Mass Equivalents - States, Opt1'!BL$7-2018,0)</f>
        <v>57620699.471019618</v>
      </c>
      <c r="CL31" s="64">
        <f>BM31+VLOOKUP($A31,'Incremental Demand for New Gen'!$AG$5:$AQ$53,'Mass Equivalents - States, Opt1'!BM$7-2018,0)</f>
        <v>58143521.601641849</v>
      </c>
      <c r="CM31" s="64">
        <f>BN31+VLOOKUP($A31,'Incremental Demand for New Gen'!$AG$5:$AQ$53,'Mass Equivalents - States, Opt1'!BN$7-2018,0)</f>
        <v>58671057.982363015</v>
      </c>
      <c r="CN31" s="64">
        <f>BO31+VLOOKUP($A31,'Incremental Demand for New Gen'!$AG$5:$AQ$53,'Mass Equivalents - States, Opt1'!BO$7-2018,0)</f>
        <v>59203351.121242143</v>
      </c>
      <c r="CO31" s="64">
        <f>BP31+VLOOKUP($A31,'Incremental Demand for New Gen'!$AG$5:$AQ$53,'Mass Equivalents - States, Opt1'!BP$7-2018,0)</f>
        <v>59740443.909630433</v>
      </c>
      <c r="CP31" s="65">
        <f>BQ31+VLOOKUP($A31,'Incremental Demand for New Gen'!$AG$5:$AQ$53,'Mass Equivalents - States, Opt1'!BQ$7-2018,0)</f>
        <v>60282379.625627339</v>
      </c>
      <c r="CQ31" s="29"/>
      <c r="CR31" s="71">
        <f t="shared" si="14"/>
        <v>19746.12234235436</v>
      </c>
      <c r="CS31" s="72">
        <f t="shared" si="15"/>
        <v>19660.754766642931</v>
      </c>
      <c r="CT31" s="72">
        <f t="shared" si="16"/>
        <v>19538.656904119733</v>
      </c>
      <c r="CU31" s="72">
        <f t="shared" si="17"/>
        <v>19382.849496837476</v>
      </c>
      <c r="CV31" s="72">
        <f t="shared" si="18"/>
        <v>19196.297065058039</v>
      </c>
      <c r="CW31" s="72">
        <f t="shared" si="19"/>
        <v>19008.783128792005</v>
      </c>
      <c r="CX31" s="72">
        <f t="shared" si="20"/>
        <v>18821.635475215426</v>
      </c>
      <c r="CY31" s="72">
        <f t="shared" si="21"/>
        <v>18809.762744970129</v>
      </c>
      <c r="CZ31" s="72">
        <f t="shared" si="22"/>
        <v>18855.498352505645</v>
      </c>
      <c r="DA31" s="72">
        <f t="shared" si="23"/>
        <v>18915.637385439812</v>
      </c>
      <c r="DB31" s="75">
        <f t="shared" si="35"/>
        <v>19193.599766193551</v>
      </c>
      <c r="DC31" s="76">
        <f t="shared" si="36"/>
        <v>18915.637385439812</v>
      </c>
    </row>
    <row r="32" spans="1:107" x14ac:dyDescent="0.25">
      <c r="A32" s="16" t="s">
        <v>66</v>
      </c>
      <c r="B32" s="17">
        <v>2084.5587934</v>
      </c>
      <c r="C32" s="17">
        <v>889.72164320000002</v>
      </c>
      <c r="D32" s="17">
        <v>0</v>
      </c>
      <c r="E32" s="17">
        <v>0</v>
      </c>
      <c r="F32" s="17">
        <v>72939512</v>
      </c>
      <c r="G32" s="17">
        <v>4854569.0000999998</v>
      </c>
      <c r="H32" s="17">
        <v>0</v>
      </c>
      <c r="I32" s="17">
        <v>0</v>
      </c>
      <c r="J32" s="17">
        <v>2078.6999999999998</v>
      </c>
      <c r="K32" s="17">
        <v>0</v>
      </c>
      <c r="L32" s="18">
        <f t="shared" si="24"/>
        <v>1959.4852657959998</v>
      </c>
      <c r="M32" s="19">
        <f t="shared" si="37"/>
        <v>65012570.440099999</v>
      </c>
      <c r="N32" s="19">
        <f t="shared" si="38"/>
        <v>0</v>
      </c>
      <c r="O32" s="19">
        <f t="shared" si="2"/>
        <v>12781510.559999997</v>
      </c>
      <c r="P32" s="19">
        <f t="shared" si="25"/>
        <v>0</v>
      </c>
      <c r="Q32" s="19">
        <f t="shared" si="26"/>
        <v>0</v>
      </c>
      <c r="R32" s="20">
        <f t="shared" si="27"/>
        <v>0.26586828560817621</v>
      </c>
      <c r="S32" s="20">
        <f t="shared" si="28"/>
        <v>0.7</v>
      </c>
      <c r="T32" s="21">
        <v>549656.71110506309</v>
      </c>
      <c r="U32" s="22">
        <v>1638287.3021962619</v>
      </c>
      <c r="V32" s="22">
        <v>1736282.9317854273</v>
      </c>
      <c r="W32" s="22">
        <v>1840140.258163491</v>
      </c>
      <c r="X32" s="22">
        <v>1950209.903999944</v>
      </c>
      <c r="Y32" s="22">
        <v>2066863.4647748449</v>
      </c>
      <c r="Z32" s="22">
        <v>2190494.7632863624</v>
      </c>
      <c r="AA32" s="22">
        <v>2321521.1791978134</v>
      </c>
      <c r="AB32" s="22">
        <v>2460385.0581127568</v>
      </c>
      <c r="AC32" s="22">
        <v>2607555.2049351796</v>
      </c>
      <c r="AD32" s="22">
        <v>2763528.4665563675</v>
      </c>
      <c r="AE32" s="23">
        <v>1.5757543520218836E-2</v>
      </c>
      <c r="AF32" s="23">
        <v>2.3825480768057888E-2</v>
      </c>
      <c r="AG32" s="23">
        <v>3.3256812711147735E-2</v>
      </c>
      <c r="AH32" s="23">
        <v>4.3899367525245384E-2</v>
      </c>
      <c r="AI32" s="23">
        <v>5.5411895225225667E-2</v>
      </c>
      <c r="AJ32" s="23">
        <v>6.5962570404294527E-2</v>
      </c>
      <c r="AK32" s="23">
        <v>7.5582765644706562E-2</v>
      </c>
      <c r="AL32" s="23">
        <v>8.4302426062777575E-2</v>
      </c>
      <c r="AM32" s="23">
        <v>9.215012571687714E-2</v>
      </c>
      <c r="AN32" s="23">
        <v>9.915312165697672E-2</v>
      </c>
      <c r="AO32" s="23">
        <v>0.99471654687004885</v>
      </c>
      <c r="AP32" s="24">
        <v>88626254.460899994</v>
      </c>
      <c r="AQ32" s="25">
        <f t="shared" si="3"/>
        <v>1705.3109331430821</v>
      </c>
      <c r="AR32" s="25">
        <f t="shared" si="3"/>
        <v>1688.5183589851297</v>
      </c>
      <c r="AS32" s="25">
        <f t="shared" si="3"/>
        <v>1669.5173934047641</v>
      </c>
      <c r="AT32" s="25">
        <f t="shared" si="3"/>
        <v>1648.7228988362199</v>
      </c>
      <c r="AU32" s="25">
        <f t="shared" si="3"/>
        <v>1626.8500994989763</v>
      </c>
      <c r="AV32" s="25">
        <f t="shared" si="3"/>
        <v>1606.9969602668184</v>
      </c>
      <c r="AW32" s="25">
        <f t="shared" si="3"/>
        <v>1588.9793722290678</v>
      </c>
      <c r="AX32" s="25">
        <f t="shared" si="3"/>
        <v>1572.6355690215044</v>
      </c>
      <c r="AY32" s="25">
        <f t="shared" si="3"/>
        <v>1557.8227443921003</v>
      </c>
      <c r="AZ32" s="25">
        <f t="shared" si="3"/>
        <v>1544.4142493563741</v>
      </c>
      <c r="BA32" s="26">
        <f t="shared" si="29"/>
        <v>1620.9768579134038</v>
      </c>
      <c r="BB32" s="26">
        <f t="shared" si="30"/>
        <v>1544.4142493563741</v>
      </c>
      <c r="BC32" s="69"/>
      <c r="BD32" s="70"/>
      <c r="BE32" s="79">
        <f t="shared" si="31"/>
        <v>77794081.000100002</v>
      </c>
      <c r="BF32" s="79">
        <f t="shared" si="32"/>
        <v>70926.470881014233</v>
      </c>
      <c r="BG32" s="84"/>
      <c r="BH32" s="63">
        <f>MAX($BE32-VLOOKUP($A32,'RE Generation'!$A$4:$M$52,'Mass Equivalents - States, Opt1'!BH$7-2016,0)-VLOOKUP('Mass Equivalents - States, Opt1'!$A32,'EE Avoided Generation'!$A$4:$K$52,'Mass Equivalents - States, Opt1'!BH$7-2018,0)-VLOOKUP($A32,'Under Construction Nuclear'!$B$5:$D$53,3,0),0)+U32+$T32+VLOOKUP('Mass Equivalents - States, Opt1'!$A32,'EE Avoided Generation'!$A$4:$K$52,'Mass Equivalents - States, Opt1'!BH$7-2018,0)</f>
        <v>79642316.611205071</v>
      </c>
      <c r="BI32" s="64">
        <f>MAX($BE32-VLOOKUP($A32,'RE Generation'!$A$4:$M$52,'Mass Equivalents - States, Opt1'!BI$7-2016,0)-VLOOKUP('Mass Equivalents - States, Opt1'!$A32,'EE Avoided Generation'!$A$4:$K$52,'Mass Equivalents - States, Opt1'!BI$7-2018,0)-VLOOKUP($A32,'Under Construction Nuclear'!$B$5:$D$53,3,0),0)+V32+$T32+VLOOKUP('Mass Equivalents - States, Opt1'!$A32,'EE Avoided Generation'!$A$4:$K$52,'Mass Equivalents - States, Opt1'!BI$7-2018,0)</f>
        <v>79642316.611205071</v>
      </c>
      <c r="BJ32" s="64">
        <f>MAX($BE32-VLOOKUP($A32,'RE Generation'!$A$4:$M$52,'Mass Equivalents - States, Opt1'!BJ$7-2016,0)-VLOOKUP('Mass Equivalents - States, Opt1'!$A32,'EE Avoided Generation'!$A$4:$K$52,'Mass Equivalents - States, Opt1'!BJ$7-2018,0)-VLOOKUP($A32,'Under Construction Nuclear'!$B$5:$D$53,3,0),0)+W32+$T32+VLOOKUP('Mass Equivalents - States, Opt1'!$A32,'EE Avoided Generation'!$A$4:$K$52,'Mass Equivalents - States, Opt1'!BJ$7-2018,0)</f>
        <v>79642316.611205071</v>
      </c>
      <c r="BK32" s="64">
        <f>MAX($BE32-VLOOKUP($A32,'RE Generation'!$A$4:$M$52,'Mass Equivalents - States, Opt1'!BK$7-2016,0)-VLOOKUP('Mass Equivalents - States, Opt1'!$A32,'EE Avoided Generation'!$A$4:$K$52,'Mass Equivalents - States, Opt1'!BK$7-2018,0)-VLOOKUP($A32,'Under Construction Nuclear'!$B$5:$D$53,3,0),0)+X32+$T32+VLOOKUP('Mass Equivalents - States, Opt1'!$A32,'EE Avoided Generation'!$A$4:$K$52,'Mass Equivalents - States, Opt1'!BK$7-2018,0)</f>
        <v>79642316.611205056</v>
      </c>
      <c r="BL32" s="64">
        <f>MAX($BE32-VLOOKUP($A32,'RE Generation'!$A$4:$M$52,'Mass Equivalents - States, Opt1'!BL$7-2016,0)-VLOOKUP('Mass Equivalents - States, Opt1'!$A32,'EE Avoided Generation'!$A$4:$K$52,'Mass Equivalents - States, Opt1'!BL$7-2018,0)-VLOOKUP($A32,'Under Construction Nuclear'!$B$5:$D$53,3,0),0)+Y32+$T32+VLOOKUP('Mass Equivalents - States, Opt1'!$A32,'EE Avoided Generation'!$A$4:$K$52,'Mass Equivalents - States, Opt1'!BL$7-2018,0)</f>
        <v>79642316.611205071</v>
      </c>
      <c r="BM32" s="64">
        <f>MAX($BE32-VLOOKUP($A32,'RE Generation'!$A$4:$M$52,'Mass Equivalents - States, Opt1'!BM$7-2016,0)-VLOOKUP('Mass Equivalents - States, Opt1'!$A32,'EE Avoided Generation'!$A$4:$K$52,'Mass Equivalents - States, Opt1'!BM$7-2018,0)-VLOOKUP($A32,'Under Construction Nuclear'!$B$5:$D$53,3,0),0)+Z32+$T32+VLOOKUP('Mass Equivalents - States, Opt1'!$A32,'EE Avoided Generation'!$A$4:$K$52,'Mass Equivalents - States, Opt1'!BM$7-2018,0)</f>
        <v>79642316.611205071</v>
      </c>
      <c r="BN32" s="64">
        <f>MAX($BE32-VLOOKUP($A32,'RE Generation'!$A$4:$M$52,'Mass Equivalents - States, Opt1'!BN$7-2016,0)-VLOOKUP('Mass Equivalents - States, Opt1'!$A32,'EE Avoided Generation'!$A$4:$K$52,'Mass Equivalents - States, Opt1'!BN$7-2018,0)-VLOOKUP($A32,'Under Construction Nuclear'!$B$5:$D$53,3,0),0)+AA32+$T32+VLOOKUP('Mass Equivalents - States, Opt1'!$A32,'EE Avoided Generation'!$A$4:$K$52,'Mass Equivalents - States, Opt1'!BN$7-2018,0)</f>
        <v>79642316.611205071</v>
      </c>
      <c r="BO32" s="64">
        <f>MAX($BE32-VLOOKUP($A32,'RE Generation'!$A$4:$M$52,'Mass Equivalents - States, Opt1'!BO$7-2016,0)-VLOOKUP('Mass Equivalents - States, Opt1'!$A32,'EE Avoided Generation'!$A$4:$K$52,'Mass Equivalents - States, Opt1'!BO$7-2018,0)-VLOOKUP($A32,'Under Construction Nuclear'!$B$5:$D$53,3,0),0)+AB32+$T32+VLOOKUP('Mass Equivalents - States, Opt1'!$A32,'EE Avoided Generation'!$A$4:$K$52,'Mass Equivalents - States, Opt1'!BO$7-2018,0)</f>
        <v>79642316.611205071</v>
      </c>
      <c r="BP32" s="64">
        <f>MAX($BE32-VLOOKUP($A32,'RE Generation'!$A$4:$M$52,'Mass Equivalents - States, Opt1'!BP$7-2016,0)-VLOOKUP('Mass Equivalents - States, Opt1'!$A32,'EE Avoided Generation'!$A$4:$K$52,'Mass Equivalents - States, Opt1'!BP$7-2018,0)-VLOOKUP($A32,'Under Construction Nuclear'!$B$5:$D$53,3,0),0)+AC32+$T32+VLOOKUP('Mass Equivalents - States, Opt1'!$A32,'EE Avoided Generation'!$A$4:$K$52,'Mass Equivalents - States, Opt1'!BP$7-2018,0)</f>
        <v>79642316.611205071</v>
      </c>
      <c r="BQ32" s="65">
        <f>MAX($BE32-VLOOKUP($A32,'RE Generation'!$A$4:$M$52,'Mass Equivalents - States, Opt1'!BQ$7-2016,0)-VLOOKUP('Mass Equivalents - States, Opt1'!$A32,'EE Avoided Generation'!$A$4:$K$52,'Mass Equivalents - States, Opt1'!BQ$7-2018,0)-VLOOKUP($A32,'Under Construction Nuclear'!$B$5:$D$53,3,0),0)+AD32+$T32+VLOOKUP('Mass Equivalents - States, Opt1'!$A32,'EE Avoided Generation'!$A$4:$K$52,'Mass Equivalents - States, Opt1'!BQ$7-2018,0)</f>
        <v>79642316.611205071</v>
      </c>
      <c r="BR32" s="29"/>
      <c r="BS32" s="71">
        <f t="shared" si="4"/>
        <v>61604.68164941392</v>
      </c>
      <c r="BT32" s="72">
        <f t="shared" si="5"/>
        <v>60998.046715590957</v>
      </c>
      <c r="BU32" s="72">
        <f t="shared" si="6"/>
        <v>60311.633221805139</v>
      </c>
      <c r="BV32" s="72">
        <f t="shared" si="7"/>
        <v>59560.428152360968</v>
      </c>
      <c r="BW32" s="72">
        <f t="shared" si="8"/>
        <v>58770.269118155491</v>
      </c>
      <c r="BX32" s="72">
        <f t="shared" si="9"/>
        <v>58053.070689195461</v>
      </c>
      <c r="BY32" s="72">
        <f t="shared" si="10"/>
        <v>57402.18189608246</v>
      </c>
      <c r="BZ32" s="72">
        <f t="shared" si="11"/>
        <v>56811.758898156288</v>
      </c>
      <c r="CA32" s="72">
        <f t="shared" si="12"/>
        <v>56276.642792414139</v>
      </c>
      <c r="CB32" s="72">
        <f t="shared" si="13"/>
        <v>55792.258360214895</v>
      </c>
      <c r="CC32" s="75">
        <f t="shared" si="33"/>
        <v>58558.097149338966</v>
      </c>
      <c r="CD32" s="76">
        <f t="shared" si="34"/>
        <v>55792.258360214895</v>
      </c>
      <c r="CG32" s="63">
        <f>BH32+VLOOKUP($A32,'Incremental Demand for New Gen'!$AG$5:$AQ$53,'Mass Equivalents - States, Opt1'!BH$7-2018,0)</f>
        <v>82531789.069605023</v>
      </c>
      <c r="CH32" s="64">
        <f>BI32+VLOOKUP($A32,'Incremental Demand for New Gen'!$AG$5:$AQ$53,'Mass Equivalents - States, Opt1'!BI$7-2018,0)</f>
        <v>82899526.958707348</v>
      </c>
      <c r="CI32" s="64">
        <f>BJ32+VLOOKUP($A32,'Incremental Demand for New Gen'!$AG$5:$AQ$53,'Mass Equivalents - States, Opt1'!BJ$7-2018,0)</f>
        <v>83268740.784877121</v>
      </c>
      <c r="CJ32" s="64">
        <f>BK32+VLOOKUP($A32,'Incremental Demand for New Gen'!$AG$5:$AQ$53,'Mass Equivalents - States, Opt1'!BK$7-2018,0)</f>
        <v>83639436.471872211</v>
      </c>
      <c r="CK32" s="64">
        <f>BL32+VLOOKUP($A32,'Incremental Demand for New Gen'!$AG$5:$AQ$53,'Mass Equivalents - States, Opt1'!BL$7-2018,0)</f>
        <v>84011619.967225924</v>
      </c>
      <c r="CL32" s="64">
        <f>BM32+VLOOKUP($A32,'Incremental Demand for New Gen'!$AG$5:$AQ$53,'Mass Equivalents - States, Opt1'!BM$7-2018,0)</f>
        <v>84385297.242342234</v>
      </c>
      <c r="CM32" s="64">
        <f>BN32+VLOOKUP($A32,'Incremental Demand for New Gen'!$AG$5:$AQ$53,'Mass Equivalents - States, Opt1'!BN$7-2018,0)</f>
        <v>84760474.292591721</v>
      </c>
      <c r="CN32" s="64">
        <f>BO32+VLOOKUP($A32,'Incremental Demand for New Gen'!$AG$5:$AQ$53,'Mass Equivalents - States, Opt1'!BO$7-2018,0)</f>
        <v>85137157.13740775</v>
      </c>
      <c r="CO32" s="64">
        <f>BP32+VLOOKUP($A32,'Incremental Demand for New Gen'!$AG$5:$AQ$53,'Mass Equivalents - States, Opt1'!BP$7-2018,0)</f>
        <v>85515351.820382997</v>
      </c>
      <c r="CP32" s="65">
        <f>BQ32+VLOOKUP($A32,'Incremental Demand for New Gen'!$AG$5:$AQ$53,'Mass Equivalents - States, Opt1'!BQ$7-2018,0)</f>
        <v>85895064.409366429</v>
      </c>
      <c r="CQ32" s="29"/>
      <c r="CR32" s="71">
        <f t="shared" si="14"/>
        <v>63839.737565773772</v>
      </c>
      <c r="CS32" s="72">
        <f t="shared" si="15"/>
        <v>63492.743974453675</v>
      </c>
      <c r="CT32" s="72">
        <f t="shared" si="16"/>
        <v>63057.856259702363</v>
      </c>
      <c r="CU32" s="72">
        <f t="shared" si="17"/>
        <v>62549.670309138543</v>
      </c>
      <c r="CV32" s="72">
        <f t="shared" si="18"/>
        <v>61994.498962520382</v>
      </c>
      <c r="CW32" s="72">
        <f t="shared" si="19"/>
        <v>61510.335640453188</v>
      </c>
      <c r="CX32" s="72">
        <f t="shared" si="20"/>
        <v>61091.092900944583</v>
      </c>
      <c r="CY32" s="72">
        <f t="shared" si="21"/>
        <v>60731.428345774082</v>
      </c>
      <c r="CZ32" s="72">
        <f t="shared" si="22"/>
        <v>60426.631374334371</v>
      </c>
      <c r="DA32" s="72">
        <f t="shared" si="23"/>
        <v>60172.529244590485</v>
      </c>
      <c r="DB32" s="75">
        <f t="shared" si="35"/>
        <v>61886.652457768541</v>
      </c>
      <c r="DC32" s="76">
        <f t="shared" si="36"/>
        <v>60172.529244590485</v>
      </c>
    </row>
    <row r="33" spans="1:107" x14ac:dyDescent="0.25">
      <c r="A33" s="16" t="s">
        <v>67</v>
      </c>
      <c r="B33" s="17">
        <v>2437.9229869000001</v>
      </c>
      <c r="C33" s="17">
        <v>0</v>
      </c>
      <c r="D33" s="17">
        <v>0</v>
      </c>
      <c r="E33" s="17">
        <v>637810628.83775425</v>
      </c>
      <c r="F33" s="17">
        <v>14447406</v>
      </c>
      <c r="G33" s="17">
        <v>0</v>
      </c>
      <c r="H33" s="17">
        <v>0</v>
      </c>
      <c r="I33" s="17">
        <v>257516.70187340002</v>
      </c>
      <c r="J33" s="17">
        <v>0</v>
      </c>
      <c r="K33" s="17">
        <v>0</v>
      </c>
      <c r="L33" s="18">
        <f t="shared" si="24"/>
        <v>2291.6476076859999</v>
      </c>
      <c r="M33" s="19">
        <f t="shared" si="37"/>
        <v>14447406</v>
      </c>
      <c r="N33" s="19">
        <f t="shared" si="38"/>
        <v>0</v>
      </c>
      <c r="O33" s="19">
        <f t="shared" si="2"/>
        <v>0</v>
      </c>
      <c r="P33" s="19">
        <f t="shared" si="25"/>
        <v>637810628.83775425</v>
      </c>
      <c r="Q33" s="19">
        <f t="shared" si="26"/>
        <v>257516.70187340002</v>
      </c>
      <c r="R33" s="20"/>
      <c r="S33" s="20"/>
      <c r="T33" s="21"/>
      <c r="U33" s="22">
        <v>1598643.1130111066</v>
      </c>
      <c r="V33" s="22">
        <v>1696078.2383710877</v>
      </c>
      <c r="W33" s="22">
        <v>1799451.9022182696</v>
      </c>
      <c r="X33" s="22">
        <v>1909126.0504036348</v>
      </c>
      <c r="Y33" s="22">
        <v>2025484.6888859384</v>
      </c>
      <c r="Z33" s="22">
        <v>2148935.2282653004</v>
      </c>
      <c r="AA33" s="22">
        <v>2279909.9102642927</v>
      </c>
      <c r="AB33" s="22">
        <v>2418867.3211511099</v>
      </c>
      <c r="AC33" s="22">
        <v>2566293.9974038242</v>
      </c>
      <c r="AD33" s="22">
        <v>2722706.1292376984</v>
      </c>
      <c r="AE33" s="23">
        <v>3.3626861682224486E-2</v>
      </c>
      <c r="AF33" s="23">
        <v>4.5119684316196486E-2</v>
      </c>
      <c r="AG33" s="23">
        <v>5.6299844647805346E-2</v>
      </c>
      <c r="AH33" s="23">
        <v>6.6491472684185815E-2</v>
      </c>
      <c r="AI33" s="23">
        <v>7.5734341090530163E-2</v>
      </c>
      <c r="AJ33" s="23">
        <v>8.4066332531141416E-2</v>
      </c>
      <c r="AK33" s="23">
        <v>9.1523525608059944E-2</v>
      </c>
      <c r="AL33" s="23">
        <v>9.8140276848189559E-2</v>
      </c>
      <c r="AM33" s="23">
        <v>0.10394929892009647</v>
      </c>
      <c r="AN33" s="23">
        <v>0.10898173525334133</v>
      </c>
      <c r="AO33" s="23">
        <v>2.0767694708207758</v>
      </c>
      <c r="AP33" s="24">
        <v>14904523.063299999</v>
      </c>
      <c r="AQ33" s="25">
        <f t="shared" si="3"/>
        <v>2008.1320852127728</v>
      </c>
      <c r="AR33" s="25">
        <f t="shared" si="3"/>
        <v>1976.5248554911652</v>
      </c>
      <c r="AS33" s="25">
        <f t="shared" si="3"/>
        <v>1945.7537397667911</v>
      </c>
      <c r="AT33" s="25">
        <f t="shared" si="3"/>
        <v>1916.8438039791326</v>
      </c>
      <c r="AU33" s="25">
        <f t="shared" si="3"/>
        <v>1889.5689534025482</v>
      </c>
      <c r="AV33" s="25">
        <f t="shared" si="3"/>
        <v>1863.726588678506</v>
      </c>
      <c r="AW33" s="25">
        <f t="shared" si="3"/>
        <v>1839.1340834419666</v>
      </c>
      <c r="AX33" s="25">
        <f t="shared" si="3"/>
        <v>1815.6258775655717</v>
      </c>
      <c r="AY33" s="25">
        <f t="shared" si="3"/>
        <v>1793.0510711169341</v>
      </c>
      <c r="AZ33" s="25">
        <f t="shared" si="3"/>
        <v>1771.2714290773936</v>
      </c>
      <c r="BA33" s="26">
        <f t="shared" si="29"/>
        <v>1881.9632487732783</v>
      </c>
      <c r="BB33" s="26">
        <f t="shared" si="30"/>
        <v>1771.2714290773936</v>
      </c>
      <c r="BC33" s="69"/>
      <c r="BD33" s="70"/>
      <c r="BE33" s="79">
        <f t="shared" si="31"/>
        <v>14704922.701873399</v>
      </c>
      <c r="BF33" s="79">
        <f t="shared" si="32"/>
        <v>16265.603059626937</v>
      </c>
      <c r="BG33" s="84"/>
      <c r="BH33" s="63">
        <f>MAX($BE33-VLOOKUP($A33,'RE Generation'!$A$4:$M$52,'Mass Equivalents - States, Opt1'!BH$7-2016,0)-VLOOKUP('Mass Equivalents - States, Opt1'!$A33,'EE Avoided Generation'!$A$4:$K$52,'Mass Equivalents - States, Opt1'!BH$7-2018,0)-VLOOKUP($A33,'Under Construction Nuclear'!$B$5:$D$53,3,0),0)+U33+$T33+VLOOKUP('Mass Equivalents - States, Opt1'!$A33,'EE Avoided Generation'!$A$4:$K$52,'Mass Equivalents - States, Opt1'!BH$7-2018,0)</f>
        <v>15966674.9218734</v>
      </c>
      <c r="BI33" s="64">
        <f>MAX($BE33-VLOOKUP($A33,'RE Generation'!$A$4:$M$52,'Mass Equivalents - States, Opt1'!BI$7-2016,0)-VLOOKUP('Mass Equivalents - States, Opt1'!$A33,'EE Avoided Generation'!$A$4:$K$52,'Mass Equivalents - States, Opt1'!BI$7-2018,0)-VLOOKUP($A33,'Under Construction Nuclear'!$B$5:$D$53,3,0),0)+V33+$T33+VLOOKUP('Mass Equivalents - States, Opt1'!$A33,'EE Avoided Generation'!$A$4:$K$52,'Mass Equivalents - States, Opt1'!BI$7-2018,0)</f>
        <v>15966674.921873398</v>
      </c>
      <c r="BJ33" s="64">
        <f>MAX($BE33-VLOOKUP($A33,'RE Generation'!$A$4:$M$52,'Mass Equivalents - States, Opt1'!BJ$7-2016,0)-VLOOKUP('Mass Equivalents - States, Opt1'!$A33,'EE Avoided Generation'!$A$4:$K$52,'Mass Equivalents - States, Opt1'!BJ$7-2018,0)-VLOOKUP($A33,'Under Construction Nuclear'!$B$5:$D$53,3,0),0)+W33+$T33+VLOOKUP('Mass Equivalents - States, Opt1'!$A33,'EE Avoided Generation'!$A$4:$K$52,'Mass Equivalents - States, Opt1'!BJ$7-2018,0)</f>
        <v>15966674.921873398</v>
      </c>
      <c r="BK33" s="64">
        <f>MAX($BE33-VLOOKUP($A33,'RE Generation'!$A$4:$M$52,'Mass Equivalents - States, Opt1'!BK$7-2016,0)-VLOOKUP('Mass Equivalents - States, Opt1'!$A33,'EE Avoided Generation'!$A$4:$K$52,'Mass Equivalents - States, Opt1'!BK$7-2018,0)-VLOOKUP($A33,'Under Construction Nuclear'!$B$5:$D$53,3,0),0)+X33+$T33+VLOOKUP('Mass Equivalents - States, Opt1'!$A33,'EE Avoided Generation'!$A$4:$K$52,'Mass Equivalents - States, Opt1'!BK$7-2018,0)</f>
        <v>15966674.921873398</v>
      </c>
      <c r="BL33" s="64">
        <f>MAX($BE33-VLOOKUP($A33,'RE Generation'!$A$4:$M$52,'Mass Equivalents - States, Opt1'!BL$7-2016,0)-VLOOKUP('Mass Equivalents - States, Opt1'!$A33,'EE Avoided Generation'!$A$4:$K$52,'Mass Equivalents - States, Opt1'!BL$7-2018,0)-VLOOKUP($A33,'Under Construction Nuclear'!$B$5:$D$53,3,0),0)+Y33+$T33+VLOOKUP('Mass Equivalents - States, Opt1'!$A33,'EE Avoided Generation'!$A$4:$K$52,'Mass Equivalents - States, Opt1'!BL$7-2018,0)</f>
        <v>15966674.921873398</v>
      </c>
      <c r="BM33" s="64">
        <f>MAX($BE33-VLOOKUP($A33,'RE Generation'!$A$4:$M$52,'Mass Equivalents - States, Opt1'!BM$7-2016,0)-VLOOKUP('Mass Equivalents - States, Opt1'!$A33,'EE Avoided Generation'!$A$4:$K$52,'Mass Equivalents - States, Opt1'!BM$7-2018,0)-VLOOKUP($A33,'Under Construction Nuclear'!$B$5:$D$53,3,0),0)+Z33+$T33+VLOOKUP('Mass Equivalents - States, Opt1'!$A33,'EE Avoided Generation'!$A$4:$K$52,'Mass Equivalents - States, Opt1'!BM$7-2018,0)</f>
        <v>15966674.9218734</v>
      </c>
      <c r="BN33" s="64">
        <f>MAX($BE33-VLOOKUP($A33,'RE Generation'!$A$4:$M$52,'Mass Equivalents - States, Opt1'!BN$7-2016,0)-VLOOKUP('Mass Equivalents - States, Opt1'!$A33,'EE Avoided Generation'!$A$4:$K$52,'Mass Equivalents - States, Opt1'!BN$7-2018,0)-VLOOKUP($A33,'Under Construction Nuclear'!$B$5:$D$53,3,0),0)+AA33+$T33+VLOOKUP('Mass Equivalents - States, Opt1'!$A33,'EE Avoided Generation'!$A$4:$K$52,'Mass Equivalents - States, Opt1'!BN$7-2018,0)</f>
        <v>15966674.9218734</v>
      </c>
      <c r="BO33" s="64">
        <f>MAX($BE33-VLOOKUP($A33,'RE Generation'!$A$4:$M$52,'Mass Equivalents - States, Opt1'!BO$7-2016,0)-VLOOKUP('Mass Equivalents - States, Opt1'!$A33,'EE Avoided Generation'!$A$4:$K$52,'Mass Equivalents - States, Opt1'!BO$7-2018,0)-VLOOKUP($A33,'Under Construction Nuclear'!$B$5:$D$53,3,0),0)+AB33+$T33+VLOOKUP('Mass Equivalents - States, Opt1'!$A33,'EE Avoided Generation'!$A$4:$K$52,'Mass Equivalents - States, Opt1'!BO$7-2018,0)</f>
        <v>15966674.921873398</v>
      </c>
      <c r="BP33" s="64">
        <f>MAX($BE33-VLOOKUP($A33,'RE Generation'!$A$4:$M$52,'Mass Equivalents - States, Opt1'!BP$7-2016,0)-VLOOKUP('Mass Equivalents - States, Opt1'!$A33,'EE Avoided Generation'!$A$4:$K$52,'Mass Equivalents - States, Opt1'!BP$7-2018,0)-VLOOKUP($A33,'Under Construction Nuclear'!$B$5:$D$53,3,0),0)+AC33+$T33+VLOOKUP('Mass Equivalents - States, Opt1'!$A33,'EE Avoided Generation'!$A$4:$K$52,'Mass Equivalents - States, Opt1'!BP$7-2018,0)</f>
        <v>15966674.9218734</v>
      </c>
      <c r="BQ33" s="65">
        <f>MAX($BE33-VLOOKUP($A33,'RE Generation'!$A$4:$M$52,'Mass Equivalents - States, Opt1'!BQ$7-2016,0)-VLOOKUP('Mass Equivalents - States, Opt1'!$A33,'EE Avoided Generation'!$A$4:$K$52,'Mass Equivalents - States, Opt1'!BQ$7-2018,0)-VLOOKUP($A33,'Under Construction Nuclear'!$B$5:$D$53,3,0),0)+AD33+$T33+VLOOKUP('Mass Equivalents - States, Opt1'!$A33,'EE Avoided Generation'!$A$4:$K$52,'Mass Equivalents - States, Opt1'!BQ$7-2018,0)</f>
        <v>15966674.9218734</v>
      </c>
      <c r="BR33" s="29"/>
      <c r="BS33" s="71">
        <f t="shared" si="4"/>
        <v>14543.636637958525</v>
      </c>
      <c r="BT33" s="72">
        <f t="shared" si="5"/>
        <v>14314.725368830108</v>
      </c>
      <c r="BU33" s="72">
        <f t="shared" si="6"/>
        <v>14091.869547076505</v>
      </c>
      <c r="BV33" s="72">
        <f t="shared" si="7"/>
        <v>13882.493080050996</v>
      </c>
      <c r="BW33" s="72">
        <f t="shared" si="8"/>
        <v>13684.958505975195</v>
      </c>
      <c r="BX33" s="72">
        <f t="shared" si="9"/>
        <v>13497.798525225102</v>
      </c>
      <c r="BY33" s="72">
        <f t="shared" si="10"/>
        <v>13319.690489996223</v>
      </c>
      <c r="BZ33" s="72">
        <f t="shared" si="11"/>
        <v>13149.435352500926</v>
      </c>
      <c r="CA33" s="72">
        <f t="shared" si="12"/>
        <v>12985.94023951565</v>
      </c>
      <c r="CB33" s="72">
        <f t="shared" si="13"/>
        <v>12828.204001814769</v>
      </c>
      <c r="CC33" s="75">
        <f t="shared" si="33"/>
        <v>13629.875174894401</v>
      </c>
      <c r="CD33" s="76">
        <f t="shared" si="34"/>
        <v>12828.204001814769</v>
      </c>
      <c r="CG33" s="63">
        <f>BH33+VLOOKUP($A33,'Incremental Demand for New Gen'!$AG$5:$AQ$53,'Mass Equivalents - States, Opt1'!BH$7-2018,0)</f>
        <v>17284600.484689295</v>
      </c>
      <c r="CH33" s="64">
        <f>BI33+VLOOKUP($A33,'Incremental Demand for New Gen'!$AG$5:$AQ$53,'Mass Equivalents - States, Opt1'!BI$7-2018,0)</f>
        <v>17457281.084902011</v>
      </c>
      <c r="CI33" s="64">
        <f>BJ33+VLOOKUP($A33,'Incremental Demand for New Gen'!$AG$5:$AQ$53,'Mass Equivalents - States, Opt1'!BJ$7-2018,0)</f>
        <v>17631788.71588007</v>
      </c>
      <c r="CJ33" s="64">
        <f>BK33+VLOOKUP($A33,'Incremental Demand for New Gen'!$AG$5:$AQ$53,'Mass Equivalents - States, Opt1'!BK$7-2018,0)</f>
        <v>17808142.708349761</v>
      </c>
      <c r="CK33" s="64">
        <f>BL33+VLOOKUP($A33,'Incremental Demand for New Gen'!$AG$5:$AQ$53,'Mass Equivalents - States, Opt1'!BL$7-2018,0)</f>
        <v>17986362.597564284</v>
      </c>
      <c r="CL33" s="64">
        <f>BM33+VLOOKUP($A33,'Incremental Demand for New Gen'!$AG$5:$AQ$53,'Mass Equivalents - States, Opt1'!BM$7-2018,0)</f>
        <v>18166468.125467751</v>
      </c>
      <c r="CM33" s="64">
        <f>BN33+VLOOKUP($A33,'Incremental Demand for New Gen'!$AG$5:$AQ$53,'Mass Equivalents - States, Opt1'!BN$7-2018,0)</f>
        <v>18348479.242882039</v>
      </c>
      <c r="CN33" s="64">
        <f>BO33+VLOOKUP($A33,'Incremental Demand for New Gen'!$AG$5:$AQ$53,'Mass Equivalents - States, Opt1'!BO$7-2018,0)</f>
        <v>18532416.111716814</v>
      </c>
      <c r="CO33" s="64">
        <f>BP33+VLOOKUP($A33,'Incremental Demand for New Gen'!$AG$5:$AQ$53,'Mass Equivalents - States, Opt1'!BP$7-2018,0)</f>
        <v>18718299.107202921</v>
      </c>
      <c r="CP33" s="65">
        <f>BQ33+VLOOKUP($A33,'Incremental Demand for New Gen'!$AG$5:$AQ$53,'Mass Equivalents - States, Opt1'!BQ$7-2018,0)</f>
        <v>18906148.820149407</v>
      </c>
      <c r="CQ33" s="29"/>
      <c r="CR33" s="71">
        <f t="shared" si="14"/>
        <v>15744.10139316019</v>
      </c>
      <c r="CS33" s="72">
        <f t="shared" si="15"/>
        <v>15651.109929876624</v>
      </c>
      <c r="CT33" s="72">
        <f t="shared" si="16"/>
        <v>15561.465845679326</v>
      </c>
      <c r="CU33" s="72">
        <f t="shared" si="17"/>
        <v>15483.588106284264</v>
      </c>
      <c r="CV33" s="72">
        <f t="shared" si="18"/>
        <v>15416.022874236052</v>
      </c>
      <c r="CW33" s="72">
        <f t="shared" si="19"/>
        <v>15357.444669745728</v>
      </c>
      <c r="CX33" s="72">
        <f t="shared" si="20"/>
        <v>15306.634955190377</v>
      </c>
      <c r="CY33" s="72">
        <f t="shared" si="21"/>
        <v>15262.464400325762</v>
      </c>
      <c r="CZ33" s="72">
        <f t="shared" si="22"/>
        <v>15223.878157531615</v>
      </c>
      <c r="DA33" s="72">
        <f t="shared" si="23"/>
        <v>15189.883625756784</v>
      </c>
      <c r="DB33" s="75">
        <f t="shared" si="35"/>
        <v>15419.659395778672</v>
      </c>
      <c r="DC33" s="76">
        <f t="shared" si="36"/>
        <v>15189.883625756784</v>
      </c>
    </row>
    <row r="34" spans="1:107" x14ac:dyDescent="0.25">
      <c r="A34" s="16" t="s">
        <v>68</v>
      </c>
      <c r="B34" s="17">
        <v>2181.1538467999999</v>
      </c>
      <c r="C34" s="17">
        <v>1097.0761336</v>
      </c>
      <c r="D34" s="17">
        <v>1754.9565611</v>
      </c>
      <c r="E34" s="17">
        <v>0</v>
      </c>
      <c r="F34" s="17">
        <v>24660983</v>
      </c>
      <c r="G34" s="17">
        <v>423637.99900000001</v>
      </c>
      <c r="H34" s="17">
        <v>37524</v>
      </c>
      <c r="I34" s="17">
        <v>0</v>
      </c>
      <c r="J34" s="17">
        <v>468.3</v>
      </c>
      <c r="K34" s="17">
        <v>0</v>
      </c>
      <c r="L34" s="18">
        <f t="shared" si="24"/>
        <v>2050.284615992</v>
      </c>
      <c r="M34" s="19">
        <f t="shared" si="37"/>
        <v>22208869.080452744</v>
      </c>
      <c r="N34" s="19">
        <f t="shared" si="38"/>
        <v>33792.878547254535</v>
      </c>
      <c r="O34" s="19">
        <f t="shared" si="2"/>
        <v>2879483.04</v>
      </c>
      <c r="P34" s="19">
        <f t="shared" si="25"/>
        <v>0</v>
      </c>
      <c r="Q34" s="19">
        <f t="shared" si="26"/>
        <v>0</v>
      </c>
      <c r="R34" s="20">
        <f t="shared" si="27"/>
        <v>0.10298605519829698</v>
      </c>
      <c r="S34" s="20">
        <f t="shared" si="28"/>
        <v>0.7</v>
      </c>
      <c r="T34" s="21">
        <v>574830.0646808832</v>
      </c>
      <c r="U34" s="22">
        <v>1856031.6434920561</v>
      </c>
      <c r="V34" s="22">
        <v>2010985.8953398997</v>
      </c>
      <c r="W34" s="22">
        <v>2178876.7909405134</v>
      </c>
      <c r="X34" s="22">
        <v>2360784.3700449225</v>
      </c>
      <c r="Y34" s="22">
        <v>2557878.8415304027</v>
      </c>
      <c r="Z34" s="22">
        <v>2771428.1113375952</v>
      </c>
      <c r="AA34" s="22">
        <v>3002805.9388914481</v>
      </c>
      <c r="AB34" s="22">
        <v>3253500.7744761179</v>
      </c>
      <c r="AC34" s="22">
        <v>3525125.3344145454</v>
      </c>
      <c r="AD34" s="22">
        <v>3819426.9756496958</v>
      </c>
      <c r="AE34" s="23">
        <v>2.1965192447987017E-2</v>
      </c>
      <c r="AF34" s="23">
        <v>3.1265636816348329E-2</v>
      </c>
      <c r="AG34" s="23">
        <v>4.1791465810764636E-2</v>
      </c>
      <c r="AH34" s="23">
        <v>5.3388253533933172E-2</v>
      </c>
      <c r="AI34" s="23">
        <v>6.4078451624106705E-2</v>
      </c>
      <c r="AJ34" s="23">
        <v>7.3829168577336735E-2</v>
      </c>
      <c r="AK34" s="23">
        <v>8.267173486315256E-2</v>
      </c>
      <c r="AL34" s="23">
        <v>9.0636044720045314E-2</v>
      </c>
      <c r="AM34" s="23">
        <v>9.7750614114476164E-2</v>
      </c>
      <c r="AN34" s="23">
        <v>0.10404263624554734</v>
      </c>
      <c r="AO34" s="23">
        <v>1.1343799134526367</v>
      </c>
      <c r="AP34" s="24">
        <v>33143117.218899999</v>
      </c>
      <c r="AQ34" s="25">
        <f t="shared" si="3"/>
        <v>1723.8717483495604</v>
      </c>
      <c r="AR34" s="25">
        <f t="shared" si="3"/>
        <v>1696.0923251433262</v>
      </c>
      <c r="AS34" s="25">
        <f t="shared" si="3"/>
        <v>1666.1392605015794</v>
      </c>
      <c r="AT34" s="25">
        <f t="shared" si="3"/>
        <v>1634.5080734510493</v>
      </c>
      <c r="AU34" s="25">
        <f t="shared" si="3"/>
        <v>1604.840184905388</v>
      </c>
      <c r="AV34" s="25">
        <f t="shared" ref="AV34:AZ55" si="40">(($L34*$M34)+($N34*$D34)+($C34*$O34)+$P34)/($M34+$N34+$O34+$Q34+$T34+Z34+(MIN(AJ34*$AP34,$AP34*$AO34*AJ34)))</f>
        <v>1576.978692198491</v>
      </c>
      <c r="AW34" s="25">
        <f t="shared" si="40"/>
        <v>1550.6730570508876</v>
      </c>
      <c r="AX34" s="25">
        <f t="shared" si="40"/>
        <v>1525.6979784169539</v>
      </c>
      <c r="AY34" s="25">
        <f t="shared" si="40"/>
        <v>1501.8492186747974</v>
      </c>
      <c r="AZ34" s="25">
        <f t="shared" si="40"/>
        <v>1478.940222784646</v>
      </c>
      <c r="BA34" s="26">
        <f t="shared" si="29"/>
        <v>1595.9590761476679</v>
      </c>
      <c r="BB34" s="26">
        <f t="shared" si="30"/>
        <v>1478.940222784646</v>
      </c>
      <c r="BC34" s="69"/>
      <c r="BD34" s="70"/>
      <c r="BE34" s="79">
        <f t="shared" si="31"/>
        <v>25122144.998999998</v>
      </c>
      <c r="BF34" s="79">
        <f t="shared" si="32"/>
        <v>24639.173220013919</v>
      </c>
      <c r="BG34" s="84"/>
      <c r="BH34" s="63">
        <f>MAX($BE34-VLOOKUP($A34,'RE Generation'!$A$4:$M$52,'Mass Equivalents - States, Opt1'!BH$7-2016,0)-VLOOKUP('Mass Equivalents - States, Opt1'!$A34,'EE Avoided Generation'!$A$4:$K$52,'Mass Equivalents - States, Opt1'!BH$7-2018,0)-VLOOKUP($A34,'Under Construction Nuclear'!$B$5:$D$53,3,0),0)+U34+$T34+VLOOKUP('Mass Equivalents - States, Opt1'!$A34,'EE Avoided Generation'!$A$4:$K$52,'Mass Equivalents - States, Opt1'!BH$7-2018,0)</f>
        <v>27043736.843680881</v>
      </c>
      <c r="BI34" s="64">
        <f>MAX($BE34-VLOOKUP($A34,'RE Generation'!$A$4:$M$52,'Mass Equivalents - States, Opt1'!BI$7-2016,0)-VLOOKUP('Mass Equivalents - States, Opt1'!$A34,'EE Avoided Generation'!$A$4:$K$52,'Mass Equivalents - States, Opt1'!BI$7-2018,0)-VLOOKUP($A34,'Under Construction Nuclear'!$B$5:$D$53,3,0),0)+V34+$T34+VLOOKUP('Mass Equivalents - States, Opt1'!$A34,'EE Avoided Generation'!$A$4:$K$52,'Mass Equivalents - States, Opt1'!BI$7-2018,0)</f>
        <v>27043736.843680877</v>
      </c>
      <c r="BJ34" s="64">
        <f>MAX($BE34-VLOOKUP($A34,'RE Generation'!$A$4:$M$52,'Mass Equivalents - States, Opt1'!BJ$7-2016,0)-VLOOKUP('Mass Equivalents - States, Opt1'!$A34,'EE Avoided Generation'!$A$4:$K$52,'Mass Equivalents - States, Opt1'!BJ$7-2018,0)-VLOOKUP($A34,'Under Construction Nuclear'!$B$5:$D$53,3,0),0)+W34+$T34+VLOOKUP('Mass Equivalents - States, Opt1'!$A34,'EE Avoided Generation'!$A$4:$K$52,'Mass Equivalents - States, Opt1'!BJ$7-2018,0)</f>
        <v>27043736.843680877</v>
      </c>
      <c r="BK34" s="64">
        <f>MAX($BE34-VLOOKUP($A34,'RE Generation'!$A$4:$M$52,'Mass Equivalents - States, Opt1'!BK$7-2016,0)-VLOOKUP('Mass Equivalents - States, Opt1'!$A34,'EE Avoided Generation'!$A$4:$K$52,'Mass Equivalents - States, Opt1'!BK$7-2018,0)-VLOOKUP($A34,'Under Construction Nuclear'!$B$5:$D$53,3,0),0)+X34+$T34+VLOOKUP('Mass Equivalents - States, Opt1'!$A34,'EE Avoided Generation'!$A$4:$K$52,'Mass Equivalents - States, Opt1'!BK$7-2018,0)</f>
        <v>27043736.843680881</v>
      </c>
      <c r="BL34" s="64">
        <f>MAX($BE34-VLOOKUP($A34,'RE Generation'!$A$4:$M$52,'Mass Equivalents - States, Opt1'!BL$7-2016,0)-VLOOKUP('Mass Equivalents - States, Opt1'!$A34,'EE Avoided Generation'!$A$4:$K$52,'Mass Equivalents - States, Opt1'!BL$7-2018,0)-VLOOKUP($A34,'Under Construction Nuclear'!$B$5:$D$53,3,0),0)+Y34+$T34+VLOOKUP('Mass Equivalents - States, Opt1'!$A34,'EE Avoided Generation'!$A$4:$K$52,'Mass Equivalents - States, Opt1'!BL$7-2018,0)</f>
        <v>27043736.843680877</v>
      </c>
      <c r="BM34" s="64">
        <f>MAX($BE34-VLOOKUP($A34,'RE Generation'!$A$4:$M$52,'Mass Equivalents - States, Opt1'!BM$7-2016,0)-VLOOKUP('Mass Equivalents - States, Opt1'!$A34,'EE Avoided Generation'!$A$4:$K$52,'Mass Equivalents - States, Opt1'!BM$7-2018,0)-VLOOKUP($A34,'Under Construction Nuclear'!$B$5:$D$53,3,0),0)+Z34+$T34+VLOOKUP('Mass Equivalents - States, Opt1'!$A34,'EE Avoided Generation'!$A$4:$K$52,'Mass Equivalents - States, Opt1'!BM$7-2018,0)</f>
        <v>27043736.843680881</v>
      </c>
      <c r="BN34" s="64">
        <f>MAX($BE34-VLOOKUP($A34,'RE Generation'!$A$4:$M$52,'Mass Equivalents - States, Opt1'!BN$7-2016,0)-VLOOKUP('Mass Equivalents - States, Opt1'!$A34,'EE Avoided Generation'!$A$4:$K$52,'Mass Equivalents - States, Opt1'!BN$7-2018,0)-VLOOKUP($A34,'Under Construction Nuclear'!$B$5:$D$53,3,0),0)+AA34+$T34+VLOOKUP('Mass Equivalents - States, Opt1'!$A34,'EE Avoided Generation'!$A$4:$K$52,'Mass Equivalents - States, Opt1'!BN$7-2018,0)</f>
        <v>27043736.843680881</v>
      </c>
      <c r="BO34" s="64">
        <f>MAX($BE34-VLOOKUP($A34,'RE Generation'!$A$4:$M$52,'Mass Equivalents - States, Opt1'!BO$7-2016,0)-VLOOKUP('Mass Equivalents - States, Opt1'!$A34,'EE Avoided Generation'!$A$4:$K$52,'Mass Equivalents - States, Opt1'!BO$7-2018,0)-VLOOKUP($A34,'Under Construction Nuclear'!$B$5:$D$53,3,0),0)+AB34+$T34+VLOOKUP('Mass Equivalents - States, Opt1'!$A34,'EE Avoided Generation'!$A$4:$K$52,'Mass Equivalents - States, Opt1'!BO$7-2018,0)</f>
        <v>27043736.843680881</v>
      </c>
      <c r="BP34" s="64">
        <f>MAX($BE34-VLOOKUP($A34,'RE Generation'!$A$4:$M$52,'Mass Equivalents - States, Opt1'!BP$7-2016,0)-VLOOKUP('Mass Equivalents - States, Opt1'!$A34,'EE Avoided Generation'!$A$4:$K$52,'Mass Equivalents - States, Opt1'!BP$7-2018,0)-VLOOKUP($A34,'Under Construction Nuclear'!$B$5:$D$53,3,0),0)+AC34+$T34+VLOOKUP('Mass Equivalents - States, Opt1'!$A34,'EE Avoided Generation'!$A$4:$K$52,'Mass Equivalents - States, Opt1'!BP$7-2018,0)</f>
        <v>27043736.843680881</v>
      </c>
      <c r="BQ34" s="65">
        <f>MAX($BE34-VLOOKUP($A34,'RE Generation'!$A$4:$M$52,'Mass Equivalents - States, Opt1'!BQ$7-2016,0)-VLOOKUP('Mass Equivalents - States, Opt1'!$A34,'EE Avoided Generation'!$A$4:$K$52,'Mass Equivalents - States, Opt1'!BQ$7-2018,0)-VLOOKUP($A34,'Under Construction Nuclear'!$B$5:$D$53,3,0),0)+AD34+$T34+VLOOKUP('Mass Equivalents - States, Opt1'!$A34,'EE Avoided Generation'!$A$4:$K$52,'Mass Equivalents - States, Opt1'!BQ$7-2018,0)</f>
        <v>27043736.843680881</v>
      </c>
      <c r="BR34" s="29"/>
      <c r="BS34" s="71">
        <f t="shared" si="4"/>
        <v>21146.471462030455</v>
      </c>
      <c r="BT34" s="72">
        <f t="shared" si="5"/>
        <v>20805.705520118183</v>
      </c>
      <c r="BU34" s="72">
        <f t="shared" si="6"/>
        <v>20438.27585068165</v>
      </c>
      <c r="BV34" s="72">
        <f t="shared" si="7"/>
        <v>20050.260909944573</v>
      </c>
      <c r="BW34" s="72">
        <f t="shared" si="8"/>
        <v>19686.329452125756</v>
      </c>
      <c r="BX34" s="72">
        <f t="shared" si="9"/>
        <v>19344.556776182751</v>
      </c>
      <c r="BY34" s="72">
        <f t="shared" si="10"/>
        <v>19021.869567304275</v>
      </c>
      <c r="BZ34" s="72">
        <f t="shared" si="11"/>
        <v>18715.504091972318</v>
      </c>
      <c r="CA34" s="72">
        <f t="shared" si="12"/>
        <v>18422.954998470927</v>
      </c>
      <c r="CB34" s="72">
        <f t="shared" si="13"/>
        <v>18141.933844618459</v>
      </c>
      <c r="CC34" s="75">
        <f t="shared" si="33"/>
        <v>19577.386247344934</v>
      </c>
      <c r="CD34" s="76">
        <f t="shared" si="34"/>
        <v>18141.933844618459</v>
      </c>
      <c r="CG34" s="63">
        <f>BH34+VLOOKUP($A34,'Incremental Demand for New Gen'!$AG$5:$AQ$53,'Mass Equivalents - States, Opt1'!BH$7-2018,0)</f>
        <v>28476130.361900065</v>
      </c>
      <c r="CH34" s="64">
        <f>BI34+VLOOKUP($A34,'Incremental Demand for New Gen'!$AG$5:$AQ$53,'Mass Equivalents - States, Opt1'!BI$7-2018,0)</f>
        <v>28659465.780268431</v>
      </c>
      <c r="CI34" s="64">
        <f>BJ34+VLOOKUP($A34,'Incremental Demand for New Gen'!$AG$5:$AQ$53,'Mass Equivalents - States, Opt1'!BJ$7-2018,0)</f>
        <v>28843770.532181799</v>
      </c>
      <c r="CJ34" s="64">
        <f>BK34+VLOOKUP($A34,'Incremental Demand for New Gen'!$AG$5:$AQ$53,'Mass Equivalents - States, Opt1'!BK$7-2018,0)</f>
        <v>29029049.742713824</v>
      </c>
      <c r="CK34" s="64">
        <f>BL34+VLOOKUP($A34,'Incremental Demand for New Gen'!$AG$5:$AQ$53,'Mass Equivalents - States, Opt1'!BL$7-2018,0)</f>
        <v>29215308.564035494</v>
      </c>
      <c r="CL34" s="64">
        <f>BM34+VLOOKUP($A34,'Incremental Demand for New Gen'!$AG$5:$AQ$53,'Mass Equivalents - States, Opt1'!BM$7-2018,0)</f>
        <v>29402552.175558463</v>
      </c>
      <c r="CM34" s="64">
        <f>BN34+VLOOKUP($A34,'Incremental Demand for New Gen'!$AG$5:$AQ$53,'Mass Equivalents - States, Opt1'!BN$7-2018,0)</f>
        <v>29590785.784079015</v>
      </c>
      <c r="CN34" s="64">
        <f>BO34+VLOOKUP($A34,'Incremental Demand for New Gen'!$AG$5:$AQ$53,'Mass Equivalents - States, Opt1'!BO$7-2018,0)</f>
        <v>29780014.623922899</v>
      </c>
      <c r="CO34" s="64">
        <f>BP34+VLOOKUP($A34,'Incremental Demand for New Gen'!$AG$5:$AQ$53,'Mass Equivalents - States, Opt1'!BP$7-2018,0)</f>
        <v>29970243.957090843</v>
      </c>
      <c r="CP34" s="65">
        <f>BQ34+VLOOKUP($A34,'Incremental Demand for New Gen'!$AG$5:$AQ$53,'Mass Equivalents - States, Opt1'!BQ$7-2018,0)</f>
        <v>30161479.073404916</v>
      </c>
      <c r="CQ34" s="29"/>
      <c r="CR34" s="71">
        <f t="shared" si="14"/>
        <v>22266.511522710793</v>
      </c>
      <c r="CS34" s="72">
        <f t="shared" si="15"/>
        <v>22048.743072557209</v>
      </c>
      <c r="CT34" s="72">
        <f t="shared" si="16"/>
        <v>21798.649429183552</v>
      </c>
      <c r="CU34" s="72">
        <f t="shared" si="17"/>
        <v>21522.174419663188</v>
      </c>
      <c r="CV34" s="72">
        <f t="shared" si="18"/>
        <v>21267.112335901282</v>
      </c>
      <c r="CW34" s="72">
        <f t="shared" si="19"/>
        <v>21031.832368893542</v>
      </c>
      <c r="CX34" s="72">
        <f t="shared" si="20"/>
        <v>20813.398341816621</v>
      </c>
      <c r="CY34" s="72">
        <f t="shared" si="21"/>
        <v>20609.133596241754</v>
      </c>
      <c r="CZ34" s="72">
        <f t="shared" si="22"/>
        <v>20416.574044710633</v>
      </c>
      <c r="DA34" s="72">
        <f t="shared" si="23"/>
        <v>20233.43006066166</v>
      </c>
      <c r="DB34" s="75">
        <f t="shared" si="35"/>
        <v>21200.755919234023</v>
      </c>
      <c r="DC34" s="76">
        <f t="shared" si="36"/>
        <v>20233.43006066166</v>
      </c>
    </row>
    <row r="35" spans="1:107" x14ac:dyDescent="0.25">
      <c r="A35" s="16" t="s">
        <v>69</v>
      </c>
      <c r="B35" s="17">
        <v>2274.5965673999999</v>
      </c>
      <c r="C35" s="17">
        <v>882.52729220000003</v>
      </c>
      <c r="D35" s="17">
        <v>1459.1431344</v>
      </c>
      <c r="E35" s="17">
        <v>172680511.95826149</v>
      </c>
      <c r="F35" s="17">
        <v>4133662</v>
      </c>
      <c r="G35" s="17">
        <v>23783255.668000001</v>
      </c>
      <c r="H35" s="17">
        <v>279983</v>
      </c>
      <c r="I35" s="17">
        <v>198036.66767519998</v>
      </c>
      <c r="J35" s="17">
        <v>6381.2</v>
      </c>
      <c r="K35" s="17">
        <v>0</v>
      </c>
      <c r="L35" s="18">
        <f t="shared" si="24"/>
        <v>2138.120773356</v>
      </c>
      <c r="M35" s="19">
        <f t="shared" si="37"/>
        <v>0</v>
      </c>
      <c r="N35" s="19">
        <f t="shared" si="38"/>
        <v>0</v>
      </c>
      <c r="O35" s="19">
        <f t="shared" si="2"/>
        <v>28196900.668000001</v>
      </c>
      <c r="P35" s="19">
        <f t="shared" si="25"/>
        <v>172680511.95826149</v>
      </c>
      <c r="Q35" s="19">
        <f t="shared" si="26"/>
        <v>198036.66767519998</v>
      </c>
      <c r="R35" s="20">
        <f t="shared" si="27"/>
        <v>0.42430350654649585</v>
      </c>
      <c r="S35" s="20">
        <f t="shared" si="28"/>
        <v>0.50304483095950003</v>
      </c>
      <c r="T35" s="21"/>
      <c r="U35" s="22">
        <v>3761261.8300788491</v>
      </c>
      <c r="V35" s="22">
        <v>3990505.6274859933</v>
      </c>
      <c r="W35" s="22">
        <v>4233721.5228282996</v>
      </c>
      <c r="X35" s="22">
        <v>4491761.0964883901</v>
      </c>
      <c r="Y35" s="22">
        <v>4765527.8315160042</v>
      </c>
      <c r="Z35" s="22">
        <v>5055980.2770250319</v>
      </c>
      <c r="AA35" s="22">
        <v>5364135.4043952916</v>
      </c>
      <c r="AB35" s="22">
        <v>5691072.1680302508</v>
      </c>
      <c r="AC35" s="22">
        <v>6037935.2831380907</v>
      </c>
      <c r="AD35" s="22">
        <v>6405939.2337633893</v>
      </c>
      <c r="AE35" s="23">
        <v>2.9520039364355946E-2</v>
      </c>
      <c r="AF35" s="23">
        <v>4.0216966295059435E-2</v>
      </c>
      <c r="AG35" s="23">
        <v>5.1803241604187956E-2</v>
      </c>
      <c r="AH35" s="23">
        <v>6.2384478414965673E-2</v>
      </c>
      <c r="AI35" s="23">
        <v>7.2001231542197341E-2</v>
      </c>
      <c r="AJ35" s="23">
        <v>8.0692130210130469E-2</v>
      </c>
      <c r="AK35" s="23">
        <v>8.8493965627214025E-2</v>
      </c>
      <c r="AL35" s="23">
        <v>9.5441774534338206E-2</v>
      </c>
      <c r="AM35" s="23">
        <v>0.10156891891116983</v>
      </c>
      <c r="AN35" s="23">
        <v>0.10690716201672849</v>
      </c>
      <c r="AO35" s="23">
        <v>0.96669309080459698</v>
      </c>
      <c r="AP35" s="24">
        <v>37821929.841799997</v>
      </c>
      <c r="AQ35" s="25">
        <f t="shared" ref="AQ35:AU55" si="41">(($L35*$M35)+($N35*$D35)+($C35*$O35)+$P35)/($M35+$N35+$O35+$Q35+$T35+U35+(MIN(AE35*$AP35,$AP35*$AO35*AE35)))</f>
        <v>753.92885072027593</v>
      </c>
      <c r="AR35" s="25">
        <f t="shared" si="41"/>
        <v>740.11447942609072</v>
      </c>
      <c r="AS35" s="25">
        <f t="shared" si="41"/>
        <v>725.81853251276686</v>
      </c>
      <c r="AT35" s="25">
        <f t="shared" si="41"/>
        <v>712.50828277703727</v>
      </c>
      <c r="AU35" s="25">
        <f t="shared" si="41"/>
        <v>700.05931268113704</v>
      </c>
      <c r="AV35" s="25">
        <f t="shared" si="40"/>
        <v>688.36234535457584</v>
      </c>
      <c r="AW35" s="25">
        <f t="shared" si="40"/>
        <v>677.32075488413739</v>
      </c>
      <c r="AX35" s="25">
        <f t="shared" si="40"/>
        <v>666.84855388405686</v>
      </c>
      <c r="AY35" s="25">
        <f t="shared" si="40"/>
        <v>656.8687583988476</v>
      </c>
      <c r="AZ35" s="25">
        <f t="shared" si="40"/>
        <v>647.31205393369419</v>
      </c>
      <c r="BA35" s="26">
        <f t="shared" si="29"/>
        <v>696.91419245726206</v>
      </c>
      <c r="BB35" s="26">
        <f t="shared" si="30"/>
        <v>647.31205393369419</v>
      </c>
      <c r="BC35" s="69"/>
      <c r="BD35" s="70"/>
      <c r="BE35" s="79">
        <f t="shared" si="31"/>
        <v>28394937.335675202</v>
      </c>
      <c r="BF35" s="79">
        <f t="shared" si="32"/>
        <v>14049.133821034528</v>
      </c>
      <c r="BG35" s="84"/>
      <c r="BH35" s="63">
        <f>MAX($BE35-VLOOKUP($A35,'RE Generation'!$A$4:$M$52,'Mass Equivalents - States, Opt1'!BH$7-2016,0)-VLOOKUP('Mass Equivalents - States, Opt1'!$A35,'EE Avoided Generation'!$A$4:$K$52,'Mass Equivalents - States, Opt1'!BH$7-2018,0)-VLOOKUP($A35,'Under Construction Nuclear'!$B$5:$D$53,3,0),0)+U35+$T35+VLOOKUP('Mass Equivalents - States, Opt1'!$A35,'EE Avoided Generation'!$A$4:$K$52,'Mass Equivalents - States, Opt1'!BH$7-2018,0)</f>
        <v>31363567.6856752</v>
      </c>
      <c r="BI35" s="64">
        <f>MAX($BE35-VLOOKUP($A35,'RE Generation'!$A$4:$M$52,'Mass Equivalents - States, Opt1'!BI$7-2016,0)-VLOOKUP('Mass Equivalents - States, Opt1'!$A35,'EE Avoided Generation'!$A$4:$K$52,'Mass Equivalents - States, Opt1'!BI$7-2018,0)-VLOOKUP($A35,'Under Construction Nuclear'!$B$5:$D$53,3,0),0)+V35+$T35+VLOOKUP('Mass Equivalents - States, Opt1'!$A35,'EE Avoided Generation'!$A$4:$K$52,'Mass Equivalents - States, Opt1'!BI$7-2018,0)</f>
        <v>31363567.685675204</v>
      </c>
      <c r="BJ35" s="64">
        <f>MAX($BE35-VLOOKUP($A35,'RE Generation'!$A$4:$M$52,'Mass Equivalents - States, Opt1'!BJ$7-2016,0)-VLOOKUP('Mass Equivalents - States, Opt1'!$A35,'EE Avoided Generation'!$A$4:$K$52,'Mass Equivalents - States, Opt1'!BJ$7-2018,0)-VLOOKUP($A35,'Under Construction Nuclear'!$B$5:$D$53,3,0),0)+W35+$T35+VLOOKUP('Mass Equivalents - States, Opt1'!$A35,'EE Avoided Generation'!$A$4:$K$52,'Mass Equivalents - States, Opt1'!BJ$7-2018,0)</f>
        <v>31363567.6856752</v>
      </c>
      <c r="BK35" s="64">
        <f>MAX($BE35-VLOOKUP($A35,'RE Generation'!$A$4:$M$52,'Mass Equivalents - States, Opt1'!BK$7-2016,0)-VLOOKUP('Mass Equivalents - States, Opt1'!$A35,'EE Avoided Generation'!$A$4:$K$52,'Mass Equivalents - States, Opt1'!BK$7-2018,0)-VLOOKUP($A35,'Under Construction Nuclear'!$B$5:$D$53,3,0),0)+X35+$T35+VLOOKUP('Mass Equivalents - States, Opt1'!$A35,'EE Avoided Generation'!$A$4:$K$52,'Mass Equivalents - States, Opt1'!BK$7-2018,0)</f>
        <v>31363567.6856752</v>
      </c>
      <c r="BL35" s="64">
        <f>MAX($BE35-VLOOKUP($A35,'RE Generation'!$A$4:$M$52,'Mass Equivalents - States, Opt1'!BL$7-2016,0)-VLOOKUP('Mass Equivalents - States, Opt1'!$A35,'EE Avoided Generation'!$A$4:$K$52,'Mass Equivalents - States, Opt1'!BL$7-2018,0)-VLOOKUP($A35,'Under Construction Nuclear'!$B$5:$D$53,3,0),0)+Y35+$T35+VLOOKUP('Mass Equivalents - States, Opt1'!$A35,'EE Avoided Generation'!$A$4:$K$52,'Mass Equivalents - States, Opt1'!BL$7-2018,0)</f>
        <v>31363567.685675204</v>
      </c>
      <c r="BM35" s="64">
        <f>MAX($BE35-VLOOKUP($A35,'RE Generation'!$A$4:$M$52,'Mass Equivalents - States, Opt1'!BM$7-2016,0)-VLOOKUP('Mass Equivalents - States, Opt1'!$A35,'EE Avoided Generation'!$A$4:$K$52,'Mass Equivalents - States, Opt1'!BM$7-2018,0)-VLOOKUP($A35,'Under Construction Nuclear'!$B$5:$D$53,3,0),0)+Z35+$T35+VLOOKUP('Mass Equivalents - States, Opt1'!$A35,'EE Avoided Generation'!$A$4:$K$52,'Mass Equivalents - States, Opt1'!BM$7-2018,0)</f>
        <v>31363567.685675204</v>
      </c>
      <c r="BN35" s="64">
        <f>MAX($BE35-VLOOKUP($A35,'RE Generation'!$A$4:$M$52,'Mass Equivalents - States, Opt1'!BN$7-2016,0)-VLOOKUP('Mass Equivalents - States, Opt1'!$A35,'EE Avoided Generation'!$A$4:$K$52,'Mass Equivalents - States, Opt1'!BN$7-2018,0)-VLOOKUP($A35,'Under Construction Nuclear'!$B$5:$D$53,3,0),0)+AA35+$T35+VLOOKUP('Mass Equivalents - States, Opt1'!$A35,'EE Avoided Generation'!$A$4:$K$52,'Mass Equivalents - States, Opt1'!BN$7-2018,0)</f>
        <v>31363567.685675204</v>
      </c>
      <c r="BO35" s="64">
        <f>MAX($BE35-VLOOKUP($A35,'RE Generation'!$A$4:$M$52,'Mass Equivalents - States, Opt1'!BO$7-2016,0)-VLOOKUP('Mass Equivalents - States, Opt1'!$A35,'EE Avoided Generation'!$A$4:$K$52,'Mass Equivalents - States, Opt1'!BO$7-2018,0)-VLOOKUP($A35,'Under Construction Nuclear'!$B$5:$D$53,3,0),0)+AB35+$T35+VLOOKUP('Mass Equivalents - States, Opt1'!$A35,'EE Avoided Generation'!$A$4:$K$52,'Mass Equivalents - States, Opt1'!BO$7-2018,0)</f>
        <v>31363567.685675204</v>
      </c>
      <c r="BP35" s="64">
        <f>MAX($BE35-VLOOKUP($A35,'RE Generation'!$A$4:$M$52,'Mass Equivalents - States, Opt1'!BP$7-2016,0)-VLOOKUP('Mass Equivalents - States, Opt1'!$A35,'EE Avoided Generation'!$A$4:$K$52,'Mass Equivalents - States, Opt1'!BP$7-2018,0)-VLOOKUP($A35,'Under Construction Nuclear'!$B$5:$D$53,3,0),0)+AC35+$T35+VLOOKUP('Mass Equivalents - States, Opt1'!$A35,'EE Avoided Generation'!$A$4:$K$52,'Mass Equivalents - States, Opt1'!BP$7-2018,0)</f>
        <v>31363567.685675204</v>
      </c>
      <c r="BQ35" s="65">
        <f>MAX($BE35-VLOOKUP($A35,'RE Generation'!$A$4:$M$52,'Mass Equivalents - States, Opt1'!BQ$7-2016,0)-VLOOKUP('Mass Equivalents - States, Opt1'!$A35,'EE Avoided Generation'!$A$4:$K$52,'Mass Equivalents - States, Opt1'!BQ$7-2018,0)-VLOOKUP($A35,'Under Construction Nuclear'!$B$5:$D$53,3,0),0)+AD35+$T35+VLOOKUP('Mass Equivalents - States, Opt1'!$A35,'EE Avoided Generation'!$A$4:$K$52,'Mass Equivalents - States, Opt1'!BQ$7-2018,0)</f>
        <v>31363567.685675204</v>
      </c>
      <c r="BR35" s="29"/>
      <c r="BS35" s="71">
        <f t="shared" si="4"/>
        <v>10725.611914864552</v>
      </c>
      <c r="BT35" s="72">
        <f t="shared" si="5"/>
        <v>10529.084636186039</v>
      </c>
      <c r="BU35" s="72">
        <f t="shared" si="6"/>
        <v>10325.70632216963</v>
      </c>
      <c r="BV35" s="72">
        <f t="shared" si="7"/>
        <v>10136.350823943272</v>
      </c>
      <c r="BW35" s="72">
        <f t="shared" si="8"/>
        <v>9959.2481412951456</v>
      </c>
      <c r="BX35" s="72">
        <f t="shared" si="9"/>
        <v>9792.8436695659002</v>
      </c>
      <c r="BY35" s="72">
        <f t="shared" si="10"/>
        <v>9635.7627803073865</v>
      </c>
      <c r="BZ35" s="72">
        <f t="shared" si="11"/>
        <v>9486.7821918685513</v>
      </c>
      <c r="CA35" s="72">
        <f t="shared" si="12"/>
        <v>9344.8067080257333</v>
      </c>
      <c r="CB35" s="72">
        <f t="shared" si="13"/>
        <v>9208.8502405416166</v>
      </c>
      <c r="CC35" s="75">
        <f t="shared" si="33"/>
        <v>9914.504742876783</v>
      </c>
      <c r="CD35" s="76">
        <f t="shared" si="34"/>
        <v>9208.8502405416166</v>
      </c>
      <c r="CG35" s="63">
        <f>BH35+VLOOKUP($A35,'Incremental Demand for New Gen'!$AG$5:$AQ$53,'Mass Equivalents - States, Opt1'!BH$7-2018,0)</f>
        <v>34703858.518137872</v>
      </c>
      <c r="CH35" s="64">
        <f>BI35+VLOOKUP($A35,'Incremental Demand for New Gen'!$AG$5:$AQ$53,'Mass Equivalents - States, Opt1'!BI$7-2018,0)</f>
        <v>35141518.612234756</v>
      </c>
      <c r="CI35" s="64">
        <f>BJ35+VLOOKUP($A35,'Incremental Demand for New Gen'!$AG$5:$AQ$53,'Mass Equivalents - States, Opt1'!BJ$7-2018,0)</f>
        <v>35583809.327580892</v>
      </c>
      <c r="CJ35" s="64">
        <f>BK35+VLOOKUP($A35,'Incremental Demand for New Gen'!$AG$5:$AQ$53,'Mass Equivalents - States, Opt1'!BK$7-2018,0)</f>
        <v>36030779.658026621</v>
      </c>
      <c r="CK35" s="64">
        <f>BL35+VLOOKUP($A35,'Incremental Demand for New Gen'!$AG$5:$AQ$53,'Mass Equivalents - States, Opt1'!BL$7-2018,0)</f>
        <v>36482479.115797095</v>
      </c>
      <c r="CL35" s="64">
        <f>BM35+VLOOKUP($A35,'Incremental Demand for New Gen'!$AG$5:$AQ$53,'Mass Equivalents - States, Opt1'!BM$7-2018,0)</f>
        <v>36938957.736976884</v>
      </c>
      <c r="CM35" s="64">
        <f>BN35+VLOOKUP($A35,'Incremental Demand for New Gen'!$AG$5:$AQ$53,'Mass Equivalents - States, Opt1'!BN$7-2018,0)</f>
        <v>37400266.087052613</v>
      </c>
      <c r="CN35" s="64">
        <f>BO35+VLOOKUP($A35,'Incremental Demand for New Gen'!$AG$5:$AQ$53,'Mass Equivalents - States, Opt1'!BO$7-2018,0)</f>
        <v>37866455.266514279</v>
      </c>
      <c r="CO35" s="64">
        <f>BP35+VLOOKUP($A35,'Incremental Demand for New Gen'!$AG$5:$AQ$53,'Mass Equivalents - States, Opt1'!BP$7-2018,0)</f>
        <v>38337576.916515745</v>
      </c>
      <c r="CP35" s="65">
        <f>BQ35+VLOOKUP($A35,'Incremental Demand for New Gen'!$AG$5:$AQ$53,'Mass Equivalents - States, Opt1'!BQ$7-2018,0)</f>
        <v>38813683.224595264</v>
      </c>
      <c r="CQ35" s="29"/>
      <c r="CR35" s="71">
        <f t="shared" si="14"/>
        <v>11867.913821038885</v>
      </c>
      <c r="CS35" s="72">
        <f t="shared" si="15"/>
        <v>11797.383110892766</v>
      </c>
      <c r="CT35" s="72">
        <f t="shared" si="16"/>
        <v>11715.120187315215</v>
      </c>
      <c r="CU35" s="72">
        <f t="shared" si="17"/>
        <v>11644.741017163209</v>
      </c>
      <c r="CV35" s="72">
        <f t="shared" si="18"/>
        <v>11584.717209636516</v>
      </c>
      <c r="CW35" s="72">
        <f t="shared" si="19"/>
        <v>11533.682713020369</v>
      </c>
      <c r="CX35" s="72">
        <f t="shared" si="20"/>
        <v>11490.404903770303</v>
      </c>
      <c r="CY35" s="72">
        <f t="shared" si="21"/>
        <v>11453.761163007855</v>
      </c>
      <c r="CZ35" s="72">
        <f t="shared" si="22"/>
        <v>11422.719810748345</v>
      </c>
      <c r="DA35" s="72">
        <f t="shared" si="23"/>
        <v>11396.324540666661</v>
      </c>
      <c r="DB35" s="75">
        <f t="shared" si="35"/>
        <v>11590.676847726014</v>
      </c>
      <c r="DC35" s="76">
        <f t="shared" si="36"/>
        <v>11396.324540666661</v>
      </c>
    </row>
    <row r="36" spans="1:107" x14ac:dyDescent="0.25">
      <c r="A36" s="16" t="s">
        <v>70</v>
      </c>
      <c r="B36" s="17">
        <v>2382.0218552000001</v>
      </c>
      <c r="C36" s="17">
        <v>877.57721819999995</v>
      </c>
      <c r="D36" s="17">
        <v>1889.4471039</v>
      </c>
      <c r="E36" s="17">
        <v>0</v>
      </c>
      <c r="F36" s="17">
        <v>1281341</v>
      </c>
      <c r="G36" s="17">
        <v>6946868.9999000002</v>
      </c>
      <c r="H36" s="17">
        <v>72614</v>
      </c>
      <c r="I36" s="17">
        <v>0</v>
      </c>
      <c r="J36" s="17">
        <v>1505.5</v>
      </c>
      <c r="K36" s="17">
        <v>0</v>
      </c>
      <c r="L36" s="18">
        <f t="shared" si="24"/>
        <v>2239.1005438880002</v>
      </c>
      <c r="M36" s="19">
        <f t="shared" si="37"/>
        <v>0</v>
      </c>
      <c r="N36" s="19">
        <f t="shared" si="38"/>
        <v>0</v>
      </c>
      <c r="O36" s="19">
        <f t="shared" si="2"/>
        <v>8300823.9999000002</v>
      </c>
      <c r="P36" s="19">
        <f t="shared" si="25"/>
        <v>0</v>
      </c>
      <c r="Q36" s="19">
        <f t="shared" si="26"/>
        <v>0</v>
      </c>
      <c r="R36" s="20">
        <f t="shared" si="27"/>
        <v>0.52531042824004759</v>
      </c>
      <c r="S36" s="20">
        <f t="shared" si="28"/>
        <v>0.6276942044243965</v>
      </c>
      <c r="T36" s="21">
        <v>575615.28855389054</v>
      </c>
      <c r="U36" s="22">
        <v>2219729.5940269795</v>
      </c>
      <c r="V36" s="22">
        <v>2499218.6993625145</v>
      </c>
      <c r="W36" s="22">
        <v>2813898.6496601808</v>
      </c>
      <c r="X36" s="22">
        <v>3168200.3710115771</v>
      </c>
      <c r="Y36" s="22">
        <v>3567112.6933054491</v>
      </c>
      <c r="Z36" s="22">
        <v>4016252.5966367796</v>
      </c>
      <c r="AA36" s="22">
        <v>4521944.3025346696</v>
      </c>
      <c r="AB36" s="22">
        <v>4822223.0163039416</v>
      </c>
      <c r="AC36" s="22">
        <v>4822223.0163039416</v>
      </c>
      <c r="AD36" s="22">
        <v>4822223.0163039416</v>
      </c>
      <c r="AE36" s="23">
        <v>2.83924112831937E-2</v>
      </c>
      <c r="AF36" s="23">
        <v>3.9040235823837852E-2</v>
      </c>
      <c r="AG36" s="23">
        <v>5.0805216401189783E-2</v>
      </c>
      <c r="AH36" s="23">
        <v>6.1933846394983012E-2</v>
      </c>
      <c r="AI36" s="23">
        <v>7.2131960918839E-2</v>
      </c>
      <c r="AJ36" s="23">
        <v>8.1425889927688719E-2</v>
      </c>
      <c r="AK36" s="23">
        <v>8.9840757568304119E-2</v>
      </c>
      <c r="AL36" s="23">
        <v>9.7400525212454875E-2</v>
      </c>
      <c r="AM36" s="23">
        <v>0.10412803275509067</v>
      </c>
      <c r="AN36" s="23">
        <v>0.11004503824332053</v>
      </c>
      <c r="AO36" s="23">
        <v>1.9497193290751607</v>
      </c>
      <c r="AP36" s="24">
        <v>11686617.6011</v>
      </c>
      <c r="AQ36" s="25">
        <f t="shared" si="41"/>
        <v>637.43670779605736</v>
      </c>
      <c r="AR36" s="25">
        <f t="shared" si="41"/>
        <v>615.6754332741325</v>
      </c>
      <c r="AS36" s="25">
        <f t="shared" si="41"/>
        <v>593.01262964182376</v>
      </c>
      <c r="AT36" s="25">
        <f t="shared" si="41"/>
        <v>570.51729405404342</v>
      </c>
      <c r="AU36" s="25">
        <f t="shared" si="41"/>
        <v>548.27059371204871</v>
      </c>
      <c r="AV36" s="25">
        <f t="shared" si="40"/>
        <v>526.18202887429845</v>
      </c>
      <c r="AW36" s="25">
        <f t="shared" si="40"/>
        <v>504.18422054725124</v>
      </c>
      <c r="AX36" s="25">
        <f t="shared" si="40"/>
        <v>490.97803058800093</v>
      </c>
      <c r="AY36" s="25">
        <f t="shared" si="40"/>
        <v>488.39002431331016</v>
      </c>
      <c r="AZ36" s="25">
        <f t="shared" si="40"/>
        <v>486.13625709794945</v>
      </c>
      <c r="BA36" s="26">
        <f t="shared" si="29"/>
        <v>546.07832198989149</v>
      </c>
      <c r="BB36" s="26">
        <f t="shared" si="30"/>
        <v>486.13625709794945</v>
      </c>
      <c r="BC36" s="69"/>
      <c r="BD36" s="70"/>
      <c r="BE36" s="79">
        <f t="shared" si="31"/>
        <v>8300823.9999000002</v>
      </c>
      <c r="BF36" s="79">
        <f t="shared" si="32"/>
        <v>4211.9714735865937</v>
      </c>
      <c r="BG36" s="84"/>
      <c r="BH36" s="63">
        <f>MAX($BE36-VLOOKUP($A36,'RE Generation'!$A$4:$M$52,'Mass Equivalents - States, Opt1'!BH$7-2016,0)-VLOOKUP('Mass Equivalents - States, Opt1'!$A36,'EE Avoided Generation'!$A$4:$K$52,'Mass Equivalents - States, Opt1'!BH$7-2018,0)-VLOOKUP($A36,'Under Construction Nuclear'!$B$5:$D$53,3,0),0)+U36+$T36+VLOOKUP('Mass Equivalents - States, Opt1'!$A36,'EE Avoided Generation'!$A$4:$K$52,'Mass Equivalents - States, Opt1'!BH$7-2018,0)</f>
        <v>10257724.348453891</v>
      </c>
      <c r="BI36" s="64">
        <f>MAX($BE36-VLOOKUP($A36,'RE Generation'!$A$4:$M$52,'Mass Equivalents - States, Opt1'!BI$7-2016,0)-VLOOKUP('Mass Equivalents - States, Opt1'!$A36,'EE Avoided Generation'!$A$4:$K$52,'Mass Equivalents - States, Opt1'!BI$7-2018,0)-VLOOKUP($A36,'Under Construction Nuclear'!$B$5:$D$53,3,0),0)+V36+$T36+VLOOKUP('Mass Equivalents - States, Opt1'!$A36,'EE Avoided Generation'!$A$4:$K$52,'Mass Equivalents - States, Opt1'!BI$7-2018,0)</f>
        <v>10257724.348453891</v>
      </c>
      <c r="BJ36" s="64">
        <f>MAX($BE36-VLOOKUP($A36,'RE Generation'!$A$4:$M$52,'Mass Equivalents - States, Opt1'!BJ$7-2016,0)-VLOOKUP('Mass Equivalents - States, Opt1'!$A36,'EE Avoided Generation'!$A$4:$K$52,'Mass Equivalents - States, Opt1'!BJ$7-2018,0)-VLOOKUP($A36,'Under Construction Nuclear'!$B$5:$D$53,3,0),0)+W36+$T36+VLOOKUP('Mass Equivalents - States, Opt1'!$A36,'EE Avoided Generation'!$A$4:$K$52,'Mass Equivalents - States, Opt1'!BJ$7-2018,0)</f>
        <v>10257724.348453891</v>
      </c>
      <c r="BK36" s="64">
        <f>MAX($BE36-VLOOKUP($A36,'RE Generation'!$A$4:$M$52,'Mass Equivalents - States, Opt1'!BK$7-2016,0)-VLOOKUP('Mass Equivalents - States, Opt1'!$A36,'EE Avoided Generation'!$A$4:$K$52,'Mass Equivalents - States, Opt1'!BK$7-2018,0)-VLOOKUP($A36,'Under Construction Nuclear'!$B$5:$D$53,3,0),0)+X36+$T36+VLOOKUP('Mass Equivalents - States, Opt1'!$A36,'EE Avoided Generation'!$A$4:$K$52,'Mass Equivalents - States, Opt1'!BK$7-2018,0)</f>
        <v>10257724.348453891</v>
      </c>
      <c r="BL36" s="64">
        <f>MAX($BE36-VLOOKUP($A36,'RE Generation'!$A$4:$M$52,'Mass Equivalents - States, Opt1'!BL$7-2016,0)-VLOOKUP('Mass Equivalents - States, Opt1'!$A36,'EE Avoided Generation'!$A$4:$K$52,'Mass Equivalents - States, Opt1'!BL$7-2018,0)-VLOOKUP($A36,'Under Construction Nuclear'!$B$5:$D$53,3,0),0)+Y36+$T36+VLOOKUP('Mass Equivalents - States, Opt1'!$A36,'EE Avoided Generation'!$A$4:$K$52,'Mass Equivalents - States, Opt1'!BL$7-2018,0)</f>
        <v>10257724.348453891</v>
      </c>
      <c r="BM36" s="64">
        <f>MAX($BE36-VLOOKUP($A36,'RE Generation'!$A$4:$M$52,'Mass Equivalents - States, Opt1'!BM$7-2016,0)-VLOOKUP('Mass Equivalents - States, Opt1'!$A36,'EE Avoided Generation'!$A$4:$K$52,'Mass Equivalents - States, Opt1'!BM$7-2018,0)-VLOOKUP($A36,'Under Construction Nuclear'!$B$5:$D$53,3,0),0)+Z36+$T36+VLOOKUP('Mass Equivalents - States, Opt1'!$A36,'EE Avoided Generation'!$A$4:$K$52,'Mass Equivalents - States, Opt1'!BM$7-2018,0)</f>
        <v>10257724.348453891</v>
      </c>
      <c r="BN36" s="64">
        <f>MAX($BE36-VLOOKUP($A36,'RE Generation'!$A$4:$M$52,'Mass Equivalents - States, Opt1'!BN$7-2016,0)-VLOOKUP('Mass Equivalents - States, Opt1'!$A36,'EE Avoided Generation'!$A$4:$K$52,'Mass Equivalents - States, Opt1'!BN$7-2018,0)-VLOOKUP($A36,'Under Construction Nuclear'!$B$5:$D$53,3,0),0)+AA36+$T36+VLOOKUP('Mass Equivalents - States, Opt1'!$A36,'EE Avoided Generation'!$A$4:$K$52,'Mass Equivalents - States, Opt1'!BN$7-2018,0)</f>
        <v>10257724.348453891</v>
      </c>
      <c r="BO36" s="64">
        <f>MAX($BE36-VLOOKUP($A36,'RE Generation'!$A$4:$M$52,'Mass Equivalents - States, Opt1'!BO$7-2016,0)-VLOOKUP('Mass Equivalents - States, Opt1'!$A36,'EE Avoided Generation'!$A$4:$K$52,'Mass Equivalents - States, Opt1'!BO$7-2018,0)-VLOOKUP($A36,'Under Construction Nuclear'!$B$5:$D$53,3,0),0)+AB36+$T36+VLOOKUP('Mass Equivalents - States, Opt1'!$A36,'EE Avoided Generation'!$A$4:$K$52,'Mass Equivalents - States, Opt1'!BO$7-2018,0)</f>
        <v>10257724.348453891</v>
      </c>
      <c r="BP36" s="64">
        <f>MAX($BE36-VLOOKUP($A36,'RE Generation'!$A$4:$M$52,'Mass Equivalents - States, Opt1'!BP$7-2016,0)-VLOOKUP('Mass Equivalents - States, Opt1'!$A36,'EE Avoided Generation'!$A$4:$K$52,'Mass Equivalents - States, Opt1'!BP$7-2018,0)-VLOOKUP($A36,'Under Construction Nuclear'!$B$5:$D$53,3,0),0)+AC36+$T36+VLOOKUP('Mass Equivalents - States, Opt1'!$A36,'EE Avoided Generation'!$A$4:$K$52,'Mass Equivalents - States, Opt1'!BP$7-2018,0)</f>
        <v>10257724.348453891</v>
      </c>
      <c r="BQ36" s="65">
        <f>MAX($BE36-VLOOKUP($A36,'RE Generation'!$A$4:$M$52,'Mass Equivalents - States, Opt1'!BQ$7-2016,0)-VLOOKUP('Mass Equivalents - States, Opt1'!$A36,'EE Avoided Generation'!$A$4:$K$52,'Mass Equivalents - States, Opt1'!BQ$7-2018,0)-VLOOKUP($A36,'Under Construction Nuclear'!$B$5:$D$53,3,0),0)+AD36+$T36+VLOOKUP('Mass Equivalents - States, Opt1'!$A36,'EE Avoided Generation'!$A$4:$K$52,'Mass Equivalents - States, Opt1'!BQ$7-2018,0)</f>
        <v>10257724.348453891</v>
      </c>
      <c r="BR36" s="29"/>
      <c r="BS36" s="71">
        <f t="shared" si="4"/>
        <v>2965.885294589501</v>
      </c>
      <c r="BT36" s="72">
        <f t="shared" si="5"/>
        <v>2864.6337612109878</v>
      </c>
      <c r="BU36" s="72">
        <f t="shared" si="6"/>
        <v>2759.1875652119661</v>
      </c>
      <c r="BV36" s="72">
        <f t="shared" si="7"/>
        <v>2654.520569727295</v>
      </c>
      <c r="BW36" s="72">
        <f t="shared" si="8"/>
        <v>2551.0104320297164</v>
      </c>
      <c r="BX36" s="72">
        <f t="shared" si="9"/>
        <v>2448.2360721134523</v>
      </c>
      <c r="BY36" s="72">
        <f t="shared" si="10"/>
        <v>2345.88398690649</v>
      </c>
      <c r="BZ36" s="72">
        <f t="shared" si="11"/>
        <v>2284.4378164574741</v>
      </c>
      <c r="CA36" s="72">
        <f t="shared" si="12"/>
        <v>2272.3962605531242</v>
      </c>
      <c r="CB36" s="72">
        <f t="shared" si="13"/>
        <v>2261.9098625159336</v>
      </c>
      <c r="CC36" s="75">
        <f t="shared" si="33"/>
        <v>2540.8101621315936</v>
      </c>
      <c r="CD36" s="76">
        <f t="shared" si="34"/>
        <v>2261.9098625159336</v>
      </c>
      <c r="CG36" s="63">
        <f>BH36+VLOOKUP($A36,'Incremental Demand for New Gen'!$AG$5:$AQ$53,'Mass Equivalents - States, Opt1'!BH$7-2018,0)</f>
        <v>10532535.608241366</v>
      </c>
      <c r="CH36" s="64">
        <f>BI36+VLOOKUP($A36,'Incremental Demand for New Gen'!$AG$5:$AQ$53,'Mass Equivalents - States, Opt1'!BI$7-2018,0)</f>
        <v>10567336.187064407</v>
      </c>
      <c r="CI36" s="64">
        <f>BJ36+VLOOKUP($A36,'Incremental Demand for New Gen'!$AG$5:$AQ$53,'Mass Equivalents - States, Opt1'!BJ$7-2018,0)</f>
        <v>10602237.546907417</v>
      </c>
      <c r="CJ36" s="64">
        <f>BK36+VLOOKUP($A36,'Incremental Demand for New Gen'!$AG$5:$AQ$53,'Mass Equivalents - States, Opt1'!BK$7-2018,0)</f>
        <v>10637239.979628012</v>
      </c>
      <c r="CK36" s="64">
        <f>BL36+VLOOKUP($A36,'Incremental Demand for New Gen'!$AG$5:$AQ$53,'Mass Equivalents - States, Opt1'!BL$7-2018,0)</f>
        <v>10672343.777929015</v>
      </c>
      <c r="CL36" s="64">
        <f>BM36+VLOOKUP($A36,'Incremental Demand for New Gen'!$AG$5:$AQ$53,'Mass Equivalents - States, Opt1'!BM$7-2018,0)</f>
        <v>10707549.235360904</v>
      </c>
      <c r="CM36" s="64">
        <f>BN36+VLOOKUP($A36,'Incremental Demand for New Gen'!$AG$5:$AQ$53,'Mass Equivalents - States, Opt1'!BN$7-2018,0)</f>
        <v>10742856.646324269</v>
      </c>
      <c r="CN36" s="64">
        <f>BO36+VLOOKUP($A36,'Incremental Demand for New Gen'!$AG$5:$AQ$53,'Mass Equivalents - States, Opt1'!BO$7-2018,0)</f>
        <v>10778266.306072272</v>
      </c>
      <c r="CO36" s="64">
        <f>BP36+VLOOKUP($A36,'Incremental Demand for New Gen'!$AG$5:$AQ$53,'Mass Equivalents - States, Opt1'!BP$7-2018,0)</f>
        <v>10813778.510713113</v>
      </c>
      <c r="CP36" s="65">
        <f>BQ36+VLOOKUP($A36,'Incremental Demand for New Gen'!$AG$5:$AQ$53,'Mass Equivalents - States, Opt1'!BQ$7-2018,0)</f>
        <v>10849393.557212511</v>
      </c>
      <c r="CQ36" s="29"/>
      <c r="CR36" s="71">
        <f t="shared" si="14"/>
        <v>3045.3433348432477</v>
      </c>
      <c r="CS36" s="72">
        <f t="shared" si="15"/>
        <v>2951.097824352632</v>
      </c>
      <c r="CT36" s="72">
        <f t="shared" si="16"/>
        <v>2851.8569040373609</v>
      </c>
      <c r="CU36" s="72">
        <f t="shared" si="17"/>
        <v>2752.7326112349801</v>
      </c>
      <c r="CV36" s="72">
        <f t="shared" si="18"/>
        <v>2654.1228236268521</v>
      </c>
      <c r="CW36" s="72">
        <f t="shared" si="19"/>
        <v>2555.5968742611622</v>
      </c>
      <c r="CX36" s="72">
        <f t="shared" si="20"/>
        <v>2456.8310206193628</v>
      </c>
      <c r="CY36" s="72">
        <f t="shared" si="21"/>
        <v>2400.364672418998</v>
      </c>
      <c r="CZ36" s="72">
        <f t="shared" si="22"/>
        <v>2395.5790792816579</v>
      </c>
      <c r="DA36" s="72">
        <f t="shared" si="23"/>
        <v>2392.3776322839753</v>
      </c>
      <c r="DB36" s="75">
        <f t="shared" si="35"/>
        <v>2645.5902776960229</v>
      </c>
      <c r="DC36" s="76">
        <f t="shared" si="36"/>
        <v>2392.3776322839753</v>
      </c>
    </row>
    <row r="37" spans="1:107" x14ac:dyDescent="0.25">
      <c r="A37" s="16" t="s">
        <v>71</v>
      </c>
      <c r="B37" s="17">
        <v>2101.7207950000002</v>
      </c>
      <c r="C37" s="17">
        <v>889.19617849999997</v>
      </c>
      <c r="D37" s="17">
        <v>1472.6911917</v>
      </c>
      <c r="E37" s="17">
        <v>2431861783.9217291</v>
      </c>
      <c r="F37" s="17">
        <v>2602990</v>
      </c>
      <c r="G37" s="17">
        <v>20015729.511599999</v>
      </c>
      <c r="H37" s="17">
        <v>173972</v>
      </c>
      <c r="I37" s="17">
        <v>2295215.174348</v>
      </c>
      <c r="J37" s="17">
        <v>5832.3</v>
      </c>
      <c r="K37" s="17">
        <v>0</v>
      </c>
      <c r="L37" s="18">
        <f t="shared" si="24"/>
        <v>1975.6175473000001</v>
      </c>
      <c r="M37" s="19">
        <f t="shared" si="37"/>
        <v>0</v>
      </c>
      <c r="N37" s="19">
        <f t="shared" si="38"/>
        <v>0</v>
      </c>
      <c r="O37" s="19">
        <f t="shared" si="2"/>
        <v>22792691.511599999</v>
      </c>
      <c r="P37" s="19">
        <f t="shared" si="25"/>
        <v>2431861783.9217291</v>
      </c>
      <c r="Q37" s="19">
        <f t="shared" si="26"/>
        <v>2295215.174348</v>
      </c>
      <c r="R37" s="20">
        <f t="shared" si="27"/>
        <v>0.39069624869848135</v>
      </c>
      <c r="S37" s="20">
        <f t="shared" si="28"/>
        <v>0.44490104975504319</v>
      </c>
      <c r="T37" s="21">
        <v>1616036.9202884741</v>
      </c>
      <c r="U37" s="22">
        <v>2421244.2101994306</v>
      </c>
      <c r="V37" s="22">
        <v>2839129.1617259495</v>
      </c>
      <c r="W37" s="22">
        <v>3329137.2935482459</v>
      </c>
      <c r="X37" s="22">
        <v>3903716.4172397573</v>
      </c>
      <c r="Y37" s="22">
        <v>4577462.7245802898</v>
      </c>
      <c r="Z37" s="22">
        <v>5367491.5786371576</v>
      </c>
      <c r="AA37" s="22">
        <v>6293872.3000485832</v>
      </c>
      <c r="AB37" s="22">
        <v>7380137.9935051166</v>
      </c>
      <c r="AC37" s="22">
        <v>8653883.3656916264</v>
      </c>
      <c r="AD37" s="22">
        <v>10147465.721223755</v>
      </c>
      <c r="AE37" s="23">
        <v>1.2476028539265065E-2</v>
      </c>
      <c r="AF37" s="23">
        <v>1.9875783190353269E-2</v>
      </c>
      <c r="AG37" s="23">
        <v>2.8704592736062139E-2</v>
      </c>
      <c r="AH37" s="23">
        <v>3.8811523622819859E-2</v>
      </c>
      <c r="AI37" s="23">
        <v>5.0042963652574345E-2</v>
      </c>
      <c r="AJ37" s="23">
        <v>6.1027674442962324E-2</v>
      </c>
      <c r="AK37" s="23">
        <v>7.1065442355277286E-2</v>
      </c>
      <c r="AL37" s="23">
        <v>8.0187433052134036E-2</v>
      </c>
      <c r="AM37" s="23">
        <v>8.8423387938261586E-2</v>
      </c>
      <c r="AN37" s="23">
        <v>9.5801681004806252E-2</v>
      </c>
      <c r="AO37" s="23">
        <v>0.76186477247071394</v>
      </c>
      <c r="AP37" s="24">
        <v>80689387.841399997</v>
      </c>
      <c r="AQ37" s="25">
        <f t="shared" si="41"/>
        <v>759.36459469423858</v>
      </c>
      <c r="AR37" s="25">
        <f t="shared" si="41"/>
        <v>737.82192635135414</v>
      </c>
      <c r="AS37" s="25">
        <f t="shared" si="41"/>
        <v>713.85827488976145</v>
      </c>
      <c r="AT37" s="25">
        <f t="shared" si="41"/>
        <v>687.98351840891144</v>
      </c>
      <c r="AU37" s="25">
        <f t="shared" si="41"/>
        <v>660.66678828803424</v>
      </c>
      <c r="AV37" s="25">
        <f t="shared" si="40"/>
        <v>633.64286802088202</v>
      </c>
      <c r="AW37" s="25">
        <f t="shared" si="40"/>
        <v>607.46987065622568</v>
      </c>
      <c r="AX37" s="25">
        <f t="shared" si="40"/>
        <v>581.82432572144728</v>
      </c>
      <c r="AY37" s="25">
        <f t="shared" si="40"/>
        <v>556.43617942184437</v>
      </c>
      <c r="AZ37" s="25">
        <f t="shared" si="40"/>
        <v>531.08638610036337</v>
      </c>
      <c r="BA37" s="26">
        <f t="shared" si="29"/>
        <v>647.01547325530623</v>
      </c>
      <c r="BB37" s="26">
        <f t="shared" si="30"/>
        <v>531.08638610036337</v>
      </c>
      <c r="BC37" s="69"/>
      <c r="BD37" s="70"/>
      <c r="BE37" s="79">
        <f t="shared" si="31"/>
        <v>25087906.685947999</v>
      </c>
      <c r="BF37" s="79">
        <f t="shared" si="32"/>
        <v>11773.791954942624</v>
      </c>
      <c r="BG37" s="84"/>
      <c r="BH37" s="63">
        <f>MAX($BE37-VLOOKUP($A37,'RE Generation'!$A$4:$M$52,'Mass Equivalents - States, Opt1'!BH$7-2016,0)-VLOOKUP('Mass Equivalents - States, Opt1'!$A37,'EE Avoided Generation'!$A$4:$K$52,'Mass Equivalents - States, Opt1'!BH$7-2018,0)-VLOOKUP($A37,'Under Construction Nuclear'!$B$5:$D$53,3,0),0)+U37+$T37+VLOOKUP('Mass Equivalents - States, Opt1'!$A37,'EE Avoided Generation'!$A$4:$K$52,'Mass Equivalents - States, Opt1'!BH$7-2018,0)</f>
        <v>27984658.246236473</v>
      </c>
      <c r="BI37" s="64">
        <f>MAX($BE37-VLOOKUP($A37,'RE Generation'!$A$4:$M$52,'Mass Equivalents - States, Opt1'!BI$7-2016,0)-VLOOKUP('Mass Equivalents - States, Opt1'!$A37,'EE Avoided Generation'!$A$4:$K$52,'Mass Equivalents - States, Opt1'!BI$7-2018,0)-VLOOKUP($A37,'Under Construction Nuclear'!$B$5:$D$53,3,0),0)+V37+$T37+VLOOKUP('Mass Equivalents - States, Opt1'!$A37,'EE Avoided Generation'!$A$4:$K$52,'Mass Equivalents - States, Opt1'!BI$7-2018,0)</f>
        <v>27984658.246236473</v>
      </c>
      <c r="BJ37" s="64">
        <f>MAX($BE37-VLOOKUP($A37,'RE Generation'!$A$4:$M$52,'Mass Equivalents - States, Opt1'!BJ$7-2016,0)-VLOOKUP('Mass Equivalents - States, Opt1'!$A37,'EE Avoided Generation'!$A$4:$K$52,'Mass Equivalents - States, Opt1'!BJ$7-2018,0)-VLOOKUP($A37,'Under Construction Nuclear'!$B$5:$D$53,3,0),0)+W37+$T37+VLOOKUP('Mass Equivalents - States, Opt1'!$A37,'EE Avoided Generation'!$A$4:$K$52,'Mass Equivalents - States, Opt1'!BJ$7-2018,0)</f>
        <v>27984658.246236473</v>
      </c>
      <c r="BK37" s="64">
        <f>MAX($BE37-VLOOKUP($A37,'RE Generation'!$A$4:$M$52,'Mass Equivalents - States, Opt1'!BK$7-2016,0)-VLOOKUP('Mass Equivalents - States, Opt1'!$A37,'EE Avoided Generation'!$A$4:$K$52,'Mass Equivalents - States, Opt1'!BK$7-2018,0)-VLOOKUP($A37,'Under Construction Nuclear'!$B$5:$D$53,3,0),0)+X37+$T37+VLOOKUP('Mass Equivalents - States, Opt1'!$A37,'EE Avoided Generation'!$A$4:$K$52,'Mass Equivalents - States, Opt1'!BK$7-2018,0)</f>
        <v>27984658.24623647</v>
      </c>
      <c r="BL37" s="64">
        <f>MAX($BE37-VLOOKUP($A37,'RE Generation'!$A$4:$M$52,'Mass Equivalents - States, Opt1'!BL$7-2016,0)-VLOOKUP('Mass Equivalents - States, Opt1'!$A37,'EE Avoided Generation'!$A$4:$K$52,'Mass Equivalents - States, Opt1'!BL$7-2018,0)-VLOOKUP($A37,'Under Construction Nuclear'!$B$5:$D$53,3,0),0)+Y37+$T37+VLOOKUP('Mass Equivalents - States, Opt1'!$A37,'EE Avoided Generation'!$A$4:$K$52,'Mass Equivalents - States, Opt1'!BL$7-2018,0)</f>
        <v>27984658.246236473</v>
      </c>
      <c r="BM37" s="64">
        <f>MAX($BE37-VLOOKUP($A37,'RE Generation'!$A$4:$M$52,'Mass Equivalents - States, Opt1'!BM$7-2016,0)-VLOOKUP('Mass Equivalents - States, Opt1'!$A37,'EE Avoided Generation'!$A$4:$K$52,'Mass Equivalents - States, Opt1'!BM$7-2018,0)-VLOOKUP($A37,'Under Construction Nuclear'!$B$5:$D$53,3,0),0)+Z37+$T37+VLOOKUP('Mass Equivalents - States, Opt1'!$A37,'EE Avoided Generation'!$A$4:$K$52,'Mass Equivalents - States, Opt1'!BM$7-2018,0)</f>
        <v>27984658.24623647</v>
      </c>
      <c r="BN37" s="64">
        <f>MAX($BE37-VLOOKUP($A37,'RE Generation'!$A$4:$M$52,'Mass Equivalents - States, Opt1'!BN$7-2016,0)-VLOOKUP('Mass Equivalents - States, Opt1'!$A37,'EE Avoided Generation'!$A$4:$K$52,'Mass Equivalents - States, Opt1'!BN$7-2018,0)-VLOOKUP($A37,'Under Construction Nuclear'!$B$5:$D$53,3,0),0)+AA37+$T37+VLOOKUP('Mass Equivalents - States, Opt1'!$A37,'EE Avoided Generation'!$A$4:$K$52,'Mass Equivalents - States, Opt1'!BN$7-2018,0)</f>
        <v>27984658.246236473</v>
      </c>
      <c r="BO37" s="64">
        <f>MAX($BE37-VLOOKUP($A37,'RE Generation'!$A$4:$M$52,'Mass Equivalents - States, Opt1'!BO$7-2016,0)-VLOOKUP('Mass Equivalents - States, Opt1'!$A37,'EE Avoided Generation'!$A$4:$K$52,'Mass Equivalents - States, Opt1'!BO$7-2018,0)-VLOOKUP($A37,'Under Construction Nuclear'!$B$5:$D$53,3,0),0)+AB37+$T37+VLOOKUP('Mass Equivalents - States, Opt1'!$A37,'EE Avoided Generation'!$A$4:$K$52,'Mass Equivalents - States, Opt1'!BO$7-2018,0)</f>
        <v>27984658.246236473</v>
      </c>
      <c r="BP37" s="64">
        <f>MAX($BE37-VLOOKUP($A37,'RE Generation'!$A$4:$M$52,'Mass Equivalents - States, Opt1'!BP$7-2016,0)-VLOOKUP('Mass Equivalents - States, Opt1'!$A37,'EE Avoided Generation'!$A$4:$K$52,'Mass Equivalents - States, Opt1'!BP$7-2018,0)-VLOOKUP($A37,'Under Construction Nuclear'!$B$5:$D$53,3,0),0)+AC37+$T37+VLOOKUP('Mass Equivalents - States, Opt1'!$A37,'EE Avoided Generation'!$A$4:$K$52,'Mass Equivalents - States, Opt1'!BP$7-2018,0)</f>
        <v>27984658.24623647</v>
      </c>
      <c r="BQ37" s="65">
        <f>MAX($BE37-VLOOKUP($A37,'RE Generation'!$A$4:$M$52,'Mass Equivalents - States, Opt1'!BQ$7-2016,0)-VLOOKUP('Mass Equivalents - States, Opt1'!$A37,'EE Avoided Generation'!$A$4:$K$52,'Mass Equivalents - States, Opt1'!BQ$7-2018,0)-VLOOKUP($A37,'Under Construction Nuclear'!$B$5:$D$53,3,0),0)+AD37+$T37+VLOOKUP('Mass Equivalents - States, Opt1'!$A37,'EE Avoided Generation'!$A$4:$K$52,'Mass Equivalents - States, Opt1'!BQ$7-2018,0)</f>
        <v>27984658.246236473</v>
      </c>
      <c r="BR37" s="29"/>
      <c r="BS37" s="71">
        <f t="shared" si="4"/>
        <v>9639.1027328111632</v>
      </c>
      <c r="BT37" s="72">
        <f t="shared" si="5"/>
        <v>9365.647801218578</v>
      </c>
      <c r="BU37" s="72">
        <f t="shared" si="6"/>
        <v>9061.4617752891245</v>
      </c>
      <c r="BV37" s="72">
        <f t="shared" si="7"/>
        <v>8733.0168653630681</v>
      </c>
      <c r="BW37" s="72">
        <f t="shared" si="8"/>
        <v>8386.2680574789774</v>
      </c>
      <c r="BX37" s="72">
        <f t="shared" si="9"/>
        <v>8043.236073214207</v>
      </c>
      <c r="BY37" s="72">
        <f t="shared" si="10"/>
        <v>7711.0054001142835</v>
      </c>
      <c r="BZ37" s="72">
        <f t="shared" si="11"/>
        <v>7385.4700196231906</v>
      </c>
      <c r="CA37" s="72">
        <f t="shared" si="12"/>
        <v>7063.2019654007636</v>
      </c>
      <c r="CB37" s="72">
        <f t="shared" si="13"/>
        <v>6741.4207501734827</v>
      </c>
      <c r="CC37" s="75">
        <f t="shared" si="33"/>
        <v>8212.983144068683</v>
      </c>
      <c r="CD37" s="76">
        <f t="shared" si="34"/>
        <v>6741.4207501734827</v>
      </c>
      <c r="CG37" s="63">
        <f>BH37+VLOOKUP($A37,'Incremental Demand for New Gen'!$AG$5:$AQ$53,'Mass Equivalents - States, Opt1'!BH$7-2018,0)</f>
        <v>31618407.432963356</v>
      </c>
      <c r="CH37" s="64">
        <f>BI37+VLOOKUP($A37,'Incremental Demand for New Gen'!$AG$5:$AQ$53,'Mass Equivalents - States, Opt1'!BI$7-2018,0)</f>
        <v>32083960.917293951</v>
      </c>
      <c r="CI37" s="64">
        <f>BJ37+VLOOKUP($A37,'Incremental Demand for New Gen'!$AG$5:$AQ$53,'Mass Equivalents - States, Opt1'!BJ$7-2018,0)</f>
        <v>32552079.66598852</v>
      </c>
      <c r="CJ37" s="64">
        <f>BK37+VLOOKUP($A37,'Incremental Demand for New Gen'!$AG$5:$AQ$53,'Mass Equivalents - States, Opt1'!BK$7-2018,0)</f>
        <v>33022777.814010035</v>
      </c>
      <c r="CK37" s="64">
        <f>BL37+VLOOKUP($A37,'Incremental Demand for New Gen'!$AG$5:$AQ$53,'Mass Equivalents - States, Opt1'!BL$7-2018,0)</f>
        <v>33496069.574207082</v>
      </c>
      <c r="CL37" s="64">
        <f>BM37+VLOOKUP($A37,'Incremental Demand for New Gen'!$AG$5:$AQ$53,'Mass Equivalents - States, Opt1'!BM$7-2018,0)</f>
        <v>33971969.237742968</v>
      </c>
      <c r="CM37" s="64">
        <f>BN37+VLOOKUP($A37,'Incremental Demand for New Gen'!$AG$5:$AQ$53,'Mass Equivalents - States, Opt1'!BN$7-2018,0)</f>
        <v>34450491.174527355</v>
      </c>
      <c r="CN37" s="64">
        <f>BO37+VLOOKUP($A37,'Incremental Demand for New Gen'!$AG$5:$AQ$53,'Mass Equivalents - States, Opt1'!BO$7-2018,0)</f>
        <v>34931649.833650067</v>
      </c>
      <c r="CO37" s="64">
        <f>BP37+VLOOKUP($A37,'Incremental Demand for New Gen'!$AG$5:$AQ$53,'Mass Equivalents - States, Opt1'!BP$7-2018,0)</f>
        <v>35415459.743817419</v>
      </c>
      <c r="CP37" s="65">
        <f>BQ37+VLOOKUP($A37,'Incremental Demand for New Gen'!$AG$5:$AQ$53,'Mass Equivalents - States, Opt1'!BQ$7-2018,0)</f>
        <v>35901935.513790943</v>
      </c>
      <c r="CQ37" s="29"/>
      <c r="CR37" s="71">
        <f t="shared" si="14"/>
        <v>10890.720008531865</v>
      </c>
      <c r="CS37" s="72">
        <f t="shared" si="15"/>
        <v>10737.56468188594</v>
      </c>
      <c r="CT37" s="72">
        <f t="shared" si="16"/>
        <v>10540.397635164631</v>
      </c>
      <c r="CU37" s="72">
        <f t="shared" si="17"/>
        <v>10305.234855947223</v>
      </c>
      <c r="CV37" s="72">
        <f t="shared" si="18"/>
        <v>10037.893471829131</v>
      </c>
      <c r="CW37" s="72">
        <f t="shared" si="19"/>
        <v>9764.0845225574631</v>
      </c>
      <c r="CX37" s="72">
        <f t="shared" si="20"/>
        <v>9492.6270367834713</v>
      </c>
      <c r="CY37" s="72">
        <f t="shared" si="21"/>
        <v>9218.8602166364981</v>
      </c>
      <c r="CZ37" s="72">
        <f t="shared" si="22"/>
        <v>8938.7028659441985</v>
      </c>
      <c r="DA37" s="72">
        <f t="shared" si="23"/>
        <v>8648.669242784481</v>
      </c>
      <c r="DB37" s="75">
        <f t="shared" si="35"/>
        <v>9857.4754538064899</v>
      </c>
      <c r="DC37" s="76">
        <f t="shared" si="36"/>
        <v>8648.669242784481</v>
      </c>
    </row>
    <row r="38" spans="1:107" x14ac:dyDescent="0.25">
      <c r="A38" s="16" t="s">
        <v>72</v>
      </c>
      <c r="B38" s="17">
        <v>2340.9359761999999</v>
      </c>
      <c r="C38" s="17">
        <v>907.40862790000006</v>
      </c>
      <c r="D38" s="17">
        <v>1313.4459059999999</v>
      </c>
      <c r="E38" s="17">
        <v>0</v>
      </c>
      <c r="F38" s="17">
        <v>11353987</v>
      </c>
      <c r="G38" s="17">
        <v>5730957</v>
      </c>
      <c r="H38" s="17">
        <v>2208001</v>
      </c>
      <c r="I38" s="17">
        <v>0</v>
      </c>
      <c r="J38" s="17">
        <v>1662.4</v>
      </c>
      <c r="K38" s="17">
        <v>0</v>
      </c>
      <c r="L38" s="18">
        <f t="shared" si="24"/>
        <v>2200.4798176279996</v>
      </c>
      <c r="M38" s="19">
        <f t="shared" si="37"/>
        <v>7594318.6524115447</v>
      </c>
      <c r="N38" s="19">
        <f t="shared" si="38"/>
        <v>1476861.2275884538</v>
      </c>
      <c r="O38" s="19">
        <f t="shared" si="2"/>
        <v>10221765.120000001</v>
      </c>
      <c r="P38" s="19">
        <f t="shared" si="25"/>
        <v>0</v>
      </c>
      <c r="Q38" s="19">
        <f t="shared" si="26"/>
        <v>0</v>
      </c>
      <c r="R38" s="20">
        <f t="shared" si="27"/>
        <v>0.39246351808169894</v>
      </c>
      <c r="S38" s="20">
        <f t="shared" si="28"/>
        <v>0.7</v>
      </c>
      <c r="T38" s="21"/>
      <c r="U38" s="22">
        <v>3261075.8320251782</v>
      </c>
      <c r="V38" s="22">
        <v>3459833.9725480471</v>
      </c>
      <c r="W38" s="22">
        <v>3670706.1516455952</v>
      </c>
      <c r="X38" s="22">
        <v>3894430.70350732</v>
      </c>
      <c r="Y38" s="22">
        <v>4131790.9627882536</v>
      </c>
      <c r="Z38" s="22">
        <v>4383618.0073261885</v>
      </c>
      <c r="AA38" s="22">
        <v>4650793.5680237878</v>
      </c>
      <c r="AB38" s="22">
        <v>4721995.6329768756</v>
      </c>
      <c r="AC38" s="22">
        <v>4721995.6329768756</v>
      </c>
      <c r="AD38" s="22">
        <v>4721995.6329768756</v>
      </c>
      <c r="AE38" s="23">
        <v>3.1035013241784176E-2</v>
      </c>
      <c r="AF38" s="23">
        <v>4.1948637868847644E-2</v>
      </c>
      <c r="AG38" s="23">
        <v>5.321881813557619E-2</v>
      </c>
      <c r="AH38" s="23">
        <v>6.3470746305540199E-2</v>
      </c>
      <c r="AI38" s="23">
        <v>7.2750343651852012E-2</v>
      </c>
      <c r="AJ38" s="23">
        <v>8.110124952435338E-2</v>
      </c>
      <c r="AK38" s="23">
        <v>8.8564932808121916E-2</v>
      </c>
      <c r="AL38" s="23">
        <v>9.5180797921778831E-2</v>
      </c>
      <c r="AM38" s="23">
        <v>0.10098628562294884</v>
      </c>
      <c r="AN38" s="23">
        <v>0.10601696887513207</v>
      </c>
      <c r="AO38" s="23">
        <v>1.5006422353948949</v>
      </c>
      <c r="AP38" s="24">
        <v>24919278.456799999</v>
      </c>
      <c r="AQ38" s="25">
        <f t="shared" si="41"/>
        <v>1197.143742129196</v>
      </c>
      <c r="AR38" s="25">
        <f t="shared" si="41"/>
        <v>1173.4646815715885</v>
      </c>
      <c r="AS38" s="25">
        <f t="shared" si="41"/>
        <v>1149.7093665326272</v>
      </c>
      <c r="AT38" s="25">
        <f t="shared" si="41"/>
        <v>1127.4664519941609</v>
      </c>
      <c r="AU38" s="25">
        <f t="shared" si="41"/>
        <v>1106.5321479544323</v>
      </c>
      <c r="AV38" s="25">
        <f t="shared" si="40"/>
        <v>1086.727828021732</v>
      </c>
      <c r="AW38" s="25">
        <f t="shared" si="40"/>
        <v>1067.8959438963634</v>
      </c>
      <c r="AX38" s="25">
        <f t="shared" si="40"/>
        <v>1058.3422012025451</v>
      </c>
      <c r="AY38" s="25">
        <f t="shared" si="40"/>
        <v>1052.5713567834578</v>
      </c>
      <c r="AZ38" s="25">
        <f t="shared" si="40"/>
        <v>1047.6213492874169</v>
      </c>
      <c r="BA38" s="26">
        <f t="shared" si="29"/>
        <v>1106.747506937352</v>
      </c>
      <c r="BB38" s="26">
        <f t="shared" si="30"/>
        <v>1047.6213492874169</v>
      </c>
      <c r="BC38" s="69"/>
      <c r="BD38" s="70"/>
      <c r="BE38" s="79">
        <f t="shared" si="31"/>
        <v>19292945</v>
      </c>
      <c r="BF38" s="79">
        <f t="shared" si="32"/>
        <v>15730.314677098509</v>
      </c>
      <c r="BG38" s="84"/>
      <c r="BH38" s="63">
        <f>MAX($BE38-VLOOKUP($A38,'RE Generation'!$A$4:$M$52,'Mass Equivalents - States, Opt1'!BH$7-2016,0)-VLOOKUP('Mass Equivalents - States, Opt1'!$A38,'EE Avoided Generation'!$A$4:$K$52,'Mass Equivalents - States, Opt1'!BH$7-2018,0)-VLOOKUP($A38,'Under Construction Nuclear'!$B$5:$D$53,3,0),0)+U38+$T38+VLOOKUP('Mass Equivalents - States, Opt1'!$A38,'EE Avoided Generation'!$A$4:$K$52,'Mass Equivalents - States, Opt1'!BH$7-2018,0)</f>
        <v>21866796.309999999</v>
      </c>
      <c r="BI38" s="64">
        <f>MAX($BE38-VLOOKUP($A38,'RE Generation'!$A$4:$M$52,'Mass Equivalents - States, Opt1'!BI$7-2016,0)-VLOOKUP('Mass Equivalents - States, Opt1'!$A38,'EE Avoided Generation'!$A$4:$K$52,'Mass Equivalents - States, Opt1'!BI$7-2018,0)-VLOOKUP($A38,'Under Construction Nuclear'!$B$5:$D$53,3,0),0)+V38+$T38+VLOOKUP('Mass Equivalents - States, Opt1'!$A38,'EE Avoided Generation'!$A$4:$K$52,'Mass Equivalents - States, Opt1'!BI$7-2018,0)</f>
        <v>21866796.309999999</v>
      </c>
      <c r="BJ38" s="64">
        <f>MAX($BE38-VLOOKUP($A38,'RE Generation'!$A$4:$M$52,'Mass Equivalents - States, Opt1'!BJ$7-2016,0)-VLOOKUP('Mass Equivalents - States, Opt1'!$A38,'EE Avoided Generation'!$A$4:$K$52,'Mass Equivalents - States, Opt1'!BJ$7-2018,0)-VLOOKUP($A38,'Under Construction Nuclear'!$B$5:$D$53,3,0),0)+W38+$T38+VLOOKUP('Mass Equivalents - States, Opt1'!$A38,'EE Avoided Generation'!$A$4:$K$52,'Mass Equivalents - States, Opt1'!BJ$7-2018,0)</f>
        <v>21866796.309999999</v>
      </c>
      <c r="BK38" s="64">
        <f>MAX($BE38-VLOOKUP($A38,'RE Generation'!$A$4:$M$52,'Mass Equivalents - States, Opt1'!BK$7-2016,0)-VLOOKUP('Mass Equivalents - States, Opt1'!$A38,'EE Avoided Generation'!$A$4:$K$52,'Mass Equivalents - States, Opt1'!BK$7-2018,0)-VLOOKUP($A38,'Under Construction Nuclear'!$B$5:$D$53,3,0),0)+X38+$T38+VLOOKUP('Mass Equivalents - States, Opt1'!$A38,'EE Avoided Generation'!$A$4:$K$52,'Mass Equivalents - States, Opt1'!BK$7-2018,0)</f>
        <v>21866796.309999999</v>
      </c>
      <c r="BL38" s="64">
        <f>MAX($BE38-VLOOKUP($A38,'RE Generation'!$A$4:$M$52,'Mass Equivalents - States, Opt1'!BL$7-2016,0)-VLOOKUP('Mass Equivalents - States, Opt1'!$A38,'EE Avoided Generation'!$A$4:$K$52,'Mass Equivalents - States, Opt1'!BL$7-2018,0)-VLOOKUP($A38,'Under Construction Nuclear'!$B$5:$D$53,3,0),0)+Y38+$T38+VLOOKUP('Mass Equivalents - States, Opt1'!$A38,'EE Avoided Generation'!$A$4:$K$52,'Mass Equivalents - States, Opt1'!BL$7-2018,0)</f>
        <v>21866796.310000002</v>
      </c>
      <c r="BM38" s="64">
        <f>MAX($BE38-VLOOKUP($A38,'RE Generation'!$A$4:$M$52,'Mass Equivalents - States, Opt1'!BM$7-2016,0)-VLOOKUP('Mass Equivalents - States, Opt1'!$A38,'EE Avoided Generation'!$A$4:$K$52,'Mass Equivalents - States, Opt1'!BM$7-2018,0)-VLOOKUP($A38,'Under Construction Nuclear'!$B$5:$D$53,3,0),0)+Z38+$T38+VLOOKUP('Mass Equivalents - States, Opt1'!$A38,'EE Avoided Generation'!$A$4:$K$52,'Mass Equivalents - States, Opt1'!BM$7-2018,0)</f>
        <v>21866796.310000002</v>
      </c>
      <c r="BN38" s="64">
        <f>MAX($BE38-VLOOKUP($A38,'RE Generation'!$A$4:$M$52,'Mass Equivalents - States, Opt1'!BN$7-2016,0)-VLOOKUP('Mass Equivalents - States, Opt1'!$A38,'EE Avoided Generation'!$A$4:$K$52,'Mass Equivalents - States, Opt1'!BN$7-2018,0)-VLOOKUP($A38,'Under Construction Nuclear'!$B$5:$D$53,3,0),0)+AA38+$T38+VLOOKUP('Mass Equivalents - States, Opt1'!$A38,'EE Avoided Generation'!$A$4:$K$52,'Mass Equivalents - States, Opt1'!BN$7-2018,0)</f>
        <v>21866796.310000002</v>
      </c>
      <c r="BO38" s="64">
        <f>MAX($BE38-VLOOKUP($A38,'RE Generation'!$A$4:$M$52,'Mass Equivalents - States, Opt1'!BO$7-2016,0)-VLOOKUP('Mass Equivalents - States, Opt1'!$A38,'EE Avoided Generation'!$A$4:$K$52,'Mass Equivalents - States, Opt1'!BO$7-2018,0)-VLOOKUP($A38,'Under Construction Nuclear'!$B$5:$D$53,3,0),0)+AB38+$T38+VLOOKUP('Mass Equivalents - States, Opt1'!$A38,'EE Avoided Generation'!$A$4:$K$52,'Mass Equivalents - States, Opt1'!BO$7-2018,0)</f>
        <v>21866796.309999999</v>
      </c>
      <c r="BP38" s="64">
        <f>MAX($BE38-VLOOKUP($A38,'RE Generation'!$A$4:$M$52,'Mass Equivalents - States, Opt1'!BP$7-2016,0)-VLOOKUP('Mass Equivalents - States, Opt1'!$A38,'EE Avoided Generation'!$A$4:$K$52,'Mass Equivalents - States, Opt1'!BP$7-2018,0)-VLOOKUP($A38,'Under Construction Nuclear'!$B$5:$D$53,3,0),0)+AC38+$T38+VLOOKUP('Mass Equivalents - States, Opt1'!$A38,'EE Avoided Generation'!$A$4:$K$52,'Mass Equivalents - States, Opt1'!BP$7-2018,0)</f>
        <v>21866796.309999999</v>
      </c>
      <c r="BQ38" s="65">
        <f>MAX($BE38-VLOOKUP($A38,'RE Generation'!$A$4:$M$52,'Mass Equivalents - States, Opt1'!BQ$7-2016,0)-VLOOKUP('Mass Equivalents - States, Opt1'!$A38,'EE Avoided Generation'!$A$4:$K$52,'Mass Equivalents - States, Opt1'!BQ$7-2018,0)-VLOOKUP($A38,'Under Construction Nuclear'!$B$5:$D$53,3,0),0)+AD38+$T38+VLOOKUP('Mass Equivalents - States, Opt1'!$A38,'EE Avoided Generation'!$A$4:$K$52,'Mass Equivalents - States, Opt1'!BQ$7-2018,0)</f>
        <v>21866796.310000002</v>
      </c>
      <c r="BR38" s="29"/>
      <c r="BS38" s="71">
        <f t="shared" si="4"/>
        <v>11874.018362770135</v>
      </c>
      <c r="BT38" s="72">
        <f t="shared" si="5"/>
        <v>11639.154670149475</v>
      </c>
      <c r="BU38" s="72">
        <f t="shared" si="6"/>
        <v>11403.534638018384</v>
      </c>
      <c r="BV38" s="72">
        <f t="shared" si="7"/>
        <v>11182.915537423551</v>
      </c>
      <c r="BW38" s="72">
        <f t="shared" si="8"/>
        <v>10975.276052011848</v>
      </c>
      <c r="BX38" s="72">
        <f t="shared" si="9"/>
        <v>10778.844453810601</v>
      </c>
      <c r="BY38" s="72">
        <f t="shared" si="10"/>
        <v>10592.058080511368</v>
      </c>
      <c r="BZ38" s="72">
        <f t="shared" si="11"/>
        <v>10497.298101247876</v>
      </c>
      <c r="CA38" s="72">
        <f t="shared" si="12"/>
        <v>10440.059266687325</v>
      </c>
      <c r="CB38" s="72">
        <f t="shared" si="13"/>
        <v>10390.962004733385</v>
      </c>
      <c r="CC38" s="75">
        <f t="shared" si="33"/>
        <v>10977.412116736396</v>
      </c>
      <c r="CD38" s="76">
        <f t="shared" si="34"/>
        <v>10390.962004733385</v>
      </c>
      <c r="CG38" s="63">
        <f>BH38+VLOOKUP($A38,'Incremental Demand for New Gen'!$AG$5:$AQ$53,'Mass Equivalents - States, Opt1'!BH$7-2018,0)</f>
        <v>24614488.16507972</v>
      </c>
      <c r="CH38" s="64">
        <f>BI38+VLOOKUP($A38,'Incremental Demand for New Gen'!$AG$5:$AQ$53,'Mass Equivalents - States, Opt1'!BI$7-2018,0)</f>
        <v>24978481.774009239</v>
      </c>
      <c r="CI38" s="64">
        <f>BJ38+VLOOKUP($A38,'Incremental Demand for New Gen'!$AG$5:$AQ$53,'Mass Equivalents - States, Opt1'!BJ$7-2018,0)</f>
        <v>25347238.600652136</v>
      </c>
      <c r="CJ38" s="64">
        <f>BK38+VLOOKUP($A38,'Incremental Demand for New Gen'!$AG$5:$AQ$53,'Mass Equivalents - States, Opt1'!BK$7-2018,0)</f>
        <v>25720820.97644069</v>
      </c>
      <c r="CK38" s="64">
        <f>BL38+VLOOKUP($A38,'Incremental Demand for New Gen'!$AG$5:$AQ$53,'Mass Equivalents - States, Opt1'!BL$7-2018,0)</f>
        <v>26099292.048475858</v>
      </c>
      <c r="CL38" s="64">
        <f>BM38+VLOOKUP($A38,'Incremental Demand for New Gen'!$AG$5:$AQ$53,'Mass Equivalents - States, Opt1'!BM$7-2018,0)</f>
        <v>26482715.790201083</v>
      </c>
      <c r="CM38" s="64">
        <f>BN38+VLOOKUP($A38,'Incremental Demand for New Gen'!$AG$5:$AQ$53,'Mass Equivalents - States, Opt1'!BN$7-2018,0)</f>
        <v>26871157.012215827</v>
      </c>
      <c r="CN38" s="64">
        <f>BO38+VLOOKUP($A38,'Incremental Demand for New Gen'!$AG$5:$AQ$53,'Mass Equivalents - States, Opt1'!BO$7-2018,0)</f>
        <v>27264681.373230591</v>
      </c>
      <c r="CO38" s="64">
        <f>BP38+VLOOKUP($A38,'Incremental Demand for New Gen'!$AG$5:$AQ$53,'Mass Equivalents - States, Opt1'!BP$7-2018,0)</f>
        <v>27663355.39116529</v>
      </c>
      <c r="CP38" s="65">
        <f>BQ38+VLOOKUP($A38,'Incremental Demand for New Gen'!$AG$5:$AQ$53,'Mass Equivalents - States, Opt1'!BQ$7-2018,0)</f>
        <v>28067246.454392835</v>
      </c>
      <c r="CQ38" s="29"/>
      <c r="CR38" s="71">
        <f t="shared" si="14"/>
        <v>13366.058764112791</v>
      </c>
      <c r="CS38" s="72">
        <f t="shared" si="15"/>
        <v>13295.427856537401</v>
      </c>
      <c r="CT38" s="72">
        <f t="shared" si="16"/>
        <v>13218.585350267676</v>
      </c>
      <c r="CU38" s="72">
        <f t="shared" si="17"/>
        <v>13153.905330027204</v>
      </c>
      <c r="CV38" s="72">
        <f t="shared" si="18"/>
        <v>13099.629727794372</v>
      </c>
      <c r="CW38" s="72">
        <f t="shared" si="19"/>
        <v>13054.179047092946</v>
      </c>
      <c r="CX38" s="72">
        <f t="shared" si="20"/>
        <v>13016.120502012867</v>
      </c>
      <c r="CY38" s="72">
        <f t="shared" si="21"/>
        <v>13088.588010464795</v>
      </c>
      <c r="CZ38" s="72">
        <f t="shared" si="22"/>
        <v>13207.5620820195</v>
      </c>
      <c r="DA38" s="72">
        <f t="shared" si="23"/>
        <v>13337.376328498107</v>
      </c>
      <c r="DB38" s="75">
        <f t="shared" si="35"/>
        <v>13183.743299882766</v>
      </c>
      <c r="DC38" s="76">
        <f t="shared" si="36"/>
        <v>13337.376328498107</v>
      </c>
    </row>
    <row r="39" spans="1:107" x14ac:dyDescent="0.25">
      <c r="A39" s="16" t="s">
        <v>73</v>
      </c>
      <c r="B39" s="17">
        <v>2219.4027956</v>
      </c>
      <c r="C39" s="17">
        <v>933.76639460000001</v>
      </c>
      <c r="D39" s="17">
        <v>1366.2534776</v>
      </c>
      <c r="E39" s="17">
        <v>1921012399.6359246</v>
      </c>
      <c r="F39" s="17">
        <v>4156143.4079999998</v>
      </c>
      <c r="G39" s="17">
        <v>44002776.7729</v>
      </c>
      <c r="H39" s="17">
        <v>12502558</v>
      </c>
      <c r="I39" s="17">
        <v>2590211.4823018005</v>
      </c>
      <c r="J39" s="17">
        <v>9847.6</v>
      </c>
      <c r="K39" s="17">
        <v>0</v>
      </c>
      <c r="L39" s="18">
        <f t="shared" si="24"/>
        <v>2086.2386278639997</v>
      </c>
      <c r="M39" s="19">
        <f t="shared" si="37"/>
        <v>27582.203066219576</v>
      </c>
      <c r="N39" s="19">
        <f t="shared" si="38"/>
        <v>82973.097833776847</v>
      </c>
      <c r="O39" s="19">
        <f t="shared" si="2"/>
        <v>60550922.880000003</v>
      </c>
      <c r="P39" s="19">
        <f t="shared" si="25"/>
        <v>1921012399.6359246</v>
      </c>
      <c r="Q39" s="19">
        <f t="shared" si="26"/>
        <v>2590211.4823018005</v>
      </c>
      <c r="R39" s="20">
        <f t="shared" si="27"/>
        <v>0.50869486831890876</v>
      </c>
      <c r="S39" s="20">
        <f t="shared" si="28"/>
        <v>0.7</v>
      </c>
      <c r="T39" s="21">
        <v>2410637.290132205</v>
      </c>
      <c r="U39" s="22">
        <v>8344247.8219562788</v>
      </c>
      <c r="V39" s="22">
        <v>9394883.1627347302</v>
      </c>
      <c r="W39" s="22">
        <v>10577805.396573586</v>
      </c>
      <c r="X39" s="22">
        <v>11909670.942114362</v>
      </c>
      <c r="Y39" s="22">
        <v>13409233.449822094</v>
      </c>
      <c r="Z39" s="22">
        <v>15097607.867233478</v>
      </c>
      <c r="AA39" s="22">
        <v>16998567.753011588</v>
      </c>
      <c r="AB39" s="22">
        <v>19138880.026208654</v>
      </c>
      <c r="AC39" s="22">
        <v>21548681.8642537</v>
      </c>
      <c r="AD39" s="22">
        <v>24261905.056667082</v>
      </c>
      <c r="AE39" s="23">
        <v>4.4177939806613338E-2</v>
      </c>
      <c r="AF39" s="23">
        <v>5.58919541577729E-2</v>
      </c>
      <c r="AG39" s="23">
        <v>6.6658701415474086E-2</v>
      </c>
      <c r="AH39" s="23">
        <v>7.6505373345477676E-2</v>
      </c>
      <c r="AI39" s="23">
        <v>8.5457924616214306E-2</v>
      </c>
      <c r="AJ39" s="23">
        <v>9.3541117197171855E-2</v>
      </c>
      <c r="AK39" s="23">
        <v>0.10077856296868844</v>
      </c>
      <c r="AL39" s="23">
        <v>0.10719276461114169</v>
      </c>
      <c r="AM39" s="23">
        <v>0.1128051548388648</v>
      </c>
      <c r="AN39" s="23">
        <v>0.11763613404156197</v>
      </c>
      <c r="AO39" s="23">
        <v>0.93050619567916049</v>
      </c>
      <c r="AP39" s="24">
        <v>153914184.36679998</v>
      </c>
      <c r="AQ39" s="25">
        <f t="shared" si="41"/>
        <v>729.86016064824616</v>
      </c>
      <c r="AR39" s="25">
        <f t="shared" si="41"/>
        <v>705.88680964224989</v>
      </c>
      <c r="AS39" s="25">
        <f t="shared" si="41"/>
        <v>683.46517439154945</v>
      </c>
      <c r="AT39" s="25">
        <f t="shared" si="41"/>
        <v>662.29559013222206</v>
      </c>
      <c r="AU39" s="25">
        <f t="shared" si="41"/>
        <v>642.11911780243281</v>
      </c>
      <c r="AV39" s="25">
        <f t="shared" si="40"/>
        <v>622.71006378573384</v>
      </c>
      <c r="AW39" s="25">
        <f t="shared" si="40"/>
        <v>603.87056191358863</v>
      </c>
      <c r="AX39" s="25">
        <f t="shared" si="40"/>
        <v>585.42675823525701</v>
      </c>
      <c r="AY39" s="25">
        <f t="shared" si="40"/>
        <v>567.22626232483719</v>
      </c>
      <c r="AZ39" s="25">
        <f t="shared" si="40"/>
        <v>549.13660729089474</v>
      </c>
      <c r="BA39" s="26">
        <f t="shared" si="29"/>
        <v>635.19971061670117</v>
      </c>
      <c r="BB39" s="26">
        <f t="shared" si="30"/>
        <v>549.13660729089474</v>
      </c>
      <c r="BC39" s="69"/>
      <c r="BD39" s="70"/>
      <c r="BE39" s="79">
        <f t="shared" si="31"/>
        <v>63251689.663201801</v>
      </c>
      <c r="BF39" s="79">
        <f t="shared" si="32"/>
        <v>31440.858861972032</v>
      </c>
      <c r="BG39" s="84"/>
      <c r="BH39" s="63">
        <f>MAX($BE39-VLOOKUP($A39,'RE Generation'!$A$4:$M$52,'Mass Equivalents - States, Opt1'!BH$7-2016,0)-VLOOKUP('Mass Equivalents - States, Opt1'!$A39,'EE Avoided Generation'!$A$4:$K$52,'Mass Equivalents - States, Opt1'!BH$7-2018,0)-VLOOKUP($A39,'Under Construction Nuclear'!$B$5:$D$53,3,0),0)+U39+$T39+VLOOKUP('Mass Equivalents - States, Opt1'!$A39,'EE Avoided Generation'!$A$4:$K$52,'Mass Equivalents - States, Opt1'!BH$7-2018,0)</f>
        <v>70854754.393334001</v>
      </c>
      <c r="BI39" s="64">
        <f>MAX($BE39-VLOOKUP($A39,'RE Generation'!$A$4:$M$52,'Mass Equivalents - States, Opt1'!BI$7-2016,0)-VLOOKUP('Mass Equivalents - States, Opt1'!$A39,'EE Avoided Generation'!$A$4:$K$52,'Mass Equivalents - States, Opt1'!BI$7-2018,0)-VLOOKUP($A39,'Under Construction Nuclear'!$B$5:$D$53,3,0),0)+V39+$T39+VLOOKUP('Mass Equivalents - States, Opt1'!$A39,'EE Avoided Generation'!$A$4:$K$52,'Mass Equivalents - States, Opt1'!BI$7-2018,0)</f>
        <v>70854754.393334001</v>
      </c>
      <c r="BJ39" s="64">
        <f>MAX($BE39-VLOOKUP($A39,'RE Generation'!$A$4:$M$52,'Mass Equivalents - States, Opt1'!BJ$7-2016,0)-VLOOKUP('Mass Equivalents - States, Opt1'!$A39,'EE Avoided Generation'!$A$4:$K$52,'Mass Equivalents - States, Opt1'!BJ$7-2018,0)-VLOOKUP($A39,'Under Construction Nuclear'!$B$5:$D$53,3,0),0)+W39+$T39+VLOOKUP('Mass Equivalents - States, Opt1'!$A39,'EE Avoided Generation'!$A$4:$K$52,'Mass Equivalents - States, Opt1'!BJ$7-2018,0)</f>
        <v>70854754.393334016</v>
      </c>
      <c r="BK39" s="64">
        <f>MAX($BE39-VLOOKUP($A39,'RE Generation'!$A$4:$M$52,'Mass Equivalents - States, Opt1'!BK$7-2016,0)-VLOOKUP('Mass Equivalents - States, Opt1'!$A39,'EE Avoided Generation'!$A$4:$K$52,'Mass Equivalents - States, Opt1'!BK$7-2018,0)-VLOOKUP($A39,'Under Construction Nuclear'!$B$5:$D$53,3,0),0)+X39+$T39+VLOOKUP('Mass Equivalents - States, Opt1'!$A39,'EE Avoided Generation'!$A$4:$K$52,'Mass Equivalents - States, Opt1'!BK$7-2018,0)</f>
        <v>70854754.393334001</v>
      </c>
      <c r="BL39" s="64">
        <f>MAX($BE39-VLOOKUP($A39,'RE Generation'!$A$4:$M$52,'Mass Equivalents - States, Opt1'!BL$7-2016,0)-VLOOKUP('Mass Equivalents - States, Opt1'!$A39,'EE Avoided Generation'!$A$4:$K$52,'Mass Equivalents - States, Opt1'!BL$7-2018,0)-VLOOKUP($A39,'Under Construction Nuclear'!$B$5:$D$53,3,0),0)+Y39+$T39+VLOOKUP('Mass Equivalents - States, Opt1'!$A39,'EE Avoided Generation'!$A$4:$K$52,'Mass Equivalents - States, Opt1'!BL$7-2018,0)</f>
        <v>70854754.393334001</v>
      </c>
      <c r="BM39" s="64">
        <f>MAX($BE39-VLOOKUP($A39,'RE Generation'!$A$4:$M$52,'Mass Equivalents - States, Opt1'!BM$7-2016,0)-VLOOKUP('Mass Equivalents - States, Opt1'!$A39,'EE Avoided Generation'!$A$4:$K$52,'Mass Equivalents - States, Opt1'!BM$7-2018,0)-VLOOKUP($A39,'Under Construction Nuclear'!$B$5:$D$53,3,0),0)+Z39+$T39+VLOOKUP('Mass Equivalents - States, Opt1'!$A39,'EE Avoided Generation'!$A$4:$K$52,'Mass Equivalents - States, Opt1'!BM$7-2018,0)</f>
        <v>70854754.393334001</v>
      </c>
      <c r="BN39" s="64">
        <f>MAX($BE39-VLOOKUP($A39,'RE Generation'!$A$4:$M$52,'Mass Equivalents - States, Opt1'!BN$7-2016,0)-VLOOKUP('Mass Equivalents - States, Opt1'!$A39,'EE Avoided Generation'!$A$4:$K$52,'Mass Equivalents - States, Opt1'!BN$7-2018,0)-VLOOKUP($A39,'Under Construction Nuclear'!$B$5:$D$53,3,0),0)+AA39+$T39+VLOOKUP('Mass Equivalents - States, Opt1'!$A39,'EE Avoided Generation'!$A$4:$K$52,'Mass Equivalents - States, Opt1'!BN$7-2018,0)</f>
        <v>70854754.393334001</v>
      </c>
      <c r="BO39" s="64">
        <f>MAX($BE39-VLOOKUP($A39,'RE Generation'!$A$4:$M$52,'Mass Equivalents - States, Opt1'!BO$7-2016,0)-VLOOKUP('Mass Equivalents - States, Opt1'!$A39,'EE Avoided Generation'!$A$4:$K$52,'Mass Equivalents - States, Opt1'!BO$7-2018,0)-VLOOKUP($A39,'Under Construction Nuclear'!$B$5:$D$53,3,0),0)+AB39+$T39+VLOOKUP('Mass Equivalents - States, Opt1'!$A39,'EE Avoided Generation'!$A$4:$K$52,'Mass Equivalents - States, Opt1'!BO$7-2018,0)</f>
        <v>70854754.393334001</v>
      </c>
      <c r="BP39" s="64">
        <f>MAX($BE39-VLOOKUP($A39,'RE Generation'!$A$4:$M$52,'Mass Equivalents - States, Opt1'!BP$7-2016,0)-VLOOKUP('Mass Equivalents - States, Opt1'!$A39,'EE Avoided Generation'!$A$4:$K$52,'Mass Equivalents - States, Opt1'!BP$7-2018,0)-VLOOKUP($A39,'Under Construction Nuclear'!$B$5:$D$53,3,0),0)+AC39+$T39+VLOOKUP('Mass Equivalents - States, Opt1'!$A39,'EE Avoided Generation'!$A$4:$K$52,'Mass Equivalents - States, Opt1'!BP$7-2018,0)</f>
        <v>70854754.393334001</v>
      </c>
      <c r="BQ39" s="65">
        <f>MAX($BE39-VLOOKUP($A39,'RE Generation'!$A$4:$M$52,'Mass Equivalents - States, Opt1'!BQ$7-2016,0)-VLOOKUP('Mass Equivalents - States, Opt1'!$A39,'EE Avoided Generation'!$A$4:$K$52,'Mass Equivalents - States, Opt1'!BQ$7-2018,0)-VLOOKUP($A39,'Under Construction Nuclear'!$B$5:$D$53,3,0),0)+AD39+$T39+VLOOKUP('Mass Equivalents - States, Opt1'!$A39,'EE Avoided Generation'!$A$4:$K$52,'Mass Equivalents - States, Opt1'!BQ$7-2018,0)</f>
        <v>70854754.393334001</v>
      </c>
      <c r="BR39" s="29"/>
      <c r="BS39" s="71">
        <f t="shared" si="4"/>
        <v>23457.132033734058</v>
      </c>
      <c r="BT39" s="72">
        <f t="shared" si="5"/>
        <v>22686.64737083748</v>
      </c>
      <c r="BU39" s="72">
        <f t="shared" si="6"/>
        <v>21966.033632966424</v>
      </c>
      <c r="BV39" s="72">
        <f t="shared" si="7"/>
        <v>21285.659830087181</v>
      </c>
      <c r="BW39" s="72">
        <f t="shared" si="8"/>
        <v>20637.20386422861</v>
      </c>
      <c r="BX39" s="72">
        <f t="shared" si="9"/>
        <v>20013.41211990979</v>
      </c>
      <c r="BY39" s="72">
        <f t="shared" si="10"/>
        <v>19407.92533395865</v>
      </c>
      <c r="BZ39" s="72">
        <f t="shared" si="11"/>
        <v>18815.155977014118</v>
      </c>
      <c r="CA39" s="72">
        <f t="shared" si="12"/>
        <v>18230.206340537228</v>
      </c>
      <c r="CB39" s="72">
        <f t="shared" si="13"/>
        <v>17648.819042730745</v>
      </c>
      <c r="CC39" s="75">
        <f t="shared" si="33"/>
        <v>20414.819554600432</v>
      </c>
      <c r="CD39" s="76">
        <f t="shared" si="34"/>
        <v>17648.819042730745</v>
      </c>
      <c r="CG39" s="63">
        <f>BH39+VLOOKUP($A39,'Incremental Demand for New Gen'!$AG$5:$AQ$53,'Mass Equivalents - States, Opt1'!BH$7-2018,0)</f>
        <v>73957404.1029654</v>
      </c>
      <c r="CH39" s="64">
        <f>BI39+VLOOKUP($A39,'Incremental Demand for New Gen'!$AG$5:$AQ$53,'Mass Equivalents - States, Opt1'!BI$7-2018,0)</f>
        <v>74349567.087744817</v>
      </c>
      <c r="CI39" s="64">
        <f>BJ39+VLOOKUP($A39,'Incremental Demand for New Gen'!$AG$5:$AQ$53,'Mass Equivalents - States, Opt1'!BJ$7-2018,0)</f>
        <v>74742700.641048446</v>
      </c>
      <c r="CJ39" s="64">
        <f>BK39+VLOOKUP($A39,'Incremental Demand for New Gen'!$AG$5:$AQ$53,'Mass Equivalents - States, Opt1'!BK$7-2018,0)</f>
        <v>75136807.164947063</v>
      </c>
      <c r="CK39" s="64">
        <f>BL39+VLOOKUP($A39,'Incremental Demand for New Gen'!$AG$5:$AQ$53,'Mass Equivalents - States, Opt1'!BL$7-2018,0)</f>
        <v>75531889.067456439</v>
      </c>
      <c r="CL39" s="64">
        <f>BM39+VLOOKUP($A39,'Incremental Demand for New Gen'!$AG$5:$AQ$53,'Mass Equivalents - States, Opt1'!BM$7-2018,0)</f>
        <v>75927948.762551904</v>
      </c>
      <c r="CM39" s="64">
        <f>BN39+VLOOKUP($A39,'Incremental Demand for New Gen'!$AG$5:$AQ$53,'Mass Equivalents - States, Opt1'!BN$7-2018,0)</f>
        <v>76324988.670183197</v>
      </c>
      <c r="CN39" s="64">
        <f>BO39+VLOOKUP($A39,'Incremental Demand for New Gen'!$AG$5:$AQ$53,'Mass Equivalents - States, Opt1'!BO$7-2018,0)</f>
        <v>76723011.216289192</v>
      </c>
      <c r="CO39" s="64">
        <f>BP39+VLOOKUP($A39,'Incremental Demand for New Gen'!$AG$5:$AQ$53,'Mass Equivalents - States, Opt1'!BP$7-2018,0)</f>
        <v>77122018.832812756</v>
      </c>
      <c r="CP39" s="65">
        <f>BQ39+VLOOKUP($A39,'Incremental Demand for New Gen'!$AG$5:$AQ$53,'Mass Equivalents - States, Opt1'!BQ$7-2018,0)</f>
        <v>77522013.957715616</v>
      </c>
      <c r="CQ39" s="29"/>
      <c r="CR39" s="71">
        <f t="shared" si="14"/>
        <v>24484.293365622012</v>
      </c>
      <c r="CS39" s="72">
        <f t="shared" si="15"/>
        <v>23805.63485310422</v>
      </c>
      <c r="CT39" s="72">
        <f t="shared" si="16"/>
        <v>23171.355121576307</v>
      </c>
      <c r="CU39" s="72">
        <f t="shared" si="17"/>
        <v>22572.042366466598</v>
      </c>
      <c r="CV39" s="72">
        <f t="shared" si="18"/>
        <v>21999.469284478211</v>
      </c>
      <c r="CW39" s="72">
        <f t="shared" si="19"/>
        <v>21446.370720146162</v>
      </c>
      <c r="CX39" s="72">
        <f t="shared" si="20"/>
        <v>20906.284890961626</v>
      </c>
      <c r="CY39" s="72">
        <f t="shared" si="21"/>
        <v>20373.444738049842</v>
      </c>
      <c r="CZ39" s="72">
        <f t="shared" si="22"/>
        <v>19842.709621377875</v>
      </c>
      <c r="DA39" s="72">
        <f t="shared" si="23"/>
        <v>19309.529866869278</v>
      </c>
      <c r="DB39" s="75">
        <f t="shared" si="35"/>
        <v>21791.11348286521</v>
      </c>
      <c r="DC39" s="76">
        <f t="shared" si="36"/>
        <v>19309.529866869278</v>
      </c>
    </row>
    <row r="40" spans="1:107" x14ac:dyDescent="0.25">
      <c r="A40" s="16" t="s">
        <v>74</v>
      </c>
      <c r="B40" s="17">
        <v>2044.2853448000001</v>
      </c>
      <c r="C40" s="17">
        <v>851.23011589999999</v>
      </c>
      <c r="D40" s="17">
        <v>0</v>
      </c>
      <c r="E40" s="17">
        <v>826846418.97859919</v>
      </c>
      <c r="F40" s="17">
        <v>50607838</v>
      </c>
      <c r="G40" s="17">
        <v>15195335.001800001</v>
      </c>
      <c r="H40" s="17">
        <v>0</v>
      </c>
      <c r="I40" s="17">
        <v>362531.25863500009</v>
      </c>
      <c r="J40" s="17">
        <v>4709.1000000000004</v>
      </c>
      <c r="K40" s="17">
        <v>2249</v>
      </c>
      <c r="L40" s="18">
        <f t="shared" si="24"/>
        <v>1921.628224112</v>
      </c>
      <c r="M40" s="19">
        <f t="shared" si="37"/>
        <v>33884576.521799996</v>
      </c>
      <c r="N40" s="19">
        <f t="shared" si="38"/>
        <v>0</v>
      </c>
      <c r="O40" s="19">
        <f t="shared" si="2"/>
        <v>31918596.48</v>
      </c>
      <c r="P40" s="19">
        <f t="shared" si="25"/>
        <v>10075775561.898846</v>
      </c>
      <c r="Q40" s="19">
        <f t="shared" si="26"/>
        <v>11227900.058635</v>
      </c>
      <c r="R40" s="20">
        <f t="shared" si="27"/>
        <v>0.36734999564750009</v>
      </c>
      <c r="S40" s="20">
        <f t="shared" si="28"/>
        <v>0.7</v>
      </c>
      <c r="T40" s="21">
        <v>2295625.0875564399</v>
      </c>
      <c r="U40" s="22">
        <v>4476628.244452402</v>
      </c>
      <c r="V40" s="22">
        <v>5077972.6318094656</v>
      </c>
      <c r="W40" s="22">
        <v>5760095.4650099985</v>
      </c>
      <c r="X40" s="22">
        <v>6533847.6931109373</v>
      </c>
      <c r="Y40" s="22">
        <v>7411537.8705267711</v>
      </c>
      <c r="Z40" s="22">
        <v>8407127.9568040334</v>
      </c>
      <c r="AA40" s="22">
        <v>9536455.4181320574</v>
      </c>
      <c r="AB40" s="22">
        <v>10817485.163695855</v>
      </c>
      <c r="AC40" s="22">
        <v>11668176.311000001</v>
      </c>
      <c r="AD40" s="22">
        <v>11668176.311000001</v>
      </c>
      <c r="AE40" s="23">
        <v>2.3711701365905294E-2</v>
      </c>
      <c r="AF40" s="23">
        <v>3.3248180578932023E-2</v>
      </c>
      <c r="AG40" s="23">
        <v>4.3920817462107686E-2</v>
      </c>
      <c r="AH40" s="23">
        <v>5.5100638222559672E-2</v>
      </c>
      <c r="AI40" s="23">
        <v>6.5281844829774741E-2</v>
      </c>
      <c r="AJ40" s="23">
        <v>7.4506518935239296E-2</v>
      </c>
      <c r="AK40" s="23">
        <v>8.2814709395660768E-2</v>
      </c>
      <c r="AL40" s="23">
        <v>9.0244527440311195E-2</v>
      </c>
      <c r="AM40" s="23">
        <v>9.6832237352173431E-2</v>
      </c>
      <c r="AN40" s="23">
        <v>0.10261234287404637</v>
      </c>
      <c r="AO40" s="23">
        <v>0.86123824559614315</v>
      </c>
      <c r="AP40" s="24">
        <v>137704068.46430001</v>
      </c>
      <c r="AQ40" s="25">
        <f t="shared" si="41"/>
        <v>1181.7685767602823</v>
      </c>
      <c r="AR40" s="25">
        <f t="shared" si="41"/>
        <v>1158.5963293656523</v>
      </c>
      <c r="AS40" s="25">
        <f t="shared" si="41"/>
        <v>1133.6031186748994</v>
      </c>
      <c r="AT40" s="25">
        <f t="shared" si="41"/>
        <v>1107.8425761732351</v>
      </c>
      <c r="AU40" s="25">
        <f t="shared" si="41"/>
        <v>1083.39298086796</v>
      </c>
      <c r="AV40" s="25">
        <f t="shared" si="40"/>
        <v>1059.9503224109412</v>
      </c>
      <c r="AW40" s="25">
        <f t="shared" si="40"/>
        <v>1037.2373731628027</v>
      </c>
      <c r="AX40" s="25">
        <f t="shared" si="40"/>
        <v>1014.9987918832596</v>
      </c>
      <c r="AY40" s="25">
        <f t="shared" si="40"/>
        <v>998.83501034897074</v>
      </c>
      <c r="AZ40" s="25">
        <f t="shared" si="40"/>
        <v>992.19803486218882</v>
      </c>
      <c r="BA40" s="26">
        <f t="shared" si="29"/>
        <v>1076.8423114510192</v>
      </c>
      <c r="BB40" s="26">
        <f t="shared" si="30"/>
        <v>992.19803486218882</v>
      </c>
      <c r="BC40" s="69"/>
      <c r="BD40" s="70"/>
      <c r="BE40" s="79">
        <f t="shared" si="31"/>
        <v>77031073.060434997</v>
      </c>
      <c r="BF40" s="79">
        <f t="shared" si="32"/>
        <v>53169.450857341719</v>
      </c>
      <c r="BG40" s="84"/>
      <c r="BH40" s="63">
        <f>MAX($BE40-VLOOKUP($A40,'RE Generation'!$A$4:$M$52,'Mass Equivalents - States, Opt1'!BH$7-2016,0)-VLOOKUP('Mass Equivalents - States, Opt1'!$A40,'EE Avoided Generation'!$A$4:$K$52,'Mass Equivalents - States, Opt1'!BH$7-2018,0)-VLOOKUP($A40,'Under Construction Nuclear'!$B$5:$D$53,3,0),0)+U40+$T40+VLOOKUP('Mass Equivalents - States, Opt1'!$A40,'EE Avoided Generation'!$A$4:$K$52,'Mass Equivalents - States, Opt1'!BH$7-2018,0)</f>
        <v>82030617.467991441</v>
      </c>
      <c r="BI40" s="64">
        <f>MAX($BE40-VLOOKUP($A40,'RE Generation'!$A$4:$M$52,'Mass Equivalents - States, Opt1'!BI$7-2016,0)-VLOOKUP('Mass Equivalents - States, Opt1'!$A40,'EE Avoided Generation'!$A$4:$K$52,'Mass Equivalents - States, Opt1'!BI$7-2018,0)-VLOOKUP($A40,'Under Construction Nuclear'!$B$5:$D$53,3,0),0)+V40+$T40+VLOOKUP('Mass Equivalents - States, Opt1'!$A40,'EE Avoided Generation'!$A$4:$K$52,'Mass Equivalents - States, Opt1'!BI$7-2018,0)</f>
        <v>82030617.467991441</v>
      </c>
      <c r="BJ40" s="64">
        <f>MAX($BE40-VLOOKUP($A40,'RE Generation'!$A$4:$M$52,'Mass Equivalents - States, Opt1'!BJ$7-2016,0)-VLOOKUP('Mass Equivalents - States, Opt1'!$A40,'EE Avoided Generation'!$A$4:$K$52,'Mass Equivalents - States, Opt1'!BJ$7-2018,0)-VLOOKUP($A40,'Under Construction Nuclear'!$B$5:$D$53,3,0),0)+W40+$T40+VLOOKUP('Mass Equivalents - States, Opt1'!$A40,'EE Avoided Generation'!$A$4:$K$52,'Mass Equivalents - States, Opt1'!BJ$7-2018,0)</f>
        <v>82030617.467991441</v>
      </c>
      <c r="BK40" s="64">
        <f>MAX($BE40-VLOOKUP($A40,'RE Generation'!$A$4:$M$52,'Mass Equivalents - States, Opt1'!BK$7-2016,0)-VLOOKUP('Mass Equivalents - States, Opt1'!$A40,'EE Avoided Generation'!$A$4:$K$52,'Mass Equivalents - States, Opt1'!BK$7-2018,0)-VLOOKUP($A40,'Under Construction Nuclear'!$B$5:$D$53,3,0),0)+X40+$T40+VLOOKUP('Mass Equivalents - States, Opt1'!$A40,'EE Avoided Generation'!$A$4:$K$52,'Mass Equivalents - States, Opt1'!BK$7-2018,0)</f>
        <v>82030617.467991441</v>
      </c>
      <c r="BL40" s="64">
        <f>MAX($BE40-VLOOKUP($A40,'RE Generation'!$A$4:$M$52,'Mass Equivalents - States, Opt1'!BL$7-2016,0)-VLOOKUP('Mass Equivalents - States, Opt1'!$A40,'EE Avoided Generation'!$A$4:$K$52,'Mass Equivalents - States, Opt1'!BL$7-2018,0)-VLOOKUP($A40,'Under Construction Nuclear'!$B$5:$D$53,3,0),0)+Y40+$T40+VLOOKUP('Mass Equivalents - States, Opt1'!$A40,'EE Avoided Generation'!$A$4:$K$52,'Mass Equivalents - States, Opt1'!BL$7-2018,0)</f>
        <v>82030617.467991427</v>
      </c>
      <c r="BM40" s="64">
        <f>MAX($BE40-VLOOKUP($A40,'RE Generation'!$A$4:$M$52,'Mass Equivalents - States, Opt1'!BM$7-2016,0)-VLOOKUP('Mass Equivalents - States, Opt1'!$A40,'EE Avoided Generation'!$A$4:$K$52,'Mass Equivalents - States, Opt1'!BM$7-2018,0)-VLOOKUP($A40,'Under Construction Nuclear'!$B$5:$D$53,3,0),0)+Z40+$T40+VLOOKUP('Mass Equivalents - States, Opt1'!$A40,'EE Avoided Generation'!$A$4:$K$52,'Mass Equivalents - States, Opt1'!BM$7-2018,0)</f>
        <v>82030617.467991441</v>
      </c>
      <c r="BN40" s="64">
        <f>MAX($BE40-VLOOKUP($A40,'RE Generation'!$A$4:$M$52,'Mass Equivalents - States, Opt1'!BN$7-2016,0)-VLOOKUP('Mass Equivalents - States, Opt1'!$A40,'EE Avoided Generation'!$A$4:$K$52,'Mass Equivalents - States, Opt1'!BN$7-2018,0)-VLOOKUP($A40,'Under Construction Nuclear'!$B$5:$D$53,3,0),0)+AA40+$T40+VLOOKUP('Mass Equivalents - States, Opt1'!$A40,'EE Avoided Generation'!$A$4:$K$52,'Mass Equivalents - States, Opt1'!BN$7-2018,0)</f>
        <v>82030617.467991441</v>
      </c>
      <c r="BO40" s="64">
        <f>MAX($BE40-VLOOKUP($A40,'RE Generation'!$A$4:$M$52,'Mass Equivalents - States, Opt1'!BO$7-2016,0)-VLOOKUP('Mass Equivalents - States, Opt1'!$A40,'EE Avoided Generation'!$A$4:$K$52,'Mass Equivalents - States, Opt1'!BO$7-2018,0)-VLOOKUP($A40,'Under Construction Nuclear'!$B$5:$D$53,3,0),0)+AB40+$T40+VLOOKUP('Mass Equivalents - States, Opt1'!$A40,'EE Avoided Generation'!$A$4:$K$52,'Mass Equivalents - States, Opt1'!BO$7-2018,0)</f>
        <v>82030617.467991441</v>
      </c>
      <c r="BP40" s="64">
        <f>MAX($BE40-VLOOKUP($A40,'RE Generation'!$A$4:$M$52,'Mass Equivalents - States, Opt1'!BP$7-2016,0)-VLOOKUP('Mass Equivalents - States, Opt1'!$A40,'EE Avoided Generation'!$A$4:$K$52,'Mass Equivalents - States, Opt1'!BP$7-2018,0)-VLOOKUP($A40,'Under Construction Nuclear'!$B$5:$D$53,3,0),0)+AC40+$T40+VLOOKUP('Mass Equivalents - States, Opt1'!$A40,'EE Avoided Generation'!$A$4:$K$52,'Mass Equivalents - States, Opt1'!BP$7-2018,0)</f>
        <v>82030617.467991441</v>
      </c>
      <c r="BQ40" s="65">
        <f>MAX($BE40-VLOOKUP($A40,'RE Generation'!$A$4:$M$52,'Mass Equivalents - States, Opt1'!BQ$7-2016,0)-VLOOKUP('Mass Equivalents - States, Opt1'!$A40,'EE Avoided Generation'!$A$4:$K$52,'Mass Equivalents - States, Opt1'!BQ$7-2018,0)-VLOOKUP($A40,'Under Construction Nuclear'!$B$5:$D$53,3,0),0)+AD40+$T40+VLOOKUP('Mass Equivalents - States, Opt1'!$A40,'EE Avoided Generation'!$A$4:$K$52,'Mass Equivalents - States, Opt1'!BQ$7-2018,0)</f>
        <v>82030617.467991441</v>
      </c>
      <c r="BR40" s="29"/>
      <c r="BS40" s="71">
        <f t="shared" ref="BS40:BS56" si="42">BH40*AQ40/2204.62*10^-3</f>
        <v>43971.843699102523</v>
      </c>
      <c r="BT40" s="72">
        <f t="shared" ref="BT40:BT56" si="43">BI40*AR40/2204.62*10^-3</f>
        <v>43109.638982687655</v>
      </c>
      <c r="BU40" s="72">
        <f t="shared" ref="BU40:BU56" si="44">BJ40*AS40/2204.62*10^-3</f>
        <v>42179.678941741797</v>
      </c>
      <c r="BV40" s="72">
        <f t="shared" ref="BV40:BV56" si="45">BK40*AT40/2204.62*10^-3</f>
        <v>41221.167630167933</v>
      </c>
      <c r="BW40" s="72">
        <f t="shared" ref="BW40:BW56" si="46">BL40*AU40/2204.62*10^-3</f>
        <v>40311.434705793552</v>
      </c>
      <c r="BX40" s="72">
        <f t="shared" ref="BX40:BX56" si="47">BM40*AV40/2204.62*10^-3</f>
        <v>39439.168397622321</v>
      </c>
      <c r="BY40" s="72">
        <f t="shared" ref="BY40:BY56" si="48">BN40*AW40/2204.62*10^-3</f>
        <v>38594.053479249109</v>
      </c>
      <c r="BZ40" s="72">
        <f t="shared" ref="BZ40:BZ56" si="49">BO40*AX40/2204.62*10^-3</f>
        <v>37766.589084490362</v>
      </c>
      <c r="CA40" s="72">
        <f t="shared" ref="CA40:CA56" si="50">BP40*AY40/2204.62*10^-3</f>
        <v>37165.158915175271</v>
      </c>
      <c r="CB40" s="72">
        <f t="shared" ref="CB40:CB56" si="51">BQ40*AZ40/2204.62*10^-3</f>
        <v>36918.206970032501</v>
      </c>
      <c r="CC40" s="75">
        <f t="shared" si="33"/>
        <v>40067.694080606307</v>
      </c>
      <c r="CD40" s="76">
        <f t="shared" si="34"/>
        <v>36918.206970032501</v>
      </c>
      <c r="CG40" s="63">
        <f>BH40+VLOOKUP($A40,'Incremental Demand for New Gen'!$AG$5:$AQ$53,'Mass Equivalents - States, Opt1'!BH$7-2018,0)</f>
        <v>84223514.629764497</v>
      </c>
      <c r="CH40" s="64">
        <f>BI40+VLOOKUP($A40,'Incremental Demand for New Gen'!$AG$5:$AQ$53,'Mass Equivalents - States, Opt1'!BI$7-2018,0)</f>
        <v>85936167.471498385</v>
      </c>
      <c r="CI40" s="64">
        <f>BJ40+VLOOKUP($A40,'Incremental Demand for New Gen'!$AG$5:$AQ$53,'Mass Equivalents - States, Opt1'!BJ$7-2018,0)</f>
        <v>87668214.752193585</v>
      </c>
      <c r="CJ40" s="64">
        <f>BK40+VLOOKUP($A40,'Incremental Demand for New Gen'!$AG$5:$AQ$53,'Mass Equivalents - States, Opt1'!BK$7-2018,0)</f>
        <v>89419876.098533005</v>
      </c>
      <c r="CK40" s="64">
        <f>BL40+VLOOKUP($A40,'Incremental Demand for New Gen'!$AG$5:$AQ$53,'Mass Equivalents - States, Opt1'!BL$7-2018,0)</f>
        <v>91191373.624298051</v>
      </c>
      <c r="CL40" s="64">
        <f>BM40+VLOOKUP($A40,'Incremental Demand for New Gen'!$AG$5:$AQ$53,'Mass Equivalents - States, Opt1'!BM$7-2018,0)</f>
        <v>92982931.958533078</v>
      </c>
      <c r="CM40" s="64">
        <f>BN40+VLOOKUP($A40,'Incremental Demand for New Gen'!$AG$5:$AQ$53,'Mass Equivalents - States, Opt1'!BN$7-2018,0)</f>
        <v>94794778.274028659</v>
      </c>
      <c r="CN40" s="64">
        <f>BO40+VLOOKUP($A40,'Incremental Demand for New Gen'!$AG$5:$AQ$53,'Mass Equivalents - States, Opt1'!BO$7-2018,0)</f>
        <v>96627142.316127598</v>
      </c>
      <c r="CO40" s="64">
        <f>BP40+VLOOKUP($A40,'Incremental Demand for New Gen'!$AG$5:$AQ$53,'Mass Equivalents - States, Opt1'!BP$7-2018,0)</f>
        <v>98480256.43185696</v>
      </c>
      <c r="CP40" s="65">
        <f>BQ40+VLOOKUP($A40,'Incremental Demand for New Gen'!$AG$5:$AQ$53,'Mass Equivalents - States, Opt1'!BQ$7-2018,0)</f>
        <v>100354355.59939024</v>
      </c>
      <c r="CQ40" s="29"/>
      <c r="CR40" s="71">
        <f t="shared" ref="CR40:CR56" si="52">CG40*AQ40/2204.62*10^-3</f>
        <v>45147.328344007401</v>
      </c>
      <c r="CS40" s="72">
        <f t="shared" ref="CS40:CS56" si="53">CH40*AR40/2204.62*10^-3</f>
        <v>45162.12689362793</v>
      </c>
      <c r="CT40" s="72">
        <f t="shared" ref="CT40:CT56" si="54">CI40*AS40/2204.62*10^-3</f>
        <v>45078.499538127879</v>
      </c>
      <c r="CU40" s="72">
        <f t="shared" ref="CU40:CU56" si="55">CJ40*AT40/2204.62*10^-3</f>
        <v>44934.340565762039</v>
      </c>
      <c r="CV40" s="72">
        <f t="shared" ref="CV40:CV56" si="56">CK40*AU40/2204.62*10^-3</f>
        <v>44813.207763819672</v>
      </c>
      <c r="CW40" s="72">
        <f t="shared" ref="CW40:CW56" si="57">CL40*AV40/2204.62*10^-3</f>
        <v>44704.887331223406</v>
      </c>
      <c r="CX40" s="72">
        <f t="shared" ref="CX40:CX56" si="58">CM40*AW40/2204.62*10^-3</f>
        <v>44599.380757910119</v>
      </c>
      <c r="CY40" s="72">
        <f t="shared" ref="CY40:CY56" si="59">CN40*AX40/2204.62*10^-3</f>
        <v>44486.774461812609</v>
      </c>
      <c r="CZ40" s="72">
        <f t="shared" ref="CZ40:CZ56" si="60">CO40*AY40/2204.62*10^-3</f>
        <v>44617.906012048858</v>
      </c>
      <c r="DA40" s="72">
        <f t="shared" ref="DA40:DA56" si="61">CP40*AZ40/2204.62*10^-3</f>
        <v>45164.878489524868</v>
      </c>
      <c r="DB40" s="75">
        <f t="shared" si="35"/>
        <v>44870.933015786475</v>
      </c>
      <c r="DC40" s="76">
        <f t="shared" si="36"/>
        <v>45164.878489524868</v>
      </c>
    </row>
    <row r="41" spans="1:107" x14ac:dyDescent="0.25">
      <c r="A41" s="16" t="s">
        <v>75</v>
      </c>
      <c r="B41" s="17">
        <v>2367.8470266999998</v>
      </c>
      <c r="C41" s="17">
        <v>0</v>
      </c>
      <c r="D41" s="17">
        <v>0</v>
      </c>
      <c r="E41" s="17">
        <v>0</v>
      </c>
      <c r="F41" s="17">
        <v>28186691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f t="shared" si="24"/>
        <v>2225.7762050979995</v>
      </c>
      <c r="M41" s="19">
        <f t="shared" si="37"/>
        <v>28186691</v>
      </c>
      <c r="N41" s="19">
        <f t="shared" si="38"/>
        <v>0</v>
      </c>
      <c r="O41" s="19">
        <f t="shared" si="2"/>
        <v>0</v>
      </c>
      <c r="P41" s="19">
        <f t="shared" si="25"/>
        <v>0</v>
      </c>
      <c r="Q41" s="19">
        <f t="shared" si="26"/>
        <v>0</v>
      </c>
      <c r="R41" s="20"/>
      <c r="S41" s="20"/>
      <c r="T41" s="21"/>
      <c r="U41" s="22">
        <v>5459956.5101004001</v>
      </c>
      <c r="V41" s="22">
        <v>5459956.5101004001</v>
      </c>
      <c r="W41" s="22">
        <v>5459956.5101004001</v>
      </c>
      <c r="X41" s="22">
        <v>5459956.5101004001</v>
      </c>
      <c r="Y41" s="22">
        <v>5459956.5101004001</v>
      </c>
      <c r="Z41" s="22">
        <v>5459956.5101004001</v>
      </c>
      <c r="AA41" s="22">
        <v>5459956.5101004001</v>
      </c>
      <c r="AB41" s="22">
        <v>5459956.5101004001</v>
      </c>
      <c r="AC41" s="22">
        <v>5459956.5101004001</v>
      </c>
      <c r="AD41" s="22">
        <v>5459956.5101004001</v>
      </c>
      <c r="AE41" s="23">
        <v>1.3905077599230736E-2</v>
      </c>
      <c r="AF41" s="23">
        <v>2.1588731916621539E-2</v>
      </c>
      <c r="AG41" s="23">
        <v>3.0668948227100919E-2</v>
      </c>
      <c r="AH41" s="23">
        <v>4.0993977973776304E-2</v>
      </c>
      <c r="AI41" s="23">
        <v>5.240981445235255E-2</v>
      </c>
      <c r="AJ41" s="23">
        <v>6.3172354804844968E-2</v>
      </c>
      <c r="AK41" s="23">
        <v>7.2992897255679534E-2</v>
      </c>
      <c r="AL41" s="23">
        <v>8.1902885547603055E-2</v>
      </c>
      <c r="AM41" s="23">
        <v>8.993232259045425E-2</v>
      </c>
      <c r="AN41" s="23">
        <v>9.7109828614531768E-2</v>
      </c>
      <c r="AO41" s="23">
        <v>2.5949466162513546</v>
      </c>
      <c r="AP41" s="24">
        <v>15822199.395599999</v>
      </c>
      <c r="AQ41" s="25">
        <f t="shared" si="41"/>
        <v>1852.478891016201</v>
      </c>
      <c r="AR41" s="25">
        <f t="shared" si="41"/>
        <v>1845.8527693351105</v>
      </c>
      <c r="AS41" s="25">
        <f t="shared" si="41"/>
        <v>1838.0831512852844</v>
      </c>
      <c r="AT41" s="25">
        <f t="shared" si="41"/>
        <v>1829.327485233855</v>
      </c>
      <c r="AU41" s="25">
        <f t="shared" si="41"/>
        <v>1819.7434011411597</v>
      </c>
      <c r="AV41" s="25">
        <f t="shared" si="40"/>
        <v>1810.7993035687825</v>
      </c>
      <c r="AW41" s="25">
        <f t="shared" si="40"/>
        <v>1802.7144158786748</v>
      </c>
      <c r="AX41" s="25">
        <f t="shared" si="40"/>
        <v>1795.4413661747471</v>
      </c>
      <c r="AY41" s="25">
        <f t="shared" si="40"/>
        <v>1788.9371842674393</v>
      </c>
      <c r="AZ41" s="25">
        <f t="shared" si="40"/>
        <v>1783.1628631579874</v>
      </c>
      <c r="BA41" s="26">
        <f t="shared" si="29"/>
        <v>1816.654083105924</v>
      </c>
      <c r="BB41" s="26">
        <f t="shared" si="30"/>
        <v>1783.1628631579874</v>
      </c>
      <c r="BC41" s="69"/>
      <c r="BD41" s="70"/>
      <c r="BE41" s="79">
        <f t="shared" si="31"/>
        <v>28186691</v>
      </c>
      <c r="BF41" s="79">
        <f t="shared" si="32"/>
        <v>30273.594758671177</v>
      </c>
      <c r="BG41" s="84"/>
      <c r="BH41" s="63">
        <f>MAX($BE41-VLOOKUP($A41,'RE Generation'!$A$4:$M$52,'Mass Equivalents - States, Opt1'!BH$7-2016,0)-VLOOKUP('Mass Equivalents - States, Opt1'!$A41,'EE Avoided Generation'!$A$4:$K$52,'Mass Equivalents - States, Opt1'!BH$7-2018,0)-VLOOKUP($A41,'Under Construction Nuclear'!$B$5:$D$53,3,0),0)+U41+$T41+VLOOKUP('Mass Equivalents - States, Opt1'!$A41,'EE Avoided Generation'!$A$4:$K$52,'Mass Equivalents - States, Opt1'!BH$7-2018,0)</f>
        <v>33466742.999999996</v>
      </c>
      <c r="BI41" s="64">
        <f>MAX($BE41-VLOOKUP($A41,'RE Generation'!$A$4:$M$52,'Mass Equivalents - States, Opt1'!BI$7-2016,0)-VLOOKUP('Mass Equivalents - States, Opt1'!$A41,'EE Avoided Generation'!$A$4:$K$52,'Mass Equivalents - States, Opt1'!BI$7-2018,0)-VLOOKUP($A41,'Under Construction Nuclear'!$B$5:$D$53,3,0),0)+V41+$T41+VLOOKUP('Mass Equivalents - States, Opt1'!$A41,'EE Avoided Generation'!$A$4:$K$52,'Mass Equivalents - States, Opt1'!BI$7-2018,0)</f>
        <v>33466743</v>
      </c>
      <c r="BJ41" s="64">
        <f>MAX($BE41-VLOOKUP($A41,'RE Generation'!$A$4:$M$52,'Mass Equivalents - States, Opt1'!BJ$7-2016,0)-VLOOKUP('Mass Equivalents - States, Opt1'!$A41,'EE Avoided Generation'!$A$4:$K$52,'Mass Equivalents - States, Opt1'!BJ$7-2018,0)-VLOOKUP($A41,'Under Construction Nuclear'!$B$5:$D$53,3,0),0)+W41+$T41+VLOOKUP('Mass Equivalents - States, Opt1'!$A41,'EE Avoided Generation'!$A$4:$K$52,'Mass Equivalents - States, Opt1'!BJ$7-2018,0)</f>
        <v>33466742.999999996</v>
      </c>
      <c r="BK41" s="64">
        <f>MAX($BE41-VLOOKUP($A41,'RE Generation'!$A$4:$M$52,'Mass Equivalents - States, Opt1'!BK$7-2016,0)-VLOOKUP('Mass Equivalents - States, Opt1'!$A41,'EE Avoided Generation'!$A$4:$K$52,'Mass Equivalents - States, Opt1'!BK$7-2018,0)-VLOOKUP($A41,'Under Construction Nuclear'!$B$5:$D$53,3,0),0)+X41+$T41+VLOOKUP('Mass Equivalents - States, Opt1'!$A41,'EE Avoided Generation'!$A$4:$K$52,'Mass Equivalents - States, Opt1'!BK$7-2018,0)</f>
        <v>33466743</v>
      </c>
      <c r="BL41" s="64">
        <f>MAX($BE41-VLOOKUP($A41,'RE Generation'!$A$4:$M$52,'Mass Equivalents - States, Opt1'!BL$7-2016,0)-VLOOKUP('Mass Equivalents - States, Opt1'!$A41,'EE Avoided Generation'!$A$4:$K$52,'Mass Equivalents - States, Opt1'!BL$7-2018,0)-VLOOKUP($A41,'Under Construction Nuclear'!$B$5:$D$53,3,0),0)+Y41+$T41+VLOOKUP('Mass Equivalents - States, Opt1'!$A41,'EE Avoided Generation'!$A$4:$K$52,'Mass Equivalents - States, Opt1'!BL$7-2018,0)</f>
        <v>33466742.999999996</v>
      </c>
      <c r="BM41" s="64">
        <f>MAX($BE41-VLOOKUP($A41,'RE Generation'!$A$4:$M$52,'Mass Equivalents - States, Opt1'!BM$7-2016,0)-VLOOKUP('Mass Equivalents - States, Opt1'!$A41,'EE Avoided Generation'!$A$4:$K$52,'Mass Equivalents - States, Opt1'!BM$7-2018,0)-VLOOKUP($A41,'Under Construction Nuclear'!$B$5:$D$53,3,0),0)+Z41+$T41+VLOOKUP('Mass Equivalents - States, Opt1'!$A41,'EE Avoided Generation'!$A$4:$K$52,'Mass Equivalents - States, Opt1'!BM$7-2018,0)</f>
        <v>33466742.999999996</v>
      </c>
      <c r="BN41" s="64">
        <f>MAX($BE41-VLOOKUP($A41,'RE Generation'!$A$4:$M$52,'Mass Equivalents - States, Opt1'!BN$7-2016,0)-VLOOKUP('Mass Equivalents - States, Opt1'!$A41,'EE Avoided Generation'!$A$4:$K$52,'Mass Equivalents - States, Opt1'!BN$7-2018,0)-VLOOKUP($A41,'Under Construction Nuclear'!$B$5:$D$53,3,0),0)+AA41+$T41+VLOOKUP('Mass Equivalents - States, Opt1'!$A41,'EE Avoided Generation'!$A$4:$K$52,'Mass Equivalents - States, Opt1'!BN$7-2018,0)</f>
        <v>33466742.999999996</v>
      </c>
      <c r="BO41" s="64">
        <f>MAX($BE41-VLOOKUP($A41,'RE Generation'!$A$4:$M$52,'Mass Equivalents - States, Opt1'!BO$7-2016,0)-VLOOKUP('Mass Equivalents - States, Opt1'!$A41,'EE Avoided Generation'!$A$4:$K$52,'Mass Equivalents - States, Opt1'!BO$7-2018,0)-VLOOKUP($A41,'Under Construction Nuclear'!$B$5:$D$53,3,0),0)+AB41+$T41+VLOOKUP('Mass Equivalents - States, Opt1'!$A41,'EE Avoided Generation'!$A$4:$K$52,'Mass Equivalents - States, Opt1'!BO$7-2018,0)</f>
        <v>33466743</v>
      </c>
      <c r="BP41" s="64">
        <f>MAX($BE41-VLOOKUP($A41,'RE Generation'!$A$4:$M$52,'Mass Equivalents - States, Opt1'!BP$7-2016,0)-VLOOKUP('Mass Equivalents - States, Opt1'!$A41,'EE Avoided Generation'!$A$4:$K$52,'Mass Equivalents - States, Opt1'!BP$7-2018,0)-VLOOKUP($A41,'Under Construction Nuclear'!$B$5:$D$53,3,0),0)+AC41+$T41+VLOOKUP('Mass Equivalents - States, Opt1'!$A41,'EE Avoided Generation'!$A$4:$K$52,'Mass Equivalents - States, Opt1'!BP$7-2018,0)</f>
        <v>33466742.999999996</v>
      </c>
      <c r="BQ41" s="65">
        <f>MAX($BE41-VLOOKUP($A41,'RE Generation'!$A$4:$M$52,'Mass Equivalents - States, Opt1'!BQ$7-2016,0)-VLOOKUP('Mass Equivalents - States, Opt1'!$A41,'EE Avoided Generation'!$A$4:$K$52,'Mass Equivalents - States, Opt1'!BQ$7-2018,0)-VLOOKUP($A41,'Under Construction Nuclear'!$B$5:$D$53,3,0),0)+AD41+$T41+VLOOKUP('Mass Equivalents - States, Opt1'!$A41,'EE Avoided Generation'!$A$4:$K$52,'Mass Equivalents - States, Opt1'!BQ$7-2018,0)</f>
        <v>33466743</v>
      </c>
      <c r="BR41" s="29"/>
      <c r="BS41" s="71">
        <f t="shared" si="42"/>
        <v>28121.143307492541</v>
      </c>
      <c r="BT41" s="72">
        <f t="shared" si="43"/>
        <v>28020.556942773095</v>
      </c>
      <c r="BU41" s="72">
        <f t="shared" si="44"/>
        <v>27902.611986054166</v>
      </c>
      <c r="BV41" s="72">
        <f t="shared" si="45"/>
        <v>27769.698547213455</v>
      </c>
      <c r="BW41" s="72">
        <f t="shared" si="46"/>
        <v>27624.209492763875</v>
      </c>
      <c r="BX41" s="72">
        <f t="shared" si="47"/>
        <v>27488.435611178083</v>
      </c>
      <c r="BY41" s="72">
        <f t="shared" si="48"/>
        <v>27365.704773886984</v>
      </c>
      <c r="BZ41" s="72">
        <f t="shared" si="49"/>
        <v>27255.297862370458</v>
      </c>
      <c r="CA41" s="72">
        <f t="shared" si="50"/>
        <v>27156.562577234188</v>
      </c>
      <c r="CB41" s="72">
        <f t="shared" si="51"/>
        <v>27068.906781419268</v>
      </c>
      <c r="CC41" s="75">
        <f t="shared" si="33"/>
        <v>27577.312788238611</v>
      </c>
      <c r="CD41" s="76">
        <f t="shared" si="34"/>
        <v>27068.906781419268</v>
      </c>
      <c r="CG41" s="63">
        <f>BH41+VLOOKUP($A41,'Incremental Demand for New Gen'!$AG$5:$AQ$53,'Mass Equivalents - States, Opt1'!BH$7-2018,0)</f>
        <v>34148980.66856537</v>
      </c>
      <c r="CH41" s="64">
        <f>BI41+VLOOKUP($A41,'Incremental Demand for New Gen'!$AG$5:$AQ$53,'Mass Equivalents - States, Opt1'!BI$7-2018,0)</f>
        <v>34236301.873808324</v>
      </c>
      <c r="CI41" s="64">
        <f>BJ41+VLOOKUP($A41,'Incremental Demand for New Gen'!$AG$5:$AQ$53,'Mass Equivalents - States, Opt1'!BJ$7-2018,0)</f>
        <v>34324084.764928371</v>
      </c>
      <c r="CJ41" s="64">
        <f>BK41+VLOOKUP($A41,'Incremental Demand for New Gen'!$AG$5:$AQ$53,'Mass Equivalents - States, Opt1'!BK$7-2018,0)</f>
        <v>34412331.782957435</v>
      </c>
      <c r="CK41" s="64">
        <f>BL41+VLOOKUP($A41,'Incremental Demand for New Gen'!$AG$5:$AQ$53,'Mass Equivalents - States, Opt1'!BL$7-2018,0)</f>
        <v>34501045.381833673</v>
      </c>
      <c r="CL41" s="64">
        <f>BM41+VLOOKUP($A41,'Incremental Demand for New Gen'!$AG$5:$AQ$53,'Mass Equivalents - States, Opt1'!BM$7-2018,0)</f>
        <v>34590228.028469779</v>
      </c>
      <c r="CM41" s="64">
        <f>BN41+VLOOKUP($A41,'Incremental Demand for New Gen'!$AG$5:$AQ$53,'Mass Equivalents - States, Opt1'!BN$7-2018,0)</f>
        <v>34679882.202821508</v>
      </c>
      <c r="CN41" s="64">
        <f>BO41+VLOOKUP($A41,'Incremental Demand for New Gen'!$AG$5:$AQ$53,'Mass Equivalents - States, Opt1'!BO$7-2018,0)</f>
        <v>34770010.397956692</v>
      </c>
      <c r="CO41" s="64">
        <f>BP41+VLOOKUP($A41,'Incremental Demand for New Gen'!$AG$5:$AQ$53,'Mass Equivalents - States, Opt1'!BP$7-2018,0)</f>
        <v>34860615.120124511</v>
      </c>
      <c r="CP41" s="65">
        <f>BQ41+VLOOKUP($A41,'Incremental Demand for New Gen'!$AG$5:$AQ$53,'Mass Equivalents - States, Opt1'!BQ$7-2018,0)</f>
        <v>34951698.888825275</v>
      </c>
      <c r="CQ41" s="29"/>
      <c r="CR41" s="71">
        <f t="shared" si="52"/>
        <v>28694.408033238229</v>
      </c>
      <c r="CS41" s="72">
        <f t="shared" si="53"/>
        <v>28664.882213516132</v>
      </c>
      <c r="CT41" s="72">
        <f t="shared" si="54"/>
        <v>28617.413381763192</v>
      </c>
      <c r="CU41" s="72">
        <f t="shared" si="55"/>
        <v>28554.319729273338</v>
      </c>
      <c r="CV41" s="72">
        <f t="shared" si="56"/>
        <v>28477.946161272015</v>
      </c>
      <c r="CW41" s="72">
        <f t="shared" si="57"/>
        <v>28411.227705563073</v>
      </c>
      <c r="CX41" s="72">
        <f t="shared" si="58"/>
        <v>28357.68685215621</v>
      </c>
      <c r="CY41" s="72">
        <f t="shared" si="59"/>
        <v>28316.678144450081</v>
      </c>
      <c r="CZ41" s="72">
        <f t="shared" si="60"/>
        <v>28287.619024968688</v>
      </c>
      <c r="DA41" s="72">
        <f t="shared" si="61"/>
        <v>28269.983699156106</v>
      </c>
      <c r="DB41" s="75">
        <f t="shared" si="35"/>
        <v>28465.216494535707</v>
      </c>
      <c r="DC41" s="76">
        <f t="shared" si="36"/>
        <v>28269.983699156106</v>
      </c>
    </row>
    <row r="42" spans="1:107" x14ac:dyDescent="0.25">
      <c r="A42" s="30" t="s">
        <v>76</v>
      </c>
      <c r="B42" s="17">
        <v>2126.4919454000001</v>
      </c>
      <c r="C42" s="17">
        <v>962.64416500000004</v>
      </c>
      <c r="D42" s="17">
        <v>1331.8594760999999</v>
      </c>
      <c r="E42" s="17">
        <v>284732505.57003486</v>
      </c>
      <c r="F42" s="17">
        <v>86473075</v>
      </c>
      <c r="G42" s="17">
        <v>20907183.119899999</v>
      </c>
      <c r="H42" s="17">
        <v>321602</v>
      </c>
      <c r="I42" s="17">
        <v>214178.34231189999</v>
      </c>
      <c r="J42" s="17">
        <v>4342.5</v>
      </c>
      <c r="K42" s="17">
        <v>539</v>
      </c>
      <c r="L42" s="18">
        <f t="shared" si="24"/>
        <v>1998.902428676</v>
      </c>
      <c r="M42" s="19">
        <f t="shared" si="37"/>
        <v>79993007.737065971</v>
      </c>
      <c r="N42" s="19">
        <f t="shared" si="38"/>
        <v>297501.98283403117</v>
      </c>
      <c r="O42" s="19">
        <f t="shared" si="2"/>
        <v>27411350.399999999</v>
      </c>
      <c r="P42" s="19">
        <f t="shared" si="25"/>
        <v>2791474083.6520076</v>
      </c>
      <c r="Q42" s="19">
        <f t="shared" si="26"/>
        <v>2818195.1423119004</v>
      </c>
      <c r="R42" s="20">
        <f t="shared" si="27"/>
        <v>0.54810450150899792</v>
      </c>
      <c r="S42" s="20">
        <f t="shared" si="28"/>
        <v>0.7</v>
      </c>
      <c r="T42" s="21">
        <v>993077.25115620636</v>
      </c>
      <c r="U42" s="22">
        <v>3286936.6168206702</v>
      </c>
      <c r="V42" s="22">
        <v>3854232.2836537608</v>
      </c>
      <c r="W42" s="22">
        <v>4519438.0750571536</v>
      </c>
      <c r="X42" s="22">
        <v>5299452.3970188377</v>
      </c>
      <c r="Y42" s="22">
        <v>6214090.1682591476</v>
      </c>
      <c r="Z42" s="22">
        <v>7286586.1840701681</v>
      </c>
      <c r="AA42" s="22">
        <v>8544185.3562218938</v>
      </c>
      <c r="AB42" s="22">
        <v>10018834.82296209</v>
      </c>
      <c r="AC42" s="22">
        <v>11747995.510970866</v>
      </c>
      <c r="AD42" s="22">
        <v>13775593.765601883</v>
      </c>
      <c r="AE42" s="23">
        <v>4.1676898585901109E-2</v>
      </c>
      <c r="AF42" s="23">
        <v>5.3480896117270589E-2</v>
      </c>
      <c r="AG42" s="23">
        <v>6.4319755857136771E-2</v>
      </c>
      <c r="AH42" s="23">
        <v>7.4224054995581046E-2</v>
      </c>
      <c r="AI42" s="23">
        <v>8.3222984559671156E-2</v>
      </c>
      <c r="AJ42" s="23">
        <v>9.134440294933982E-2</v>
      </c>
      <c r="AK42" s="23">
        <v>9.8614887260712103E-2</v>
      </c>
      <c r="AL42" s="23">
        <v>0.10505978248567323</v>
      </c>
      <c r="AM42" s="23">
        <v>0.11070324867286038</v>
      </c>
      <c r="AN42" s="23">
        <v>0.11556830613179882</v>
      </c>
      <c r="AO42" s="23">
        <v>0.85969038999059932</v>
      </c>
      <c r="AP42" s="24">
        <v>163906374.48639998</v>
      </c>
      <c r="AQ42" s="25">
        <f t="shared" si="41"/>
        <v>1570.1420952798715</v>
      </c>
      <c r="AR42" s="25">
        <f t="shared" si="41"/>
        <v>1541.6454559191857</v>
      </c>
      <c r="AS42" s="25">
        <f t="shared" si="41"/>
        <v>1514.6257512249808</v>
      </c>
      <c r="AT42" s="25">
        <f t="shared" si="41"/>
        <v>1488.7342717847371</v>
      </c>
      <c r="AU42" s="25">
        <f t="shared" si="41"/>
        <v>1463.6334073772452</v>
      </c>
      <c r="AV42" s="25">
        <f t="shared" si="40"/>
        <v>1438.9909771251409</v>
      </c>
      <c r="AW42" s="25">
        <f t="shared" si="40"/>
        <v>1414.4757862366203</v>
      </c>
      <c r="AX42" s="25">
        <f t="shared" si="40"/>
        <v>1389.754468187673</v>
      </c>
      <c r="AY42" s="25">
        <f t="shared" si="40"/>
        <v>1364.4897703473891</v>
      </c>
      <c r="AZ42" s="25">
        <f t="shared" si="40"/>
        <v>1338.3405300152783</v>
      </c>
      <c r="BA42" s="26">
        <f t="shared" si="29"/>
        <v>1452.4832513498122</v>
      </c>
      <c r="BB42" s="26">
        <f t="shared" si="30"/>
        <v>1338.3405300152783</v>
      </c>
      <c r="BC42" s="69"/>
      <c r="BD42" s="70"/>
      <c r="BE42" s="79">
        <f t="shared" si="31"/>
        <v>110520055.26221189</v>
      </c>
      <c r="BF42" s="79">
        <f t="shared" si="32"/>
        <v>92861.14454882525</v>
      </c>
      <c r="BG42" s="84"/>
      <c r="BH42" s="63">
        <f>MAX($BE42-VLOOKUP($A42,'RE Generation'!$A$4:$M$52,'Mass Equivalents - States, Opt1'!BH$7-2016,0)-VLOOKUP('Mass Equivalents - States, Opt1'!$A42,'EE Avoided Generation'!$A$4:$K$52,'Mass Equivalents - States, Opt1'!BH$7-2018,0)-VLOOKUP($A42,'Under Construction Nuclear'!$B$5:$D$53,3,0),0)+U42+$T42+VLOOKUP('Mass Equivalents - States, Opt1'!$A42,'EE Avoided Generation'!$A$4:$K$52,'Mass Equivalents - States, Opt1'!BH$7-2018,0)</f>
        <v>113251754.2633681</v>
      </c>
      <c r="BI42" s="64">
        <f>MAX($BE42-VLOOKUP($A42,'RE Generation'!$A$4:$M$52,'Mass Equivalents - States, Opt1'!BI$7-2016,0)-VLOOKUP('Mass Equivalents - States, Opt1'!$A42,'EE Avoided Generation'!$A$4:$K$52,'Mass Equivalents - States, Opt1'!BI$7-2018,0)-VLOOKUP($A42,'Under Construction Nuclear'!$B$5:$D$53,3,0),0)+V42+$T42+VLOOKUP('Mass Equivalents - States, Opt1'!$A42,'EE Avoided Generation'!$A$4:$K$52,'Mass Equivalents - States, Opt1'!BI$7-2018,0)</f>
        <v>113251754.2633681</v>
      </c>
      <c r="BJ42" s="64">
        <f>MAX($BE42-VLOOKUP($A42,'RE Generation'!$A$4:$M$52,'Mass Equivalents - States, Opt1'!BJ$7-2016,0)-VLOOKUP('Mass Equivalents - States, Opt1'!$A42,'EE Avoided Generation'!$A$4:$K$52,'Mass Equivalents - States, Opt1'!BJ$7-2018,0)-VLOOKUP($A42,'Under Construction Nuclear'!$B$5:$D$53,3,0),0)+W42+$T42+VLOOKUP('Mass Equivalents - States, Opt1'!$A42,'EE Avoided Generation'!$A$4:$K$52,'Mass Equivalents - States, Opt1'!BJ$7-2018,0)</f>
        <v>113251754.2633681</v>
      </c>
      <c r="BK42" s="64">
        <f>MAX($BE42-VLOOKUP($A42,'RE Generation'!$A$4:$M$52,'Mass Equivalents - States, Opt1'!BK$7-2016,0)-VLOOKUP('Mass Equivalents - States, Opt1'!$A42,'EE Avoided Generation'!$A$4:$K$52,'Mass Equivalents - States, Opt1'!BK$7-2018,0)-VLOOKUP($A42,'Under Construction Nuclear'!$B$5:$D$53,3,0),0)+X42+$T42+VLOOKUP('Mass Equivalents - States, Opt1'!$A42,'EE Avoided Generation'!$A$4:$K$52,'Mass Equivalents - States, Opt1'!BK$7-2018,0)</f>
        <v>113251754.2633681</v>
      </c>
      <c r="BL42" s="64">
        <f>MAX($BE42-VLOOKUP($A42,'RE Generation'!$A$4:$M$52,'Mass Equivalents - States, Opt1'!BL$7-2016,0)-VLOOKUP('Mass Equivalents - States, Opt1'!$A42,'EE Avoided Generation'!$A$4:$K$52,'Mass Equivalents - States, Opt1'!BL$7-2018,0)-VLOOKUP($A42,'Under Construction Nuclear'!$B$5:$D$53,3,0),0)+Y42+$T42+VLOOKUP('Mass Equivalents - States, Opt1'!$A42,'EE Avoided Generation'!$A$4:$K$52,'Mass Equivalents - States, Opt1'!BL$7-2018,0)</f>
        <v>113251754.2633681</v>
      </c>
      <c r="BM42" s="64">
        <f>MAX($BE42-VLOOKUP($A42,'RE Generation'!$A$4:$M$52,'Mass Equivalents - States, Opt1'!BM$7-2016,0)-VLOOKUP('Mass Equivalents - States, Opt1'!$A42,'EE Avoided Generation'!$A$4:$K$52,'Mass Equivalents - States, Opt1'!BM$7-2018,0)-VLOOKUP($A42,'Under Construction Nuclear'!$B$5:$D$53,3,0),0)+Z42+$T42+VLOOKUP('Mass Equivalents - States, Opt1'!$A42,'EE Avoided Generation'!$A$4:$K$52,'Mass Equivalents - States, Opt1'!BM$7-2018,0)</f>
        <v>113251754.2633681</v>
      </c>
      <c r="BN42" s="64">
        <f>MAX($BE42-VLOOKUP($A42,'RE Generation'!$A$4:$M$52,'Mass Equivalents - States, Opt1'!BN$7-2016,0)-VLOOKUP('Mass Equivalents - States, Opt1'!$A42,'EE Avoided Generation'!$A$4:$K$52,'Mass Equivalents - States, Opt1'!BN$7-2018,0)-VLOOKUP($A42,'Under Construction Nuclear'!$B$5:$D$53,3,0),0)+AA42+$T42+VLOOKUP('Mass Equivalents - States, Opt1'!$A42,'EE Avoided Generation'!$A$4:$K$52,'Mass Equivalents - States, Opt1'!BN$7-2018,0)</f>
        <v>113251754.2633681</v>
      </c>
      <c r="BO42" s="64">
        <f>MAX($BE42-VLOOKUP($A42,'RE Generation'!$A$4:$M$52,'Mass Equivalents - States, Opt1'!BO$7-2016,0)-VLOOKUP('Mass Equivalents - States, Opt1'!$A42,'EE Avoided Generation'!$A$4:$K$52,'Mass Equivalents - States, Opt1'!BO$7-2018,0)-VLOOKUP($A42,'Under Construction Nuclear'!$B$5:$D$53,3,0),0)+AB42+$T42+VLOOKUP('Mass Equivalents - States, Opt1'!$A42,'EE Avoided Generation'!$A$4:$K$52,'Mass Equivalents - States, Opt1'!BO$7-2018,0)</f>
        <v>113251754.2633681</v>
      </c>
      <c r="BP42" s="64">
        <f>MAX($BE42-VLOOKUP($A42,'RE Generation'!$A$4:$M$52,'Mass Equivalents - States, Opt1'!BP$7-2016,0)-VLOOKUP('Mass Equivalents - States, Opt1'!$A42,'EE Avoided Generation'!$A$4:$K$52,'Mass Equivalents - States, Opt1'!BP$7-2018,0)-VLOOKUP($A42,'Under Construction Nuclear'!$B$5:$D$53,3,0),0)+AC42+$T42+VLOOKUP('Mass Equivalents - States, Opt1'!$A42,'EE Avoided Generation'!$A$4:$K$52,'Mass Equivalents - States, Opt1'!BP$7-2018,0)</f>
        <v>113251754.2633681</v>
      </c>
      <c r="BQ42" s="65">
        <f>MAX($BE42-VLOOKUP($A42,'RE Generation'!$A$4:$M$52,'Mass Equivalents - States, Opt1'!BQ$7-2016,0)-VLOOKUP('Mass Equivalents - States, Opt1'!$A42,'EE Avoided Generation'!$A$4:$K$52,'Mass Equivalents - States, Opt1'!BQ$7-2018,0)-VLOOKUP($A42,'Under Construction Nuclear'!$B$5:$D$53,3,0),0)+AD42+$T42+VLOOKUP('Mass Equivalents - States, Opt1'!$A42,'EE Avoided Generation'!$A$4:$K$52,'Mass Equivalents - States, Opt1'!BQ$7-2018,0)</f>
        <v>113251754.2633681</v>
      </c>
      <c r="BR42" s="29"/>
      <c r="BS42" s="71">
        <f t="shared" si="42"/>
        <v>80658.502024478556</v>
      </c>
      <c r="BT42" s="72">
        <f t="shared" si="43"/>
        <v>79194.624168789946</v>
      </c>
      <c r="BU42" s="72">
        <f t="shared" si="44"/>
        <v>77806.616731545961</v>
      </c>
      <c r="BV42" s="72">
        <f t="shared" si="45"/>
        <v>76476.566443023883</v>
      </c>
      <c r="BW42" s="72">
        <f t="shared" si="46"/>
        <v>75187.130201097651</v>
      </c>
      <c r="BX42" s="72">
        <f t="shared" si="47"/>
        <v>73921.243810080836</v>
      </c>
      <c r="BY42" s="72">
        <f t="shared" si="48"/>
        <v>72661.893729692238</v>
      </c>
      <c r="BZ42" s="72">
        <f t="shared" si="49"/>
        <v>71391.954857348726</v>
      </c>
      <c r="CA42" s="72">
        <f t="shared" si="50"/>
        <v>70094.102460406823</v>
      </c>
      <c r="CB42" s="72">
        <f t="shared" si="51"/>
        <v>68750.81094519516</v>
      </c>
      <c r="CC42" s="75">
        <f t="shared" si="33"/>
        <v>74614.344537165976</v>
      </c>
      <c r="CD42" s="76">
        <f t="shared" si="34"/>
        <v>68750.81094519516</v>
      </c>
      <c r="CG42" s="63">
        <f>BH42+VLOOKUP($A42,'Incremental Demand for New Gen'!$AG$5:$AQ$53,'Mass Equivalents - States, Opt1'!BH$7-2018,0)</f>
        <v>116687414.53418742</v>
      </c>
      <c r="CH42" s="64">
        <f>BI42+VLOOKUP($A42,'Incremental Demand for New Gen'!$AG$5:$AQ$53,'Mass Equivalents - States, Opt1'!BI$7-2018,0)</f>
        <v>117456799.85277542</v>
      </c>
      <c r="CI42" s="64">
        <f>BJ42+VLOOKUP($A42,'Incremental Demand for New Gen'!$AG$5:$AQ$53,'Mass Equivalents - States, Opt1'!BJ$7-2018,0)</f>
        <v>118229639.57991132</v>
      </c>
      <c r="CJ42" s="64">
        <f>BK42+VLOOKUP($A42,'Incremental Demand for New Gen'!$AG$5:$AQ$53,'Mass Equivalents - States, Opt1'!BK$7-2018,0)</f>
        <v>119005949.22529893</v>
      </c>
      <c r="CK42" s="64">
        <f>BL42+VLOOKUP($A42,'Incremental Demand for New Gen'!$AG$5:$AQ$53,'Mass Equivalents - States, Opt1'!BL$7-2018,0)</f>
        <v>119785744.36827797</v>
      </c>
      <c r="CL42" s="64">
        <f>BM42+VLOOKUP($A42,'Incremental Demand for New Gen'!$AG$5:$AQ$53,'Mass Equivalents - States, Opt1'!BM$7-2018,0)</f>
        <v>120569040.65813679</v>
      </c>
      <c r="CM42" s="64">
        <f>BN42+VLOOKUP($A42,'Incremental Demand for New Gen'!$AG$5:$AQ$53,'Mass Equivalents - States, Opt1'!BN$7-2018,0)</f>
        <v>121355853.8144263</v>
      </c>
      <c r="CN42" s="64">
        <f>BO42+VLOOKUP($A42,'Incremental Demand for New Gen'!$AG$5:$AQ$53,'Mass Equivalents - States, Opt1'!BO$7-2018,0)</f>
        <v>122146199.62727557</v>
      </c>
      <c r="CO42" s="64">
        <f>BP42+VLOOKUP($A42,'Incremental Demand for New Gen'!$AG$5:$AQ$53,'Mass Equivalents - States, Opt1'!BP$7-2018,0)</f>
        <v>122940093.95770861</v>
      </c>
      <c r="CP42" s="65">
        <f>BQ42+VLOOKUP($A42,'Incremental Demand for New Gen'!$AG$5:$AQ$53,'Mass Equivalents - States, Opt1'!BQ$7-2018,0)</f>
        <v>123737552.73796271</v>
      </c>
      <c r="CQ42" s="29"/>
      <c r="CR42" s="71">
        <f t="shared" si="52"/>
        <v>83105.397551278671</v>
      </c>
      <c r="CS42" s="72">
        <f t="shared" si="53"/>
        <v>82135.126125972063</v>
      </c>
      <c r="CT42" s="72">
        <f t="shared" si="54"/>
        <v>81226.540930310861</v>
      </c>
      <c r="CU42" s="72">
        <f t="shared" si="55"/>
        <v>80362.255244884305</v>
      </c>
      <c r="CV42" s="72">
        <f t="shared" si="56"/>
        <v>79525.005300216071</v>
      </c>
      <c r="CW42" s="72">
        <f t="shared" si="57"/>
        <v>78697.3544772764</v>
      </c>
      <c r="CX42" s="72">
        <f t="shared" si="58"/>
        <v>77861.453102383632</v>
      </c>
      <c r="CY42" s="72">
        <f t="shared" si="59"/>
        <v>76998.859986822994</v>
      </c>
      <c r="CZ42" s="72">
        <f t="shared" si="60"/>
        <v>76090.437613212373</v>
      </c>
      <c r="DA42" s="72">
        <f t="shared" si="61"/>
        <v>75116.33837764262</v>
      </c>
      <c r="DB42" s="75">
        <f t="shared" si="35"/>
        <v>79111.876871</v>
      </c>
      <c r="DC42" s="76">
        <f t="shared" si="36"/>
        <v>75116.33837764262</v>
      </c>
    </row>
    <row r="43" spans="1:107" x14ac:dyDescent="0.25">
      <c r="A43" s="16" t="s">
        <v>77</v>
      </c>
      <c r="B43" s="17">
        <v>2304.7120074999998</v>
      </c>
      <c r="C43" s="17">
        <v>891.47868089999997</v>
      </c>
      <c r="D43" s="17">
        <v>1382.0249091000001</v>
      </c>
      <c r="E43" s="17">
        <v>13854903.0142067</v>
      </c>
      <c r="F43" s="17">
        <v>29102160</v>
      </c>
      <c r="G43" s="17">
        <v>29943376.000300001</v>
      </c>
      <c r="H43" s="17">
        <v>8488757.7226999998</v>
      </c>
      <c r="I43" s="17">
        <v>13846.757718600027</v>
      </c>
      <c r="J43" s="17">
        <v>8035.1</v>
      </c>
      <c r="K43" s="17">
        <v>0</v>
      </c>
      <c r="L43" s="18">
        <f t="shared" si="24"/>
        <v>2166.4292870499999</v>
      </c>
      <c r="M43" s="19">
        <f t="shared" si="37"/>
        <v>14034401.129976669</v>
      </c>
      <c r="N43" s="19">
        <f t="shared" si="38"/>
        <v>4093669.7130233301</v>
      </c>
      <c r="O43" s="19">
        <f t="shared" si="2"/>
        <v>49406222.880000003</v>
      </c>
      <c r="P43" s="19">
        <f t="shared" si="25"/>
        <v>13854903.0142067</v>
      </c>
      <c r="Q43" s="19">
        <f t="shared" si="26"/>
        <v>13846.757718600027</v>
      </c>
      <c r="R43" s="20">
        <f t="shared" si="27"/>
        <v>0.42424540833893432</v>
      </c>
      <c r="S43" s="20">
        <f t="shared" si="28"/>
        <v>0.7</v>
      </c>
      <c r="T43" s="21"/>
      <c r="U43" s="22">
        <v>11742784.579366207</v>
      </c>
      <c r="V43" s="22">
        <v>12723152.778090764</v>
      </c>
      <c r="W43" s="22">
        <v>13785368.838246694</v>
      </c>
      <c r="X43" s="22">
        <v>14936265.980688779</v>
      </c>
      <c r="Y43" s="22">
        <v>15579317.626</v>
      </c>
      <c r="Z43" s="22">
        <v>15579317.626</v>
      </c>
      <c r="AA43" s="22">
        <v>15579317.626</v>
      </c>
      <c r="AB43" s="22">
        <v>15579317.626</v>
      </c>
      <c r="AC43" s="22">
        <v>15579317.626</v>
      </c>
      <c r="AD43" s="22">
        <v>15579317.626</v>
      </c>
      <c r="AE43" s="23">
        <v>1.8556648857496666E-2</v>
      </c>
      <c r="AF43" s="23">
        <v>2.7118253019082054E-2</v>
      </c>
      <c r="AG43" s="23">
        <v>3.6949700287380462E-2</v>
      </c>
      <c r="AH43" s="23">
        <v>4.7896499759402737E-2</v>
      </c>
      <c r="AI43" s="23">
        <v>5.8844852296362979E-2</v>
      </c>
      <c r="AJ43" s="23">
        <v>6.8820837546218247E-2</v>
      </c>
      <c r="AK43" s="23">
        <v>7.7862076239610223E-2</v>
      </c>
      <c r="AL43" s="23">
        <v>8.6004420288822089E-2</v>
      </c>
      <c r="AM43" s="23">
        <v>9.3282031330115645E-2</v>
      </c>
      <c r="AN43" s="23">
        <v>9.9727455722362829E-2</v>
      </c>
      <c r="AO43" s="23">
        <v>1.1444401272607516</v>
      </c>
      <c r="AP43" s="24">
        <v>63797104.862399995</v>
      </c>
      <c r="AQ43" s="25">
        <f t="shared" si="41"/>
        <v>995.59806119083339</v>
      </c>
      <c r="AR43" s="25">
        <f t="shared" si="41"/>
        <v>977.06356510323667</v>
      </c>
      <c r="AS43" s="25">
        <f t="shared" si="41"/>
        <v>957.33995779220436</v>
      </c>
      <c r="AT43" s="25">
        <f t="shared" si="41"/>
        <v>936.64344233829161</v>
      </c>
      <c r="AU43" s="25">
        <f t="shared" si="41"/>
        <v>922.18087950840425</v>
      </c>
      <c r="AV43" s="25">
        <f t="shared" si="40"/>
        <v>915.47469717006982</v>
      </c>
      <c r="AW43" s="25">
        <f t="shared" si="40"/>
        <v>909.48058571930403</v>
      </c>
      <c r="AX43" s="25">
        <f t="shared" si="40"/>
        <v>904.14920023628667</v>
      </c>
      <c r="AY43" s="25">
        <f t="shared" si="40"/>
        <v>899.4366431899889</v>
      </c>
      <c r="AZ43" s="25">
        <f t="shared" si="40"/>
        <v>895.30379340656816</v>
      </c>
      <c r="BA43" s="26">
        <f t="shared" si="29"/>
        <v>931.26708256551888</v>
      </c>
      <c r="BB43" s="26">
        <f t="shared" si="30"/>
        <v>895.30379340656816</v>
      </c>
      <c r="BC43" s="69"/>
      <c r="BD43" s="70"/>
      <c r="BE43" s="79">
        <f t="shared" si="31"/>
        <v>67548140.480718598</v>
      </c>
      <c r="BF43" s="79">
        <f t="shared" si="32"/>
        <v>47859.272100283481</v>
      </c>
      <c r="BG43" s="84"/>
      <c r="BH43" s="63">
        <f>MAX($BE43-VLOOKUP($A43,'RE Generation'!$A$4:$M$52,'Mass Equivalents - States, Opt1'!BH$7-2016,0)-VLOOKUP('Mass Equivalents - States, Opt1'!$A43,'EE Avoided Generation'!$A$4:$K$52,'Mass Equivalents - States, Opt1'!BH$7-2018,0)-VLOOKUP($A43,'Under Construction Nuclear'!$B$5:$D$53,3,0),0)+U43+$T43+VLOOKUP('Mass Equivalents - States, Opt1'!$A43,'EE Avoided Generation'!$A$4:$K$52,'Mass Equivalents - States, Opt1'!BH$7-2018,0)</f>
        <v>76068864.530718595</v>
      </c>
      <c r="BI43" s="64">
        <f>MAX($BE43-VLOOKUP($A43,'RE Generation'!$A$4:$M$52,'Mass Equivalents - States, Opt1'!BI$7-2016,0)-VLOOKUP('Mass Equivalents - States, Opt1'!$A43,'EE Avoided Generation'!$A$4:$K$52,'Mass Equivalents - States, Opt1'!BI$7-2018,0)-VLOOKUP($A43,'Under Construction Nuclear'!$B$5:$D$53,3,0),0)+V43+$T43+VLOOKUP('Mass Equivalents - States, Opt1'!$A43,'EE Avoided Generation'!$A$4:$K$52,'Mass Equivalents - States, Opt1'!BI$7-2018,0)</f>
        <v>76068864.53071861</v>
      </c>
      <c r="BJ43" s="64">
        <f>MAX($BE43-VLOOKUP($A43,'RE Generation'!$A$4:$M$52,'Mass Equivalents - States, Opt1'!BJ$7-2016,0)-VLOOKUP('Mass Equivalents - States, Opt1'!$A43,'EE Avoided Generation'!$A$4:$K$52,'Mass Equivalents - States, Opt1'!BJ$7-2018,0)-VLOOKUP($A43,'Under Construction Nuclear'!$B$5:$D$53,3,0),0)+W43+$T43+VLOOKUP('Mass Equivalents - States, Opt1'!$A43,'EE Avoided Generation'!$A$4:$K$52,'Mass Equivalents - States, Opt1'!BJ$7-2018,0)</f>
        <v>76068864.530718595</v>
      </c>
      <c r="BK43" s="64">
        <f>MAX($BE43-VLOOKUP($A43,'RE Generation'!$A$4:$M$52,'Mass Equivalents - States, Opt1'!BK$7-2016,0)-VLOOKUP('Mass Equivalents - States, Opt1'!$A43,'EE Avoided Generation'!$A$4:$K$52,'Mass Equivalents - States, Opt1'!BK$7-2018,0)-VLOOKUP($A43,'Under Construction Nuclear'!$B$5:$D$53,3,0),0)+X43+$T43+VLOOKUP('Mass Equivalents - States, Opt1'!$A43,'EE Avoided Generation'!$A$4:$K$52,'Mass Equivalents - States, Opt1'!BK$7-2018,0)</f>
        <v>76068864.530718595</v>
      </c>
      <c r="BL43" s="64">
        <f>MAX($BE43-VLOOKUP($A43,'RE Generation'!$A$4:$M$52,'Mass Equivalents - States, Opt1'!BL$7-2016,0)-VLOOKUP('Mass Equivalents - States, Opt1'!$A43,'EE Avoided Generation'!$A$4:$K$52,'Mass Equivalents - States, Opt1'!BL$7-2018,0)-VLOOKUP($A43,'Under Construction Nuclear'!$B$5:$D$53,3,0),0)+Y43+$T43+VLOOKUP('Mass Equivalents - States, Opt1'!$A43,'EE Avoided Generation'!$A$4:$K$52,'Mass Equivalents - States, Opt1'!BL$7-2018,0)</f>
        <v>76068864.530718595</v>
      </c>
      <c r="BM43" s="64">
        <f>MAX($BE43-VLOOKUP($A43,'RE Generation'!$A$4:$M$52,'Mass Equivalents - States, Opt1'!BM$7-2016,0)-VLOOKUP('Mass Equivalents - States, Opt1'!$A43,'EE Avoided Generation'!$A$4:$K$52,'Mass Equivalents - States, Opt1'!BM$7-2018,0)-VLOOKUP($A43,'Under Construction Nuclear'!$B$5:$D$53,3,0),0)+Z43+$T43+VLOOKUP('Mass Equivalents - States, Opt1'!$A43,'EE Avoided Generation'!$A$4:$K$52,'Mass Equivalents - States, Opt1'!BM$7-2018,0)</f>
        <v>76068864.53071858</v>
      </c>
      <c r="BN43" s="64">
        <f>MAX($BE43-VLOOKUP($A43,'RE Generation'!$A$4:$M$52,'Mass Equivalents - States, Opt1'!BN$7-2016,0)-VLOOKUP('Mass Equivalents - States, Opt1'!$A43,'EE Avoided Generation'!$A$4:$K$52,'Mass Equivalents - States, Opt1'!BN$7-2018,0)-VLOOKUP($A43,'Under Construction Nuclear'!$B$5:$D$53,3,0),0)+AA43+$T43+VLOOKUP('Mass Equivalents - States, Opt1'!$A43,'EE Avoided Generation'!$A$4:$K$52,'Mass Equivalents - States, Opt1'!BN$7-2018,0)</f>
        <v>76068864.53071858</v>
      </c>
      <c r="BO43" s="64">
        <f>MAX($BE43-VLOOKUP($A43,'RE Generation'!$A$4:$M$52,'Mass Equivalents - States, Opt1'!BO$7-2016,0)-VLOOKUP('Mass Equivalents - States, Opt1'!$A43,'EE Avoided Generation'!$A$4:$K$52,'Mass Equivalents - States, Opt1'!BO$7-2018,0)-VLOOKUP($A43,'Under Construction Nuclear'!$B$5:$D$53,3,0),0)+AB43+$T43+VLOOKUP('Mass Equivalents - States, Opt1'!$A43,'EE Avoided Generation'!$A$4:$K$52,'Mass Equivalents - States, Opt1'!BO$7-2018,0)</f>
        <v>76068864.530718595</v>
      </c>
      <c r="BP43" s="64">
        <f>MAX($BE43-VLOOKUP($A43,'RE Generation'!$A$4:$M$52,'Mass Equivalents - States, Opt1'!BP$7-2016,0)-VLOOKUP('Mass Equivalents - States, Opt1'!$A43,'EE Avoided Generation'!$A$4:$K$52,'Mass Equivalents - States, Opt1'!BP$7-2018,0)-VLOOKUP($A43,'Under Construction Nuclear'!$B$5:$D$53,3,0),0)+AC43+$T43+VLOOKUP('Mass Equivalents - States, Opt1'!$A43,'EE Avoided Generation'!$A$4:$K$52,'Mass Equivalents - States, Opt1'!BP$7-2018,0)</f>
        <v>76068864.53071858</v>
      </c>
      <c r="BQ43" s="65">
        <f>MAX($BE43-VLOOKUP($A43,'RE Generation'!$A$4:$M$52,'Mass Equivalents - States, Opt1'!BQ$7-2016,0)-VLOOKUP('Mass Equivalents - States, Opt1'!$A43,'EE Avoided Generation'!$A$4:$K$52,'Mass Equivalents - States, Opt1'!BQ$7-2018,0)-VLOOKUP($A43,'Under Construction Nuclear'!$B$5:$D$53,3,0),0)+AD43+$T43+VLOOKUP('Mass Equivalents - States, Opt1'!$A43,'EE Avoided Generation'!$A$4:$K$52,'Mass Equivalents - States, Opt1'!BQ$7-2018,0)</f>
        <v>76068864.530718595</v>
      </c>
      <c r="BR43" s="29"/>
      <c r="BS43" s="71">
        <f t="shared" si="42"/>
        <v>34352.411773353961</v>
      </c>
      <c r="BT43" s="72">
        <f t="shared" si="43"/>
        <v>33712.892004853027</v>
      </c>
      <c r="BU43" s="72">
        <f t="shared" si="44"/>
        <v>33032.342788843001</v>
      </c>
      <c r="BV43" s="72">
        <f t="shared" si="45"/>
        <v>32318.224060753077</v>
      </c>
      <c r="BW43" s="72">
        <f t="shared" si="46"/>
        <v>31819.203489101856</v>
      </c>
      <c r="BX43" s="72">
        <f t="shared" si="47"/>
        <v>31587.811378074526</v>
      </c>
      <c r="BY43" s="72">
        <f t="shared" si="48"/>
        <v>31380.988772849894</v>
      </c>
      <c r="BZ43" s="72">
        <f t="shared" si="49"/>
        <v>31197.033061630416</v>
      </c>
      <c r="CA43" s="72">
        <f t="shared" si="50"/>
        <v>31034.429590942447</v>
      </c>
      <c r="CB43" s="72">
        <f t="shared" si="51"/>
        <v>30891.828512162057</v>
      </c>
      <c r="CC43" s="75">
        <f t="shared" si="33"/>
        <v>32132.716543256422</v>
      </c>
      <c r="CD43" s="76">
        <f t="shared" si="34"/>
        <v>30891.828512162057</v>
      </c>
      <c r="CG43" s="63">
        <f>BH43+VLOOKUP($A43,'Incremental Demand for New Gen'!$AG$5:$AQ$53,'Mass Equivalents - States, Opt1'!BH$7-2018,0)</f>
        <v>80780672.61002554</v>
      </c>
      <c r="CH43" s="64">
        <f>BI43+VLOOKUP($A43,'Incremental Demand for New Gen'!$AG$5:$AQ$53,'Mass Equivalents - States, Opt1'!BI$7-2018,0)</f>
        <v>81393558.515269771</v>
      </c>
      <c r="CI43" s="64">
        <f>BJ43+VLOOKUP($A43,'Incremental Demand for New Gen'!$AG$5:$AQ$53,'Mass Equivalents - States, Opt1'!BJ$7-2018,0)</f>
        <v>82011916.682559818</v>
      </c>
      <c r="CJ43" s="64">
        <f>BK43+VLOOKUP($A43,'Incremental Demand for New Gen'!$AG$5:$AQ$53,'Mass Equivalents - States, Opt1'!BK$7-2018,0)</f>
        <v>82635795.971971706</v>
      </c>
      <c r="CK43" s="64">
        <f>BL43+VLOOKUP($A43,'Incremental Demand for New Gen'!$AG$5:$AQ$53,'Mass Equivalents - States, Opt1'!BL$7-2018,0)</f>
        <v>83265245.679837376</v>
      </c>
      <c r="CL43" s="64">
        <f>BM43+VLOOKUP($A43,'Incremental Demand for New Gen'!$AG$5:$AQ$53,'Mass Equivalents - States, Opt1'!BM$7-2018,0)</f>
        <v>83900315.542639926</v>
      </c>
      <c r="CM43" s="64">
        <f>BN43+VLOOKUP($A43,'Incremental Demand for New Gen'!$AG$5:$AQ$53,'Mass Equivalents - States, Opt1'!BN$7-2018,0)</f>
        <v>84541055.74094367</v>
      </c>
      <c r="CN43" s="64">
        <f>BO43+VLOOKUP($A43,'Incremental Demand for New Gen'!$AG$5:$AQ$53,'Mass Equivalents - States, Opt1'!BO$7-2018,0)</f>
        <v>85187516.903359056</v>
      </c>
      <c r="CO43" s="64">
        <f>BP43+VLOOKUP($A43,'Incremental Demand for New Gen'!$AG$5:$AQ$53,'Mass Equivalents - States, Opt1'!BP$7-2018,0)</f>
        <v>85839750.110543132</v>
      </c>
      <c r="CP43" s="65">
        <f>BQ43+VLOOKUP($A43,'Incremental Demand for New Gen'!$AG$5:$AQ$53,'Mass Equivalents - States, Opt1'!BQ$7-2018,0)</f>
        <v>86497806.899235919</v>
      </c>
      <c r="CQ43" s="29"/>
      <c r="CR43" s="71">
        <f t="shared" si="52"/>
        <v>36480.246497007596</v>
      </c>
      <c r="CS43" s="72">
        <f t="shared" si="53"/>
        <v>36072.738367323349</v>
      </c>
      <c r="CT43" s="72">
        <f t="shared" si="54"/>
        <v>35613.069306882644</v>
      </c>
      <c r="CU43" s="72">
        <f t="shared" si="55"/>
        <v>35108.216563195616</v>
      </c>
      <c r="CV43" s="72">
        <f t="shared" si="56"/>
        <v>34829.411641695988</v>
      </c>
      <c r="CW43" s="72">
        <f t="shared" si="57"/>
        <v>34839.843584777234</v>
      </c>
      <c r="CX43" s="72">
        <f t="shared" si="58"/>
        <v>34876.055235188731</v>
      </c>
      <c r="CY43" s="72">
        <f t="shared" si="59"/>
        <v>34936.735255185587</v>
      </c>
      <c r="CZ43" s="72">
        <f t="shared" si="60"/>
        <v>35020.736767195434</v>
      </c>
      <c r="DA43" s="72">
        <f t="shared" si="61"/>
        <v>35127.058013732414</v>
      </c>
      <c r="DB43" s="75">
        <f t="shared" si="35"/>
        <v>35290.411123218466</v>
      </c>
      <c r="DC43" s="76">
        <f t="shared" si="36"/>
        <v>35127.058013732414</v>
      </c>
    </row>
    <row r="44" spans="1:107" x14ac:dyDescent="0.25">
      <c r="A44" s="16" t="s">
        <v>78</v>
      </c>
      <c r="B44" s="17">
        <v>2079.5252223000002</v>
      </c>
      <c r="C44" s="17">
        <v>852.62905750000004</v>
      </c>
      <c r="D44" s="17">
        <v>0</v>
      </c>
      <c r="E44" s="17">
        <v>103545341.24990836</v>
      </c>
      <c r="F44" s="17">
        <v>2640259</v>
      </c>
      <c r="G44" s="17">
        <v>11424290.9999</v>
      </c>
      <c r="H44" s="17">
        <v>0</v>
      </c>
      <c r="I44" s="17">
        <v>123816.30492919998</v>
      </c>
      <c r="J44" s="17">
        <v>3434.6</v>
      </c>
      <c r="K44" s="17">
        <v>0</v>
      </c>
      <c r="L44" s="18">
        <f t="shared" si="24"/>
        <v>1954.753708962</v>
      </c>
      <c r="M44" s="19">
        <f t="shared" si="37"/>
        <v>0</v>
      </c>
      <c r="N44" s="19">
        <f t="shared" si="38"/>
        <v>0</v>
      </c>
      <c r="O44" s="19">
        <f t="shared" si="2"/>
        <v>14064549.9999</v>
      </c>
      <c r="P44" s="19">
        <f t="shared" si="25"/>
        <v>103545341.24990836</v>
      </c>
      <c r="Q44" s="19">
        <f t="shared" si="26"/>
        <v>123816.30492919998</v>
      </c>
      <c r="R44" s="20">
        <f t="shared" si="27"/>
        <v>0.37866988193424211</v>
      </c>
      <c r="S44" s="20">
        <f t="shared" si="28"/>
        <v>0.4661839835808626</v>
      </c>
      <c r="T44" s="21"/>
      <c r="U44" s="22">
        <v>9131577.0351819769</v>
      </c>
      <c r="V44" s="22">
        <v>9688134.2466795612</v>
      </c>
      <c r="W44" s="22">
        <v>10278612.863918623</v>
      </c>
      <c r="X44" s="22">
        <v>10905080.350483691</v>
      </c>
      <c r="Y44" s="22">
        <v>11569730.179055318</v>
      </c>
      <c r="Z44" s="22">
        <v>12274889.511493251</v>
      </c>
      <c r="AA44" s="22">
        <v>12567372.3718125</v>
      </c>
      <c r="AB44" s="22">
        <v>12567372.3718125</v>
      </c>
      <c r="AC44" s="22">
        <v>12567372.3718125</v>
      </c>
      <c r="AD44" s="22">
        <v>12567372.3718125</v>
      </c>
      <c r="AE44" s="23">
        <v>4.65591326838556E-2</v>
      </c>
      <c r="AF44" s="23">
        <v>5.7660886724314978E-2</v>
      </c>
      <c r="AG44" s="23">
        <v>6.7777560375592044E-2</v>
      </c>
      <c r="AH44" s="23">
        <v>7.6948766242878636E-2</v>
      </c>
      <c r="AI44" s="23">
        <v>8.5212234253425556E-2</v>
      </c>
      <c r="AJ44" s="23">
        <v>9.2603897258988654E-2</v>
      </c>
      <c r="AK44" s="23">
        <v>9.9157972702194452E-2</v>
      </c>
      <c r="AL44" s="23">
        <v>0.10490704052729076</v>
      </c>
      <c r="AM44" s="23">
        <v>0.10988211750746797</v>
      </c>
      <c r="AN44" s="23">
        <v>0.11411272815303566</v>
      </c>
      <c r="AO44" s="23">
        <v>1.1121495781525226</v>
      </c>
      <c r="AP44" s="24">
        <v>50195189.085599996</v>
      </c>
      <c r="AQ44" s="25">
        <f t="shared" si="41"/>
        <v>471.42671002503823</v>
      </c>
      <c r="AR44" s="25">
        <f t="shared" si="41"/>
        <v>451.81277749901784</v>
      </c>
      <c r="AS44" s="25">
        <f t="shared" si="41"/>
        <v>434.00738292816698</v>
      </c>
      <c r="AT44" s="25">
        <f t="shared" si="41"/>
        <v>417.7175449877833</v>
      </c>
      <c r="AU44" s="25">
        <f t="shared" si="41"/>
        <v>402.70524895308091</v>
      </c>
      <c r="AV44" s="25">
        <f t="shared" si="40"/>
        <v>388.77518806171184</v>
      </c>
      <c r="AW44" s="25">
        <f t="shared" si="40"/>
        <v>381.16132897233166</v>
      </c>
      <c r="AX44" s="25">
        <f t="shared" si="40"/>
        <v>377.72633663062891</v>
      </c>
      <c r="AY44" s="25">
        <f t="shared" si="40"/>
        <v>374.80337705793858</v>
      </c>
      <c r="AZ44" s="25">
        <f t="shared" si="40"/>
        <v>372.35316403718747</v>
      </c>
      <c r="BA44" s="26">
        <f t="shared" si="29"/>
        <v>407.24890591528862</v>
      </c>
      <c r="BB44" s="26">
        <f t="shared" si="30"/>
        <v>372.35316403718747</v>
      </c>
      <c r="BC44" s="69"/>
      <c r="BD44" s="70"/>
      <c r="BE44" s="79">
        <f t="shared" si="31"/>
        <v>14188366.304829201</v>
      </c>
      <c r="BF44" s="79">
        <f t="shared" si="32"/>
        <v>6955.7170818576242</v>
      </c>
      <c r="BG44" s="84"/>
      <c r="BH44" s="63">
        <f>MAX($BE44-VLOOKUP($A44,'RE Generation'!$A$4:$M$52,'Mass Equivalents - States, Opt1'!BH$7-2016,0)-VLOOKUP('Mass Equivalents - States, Opt1'!$A44,'EE Avoided Generation'!$A$4:$K$52,'Mass Equivalents - States, Opt1'!BH$7-2018,0)-VLOOKUP($A44,'Under Construction Nuclear'!$B$5:$D$53,3,0),0)+U44+$T44+VLOOKUP('Mass Equivalents - States, Opt1'!$A44,'EE Avoided Generation'!$A$4:$K$52,'Mass Equivalents - States, Opt1'!BH$7-2018,0)</f>
        <v>21395595.6748292</v>
      </c>
      <c r="BI44" s="64">
        <f>MAX($BE44-VLOOKUP($A44,'RE Generation'!$A$4:$M$52,'Mass Equivalents - States, Opt1'!BI$7-2016,0)-VLOOKUP('Mass Equivalents - States, Opt1'!$A44,'EE Avoided Generation'!$A$4:$K$52,'Mass Equivalents - States, Opt1'!BI$7-2018,0)-VLOOKUP($A44,'Under Construction Nuclear'!$B$5:$D$53,3,0),0)+V44+$T44+VLOOKUP('Mass Equivalents - States, Opt1'!$A44,'EE Avoided Generation'!$A$4:$K$52,'Mass Equivalents - States, Opt1'!BI$7-2018,0)</f>
        <v>21395595.674829204</v>
      </c>
      <c r="BJ44" s="64">
        <f>MAX($BE44-VLOOKUP($A44,'RE Generation'!$A$4:$M$52,'Mass Equivalents - States, Opt1'!BJ$7-2016,0)-VLOOKUP('Mass Equivalents - States, Opt1'!$A44,'EE Avoided Generation'!$A$4:$K$52,'Mass Equivalents - States, Opt1'!BJ$7-2018,0)-VLOOKUP($A44,'Under Construction Nuclear'!$B$5:$D$53,3,0),0)+W44+$T44+VLOOKUP('Mass Equivalents - States, Opt1'!$A44,'EE Avoided Generation'!$A$4:$K$52,'Mass Equivalents - States, Opt1'!BJ$7-2018,0)</f>
        <v>21395595.6748292</v>
      </c>
      <c r="BK44" s="64">
        <f>MAX($BE44-VLOOKUP($A44,'RE Generation'!$A$4:$M$52,'Mass Equivalents - States, Opt1'!BK$7-2016,0)-VLOOKUP('Mass Equivalents - States, Opt1'!$A44,'EE Avoided Generation'!$A$4:$K$52,'Mass Equivalents - States, Opt1'!BK$7-2018,0)-VLOOKUP($A44,'Under Construction Nuclear'!$B$5:$D$53,3,0),0)+X44+$T44+VLOOKUP('Mass Equivalents - States, Opt1'!$A44,'EE Avoided Generation'!$A$4:$K$52,'Mass Equivalents - States, Opt1'!BK$7-2018,0)</f>
        <v>21395595.674829204</v>
      </c>
      <c r="BL44" s="64">
        <f>MAX($BE44-VLOOKUP($A44,'RE Generation'!$A$4:$M$52,'Mass Equivalents - States, Opt1'!BL$7-2016,0)-VLOOKUP('Mass Equivalents - States, Opt1'!$A44,'EE Avoided Generation'!$A$4:$K$52,'Mass Equivalents - States, Opt1'!BL$7-2018,0)-VLOOKUP($A44,'Under Construction Nuclear'!$B$5:$D$53,3,0),0)+Y44+$T44+VLOOKUP('Mass Equivalents - States, Opt1'!$A44,'EE Avoided Generation'!$A$4:$K$52,'Mass Equivalents - States, Opt1'!BL$7-2018,0)</f>
        <v>21395595.6748292</v>
      </c>
      <c r="BM44" s="64">
        <f>MAX($BE44-VLOOKUP($A44,'RE Generation'!$A$4:$M$52,'Mass Equivalents - States, Opt1'!BM$7-2016,0)-VLOOKUP('Mass Equivalents - States, Opt1'!$A44,'EE Avoided Generation'!$A$4:$K$52,'Mass Equivalents - States, Opt1'!BM$7-2018,0)-VLOOKUP($A44,'Under Construction Nuclear'!$B$5:$D$53,3,0),0)+Z44+$T44+VLOOKUP('Mass Equivalents - States, Opt1'!$A44,'EE Avoided Generation'!$A$4:$K$52,'Mass Equivalents - States, Opt1'!BM$7-2018,0)</f>
        <v>21395595.6748292</v>
      </c>
      <c r="BN44" s="64">
        <f>MAX($BE44-VLOOKUP($A44,'RE Generation'!$A$4:$M$52,'Mass Equivalents - States, Opt1'!BN$7-2016,0)-VLOOKUP('Mass Equivalents - States, Opt1'!$A44,'EE Avoided Generation'!$A$4:$K$52,'Mass Equivalents - States, Opt1'!BN$7-2018,0)-VLOOKUP($A44,'Under Construction Nuclear'!$B$5:$D$53,3,0),0)+AA44+$T44+VLOOKUP('Mass Equivalents - States, Opt1'!$A44,'EE Avoided Generation'!$A$4:$K$52,'Mass Equivalents - States, Opt1'!BN$7-2018,0)</f>
        <v>21395595.6748292</v>
      </c>
      <c r="BO44" s="64">
        <f>MAX($BE44-VLOOKUP($A44,'RE Generation'!$A$4:$M$52,'Mass Equivalents - States, Opt1'!BO$7-2016,0)-VLOOKUP('Mass Equivalents - States, Opt1'!$A44,'EE Avoided Generation'!$A$4:$K$52,'Mass Equivalents - States, Opt1'!BO$7-2018,0)-VLOOKUP($A44,'Under Construction Nuclear'!$B$5:$D$53,3,0),0)+AB44+$T44+VLOOKUP('Mass Equivalents - States, Opt1'!$A44,'EE Avoided Generation'!$A$4:$K$52,'Mass Equivalents - States, Opt1'!BO$7-2018,0)</f>
        <v>21395595.6748292</v>
      </c>
      <c r="BP44" s="64">
        <f>MAX($BE44-VLOOKUP($A44,'RE Generation'!$A$4:$M$52,'Mass Equivalents - States, Opt1'!BP$7-2016,0)-VLOOKUP('Mass Equivalents - States, Opt1'!$A44,'EE Avoided Generation'!$A$4:$K$52,'Mass Equivalents - States, Opt1'!BP$7-2018,0)-VLOOKUP($A44,'Under Construction Nuclear'!$B$5:$D$53,3,0),0)+AC44+$T44+VLOOKUP('Mass Equivalents - States, Opt1'!$A44,'EE Avoided Generation'!$A$4:$K$52,'Mass Equivalents - States, Opt1'!BP$7-2018,0)</f>
        <v>21395595.6748292</v>
      </c>
      <c r="BQ44" s="65">
        <f>MAX($BE44-VLOOKUP($A44,'RE Generation'!$A$4:$M$52,'Mass Equivalents - States, Opt1'!BQ$7-2016,0)-VLOOKUP('Mass Equivalents - States, Opt1'!$A44,'EE Avoided Generation'!$A$4:$K$52,'Mass Equivalents - States, Opt1'!BQ$7-2018,0)-VLOOKUP($A44,'Under Construction Nuclear'!$B$5:$D$53,3,0),0)+AD44+$T44+VLOOKUP('Mass Equivalents - States, Opt1'!$A44,'EE Avoided Generation'!$A$4:$K$52,'Mass Equivalents - States, Opt1'!BQ$7-2018,0)</f>
        <v>21395595.6748292</v>
      </c>
      <c r="BR44" s="29"/>
      <c r="BS44" s="71">
        <f t="shared" si="42"/>
        <v>4575.1445954453229</v>
      </c>
      <c r="BT44" s="72">
        <f t="shared" si="43"/>
        <v>4384.7935281774444</v>
      </c>
      <c r="BU44" s="72">
        <f t="shared" si="44"/>
        <v>4211.9941237137609</v>
      </c>
      <c r="BV44" s="72">
        <f t="shared" si="45"/>
        <v>4053.9030303820568</v>
      </c>
      <c r="BW44" s="72">
        <f t="shared" si="46"/>
        <v>3908.2103413429772</v>
      </c>
      <c r="BX44" s="72">
        <f t="shared" si="47"/>
        <v>3773.020625855735</v>
      </c>
      <c r="BY44" s="72">
        <f t="shared" si="48"/>
        <v>3699.1289571774587</v>
      </c>
      <c r="BZ44" s="72">
        <f t="shared" si="49"/>
        <v>3665.7927326629365</v>
      </c>
      <c r="CA44" s="72">
        <f t="shared" si="50"/>
        <v>3637.4257300996128</v>
      </c>
      <c r="CB44" s="72">
        <f t="shared" si="51"/>
        <v>3613.6466810529782</v>
      </c>
      <c r="CC44" s="75">
        <f t="shared" si="33"/>
        <v>3952.3060345910285</v>
      </c>
      <c r="CD44" s="76">
        <f t="shared" si="34"/>
        <v>3613.6466810529782</v>
      </c>
      <c r="CG44" s="63">
        <f>BH44+VLOOKUP($A44,'Incremental Demand for New Gen'!$AG$5:$AQ$53,'Mass Equivalents - States, Opt1'!BH$7-2018,0)</f>
        <v>25853247.054427743</v>
      </c>
      <c r="CH44" s="64">
        <f>BI44+VLOOKUP($A44,'Incremental Demand for New Gen'!$AG$5:$AQ$53,'Mass Equivalents - States, Opt1'!BI$7-2018,0)</f>
        <v>26437308.808358274</v>
      </c>
      <c r="CI44" s="64">
        <f>BJ44+VLOOKUP($A44,'Incremental Demand for New Gen'!$AG$5:$AQ$53,'Mass Equivalents - States, Opt1'!BJ$7-2018,0)</f>
        <v>27027550.172459114</v>
      </c>
      <c r="CJ44" s="64">
        <f>BK44+VLOOKUP($A44,'Incremental Demand for New Gen'!$AG$5:$AQ$53,'Mass Equivalents - States, Opt1'!BK$7-2018,0)</f>
        <v>27624036.529511463</v>
      </c>
      <c r="CK44" s="64">
        <f>BL44+VLOOKUP($A44,'Incremental Demand for New Gen'!$AG$5:$AQ$53,'Mass Equivalents - States, Opt1'!BL$7-2018,0)</f>
        <v>28226833.954072833</v>
      </c>
      <c r="CL44" s="64">
        <f>BM44+VLOOKUP($A44,'Incremental Demand for New Gen'!$AG$5:$AQ$53,'Mass Equivalents - States, Opt1'!BM$7-2018,0)</f>
        <v>28836009.21979636</v>
      </c>
      <c r="CM44" s="64">
        <f>BN44+VLOOKUP($A44,'Incremental Demand for New Gen'!$AG$5:$AQ$53,'Mass Equivalents - States, Opt1'!BN$7-2018,0)</f>
        <v>29451629.806827497</v>
      </c>
      <c r="CN44" s="64">
        <f>BO44+VLOOKUP($A44,'Incremental Demand for New Gen'!$AG$5:$AQ$53,'Mass Equivalents - States, Opt1'!BO$7-2018,0)</f>
        <v>30073763.909279011</v>
      </c>
      <c r="CO44" s="64">
        <f>BP44+VLOOKUP($A44,'Incremental Demand for New Gen'!$AG$5:$AQ$53,'Mass Equivalents - States, Opt1'!BP$7-2018,0)</f>
        <v>30702480.44278501</v>
      </c>
      <c r="CP44" s="65">
        <f>BQ44+VLOOKUP($A44,'Incremental Demand for New Gen'!$AG$5:$AQ$53,'Mass Equivalents - States, Opt1'!BQ$7-2018,0)</f>
        <v>31337849.052134961</v>
      </c>
      <c r="CQ44" s="29"/>
      <c r="CR44" s="71">
        <f t="shared" si="52"/>
        <v>5528.3501022096252</v>
      </c>
      <c r="CS44" s="72">
        <f t="shared" si="53"/>
        <v>5418.0375403940825</v>
      </c>
      <c r="CT44" s="72">
        <f t="shared" si="54"/>
        <v>5320.7157321029063</v>
      </c>
      <c r="CU44" s="72">
        <f t="shared" si="55"/>
        <v>5234.0288674512494</v>
      </c>
      <c r="CV44" s="72">
        <f t="shared" si="56"/>
        <v>5156.0333275721796</v>
      </c>
      <c r="CW44" s="72">
        <f t="shared" si="57"/>
        <v>5085.1053276190842</v>
      </c>
      <c r="CX44" s="72">
        <f t="shared" si="58"/>
        <v>5091.9534239785116</v>
      </c>
      <c r="CY44" s="72">
        <f t="shared" si="59"/>
        <v>5152.65790483003</v>
      </c>
      <c r="CZ44" s="72">
        <f t="shared" si="60"/>
        <v>5219.6720314662552</v>
      </c>
      <c r="DA44" s="72">
        <f t="shared" si="61"/>
        <v>5292.8610139988887</v>
      </c>
      <c r="DB44" s="75">
        <f t="shared" si="35"/>
        <v>5249.9415271622811</v>
      </c>
      <c r="DC44" s="76">
        <f t="shared" si="36"/>
        <v>5292.8610139988887</v>
      </c>
    </row>
    <row r="45" spans="1:107" x14ac:dyDescent="0.25">
      <c r="A45" s="16" t="s">
        <v>79</v>
      </c>
      <c r="B45" s="17">
        <v>2107.9581696</v>
      </c>
      <c r="C45" s="17">
        <v>854.6162266</v>
      </c>
      <c r="D45" s="17">
        <v>1514.9898418</v>
      </c>
      <c r="E45" s="17">
        <v>3150956118.2280765</v>
      </c>
      <c r="F45" s="17">
        <v>87052562</v>
      </c>
      <c r="G45" s="17">
        <v>50028719.1127</v>
      </c>
      <c r="H45" s="17">
        <v>1638387</v>
      </c>
      <c r="I45" s="17">
        <v>3804205.3246400007</v>
      </c>
      <c r="J45" s="17">
        <v>9581.7999999999993</v>
      </c>
      <c r="K45" s="17">
        <v>0</v>
      </c>
      <c r="L45" s="18">
        <f t="shared" si="24"/>
        <v>1981.4806794239998</v>
      </c>
      <c r="M45" s="19">
        <f t="shared" si="37"/>
        <v>78328894.485853195</v>
      </c>
      <c r="N45" s="19">
        <f t="shared" si="38"/>
        <v>1474201.7868468198</v>
      </c>
      <c r="O45" s="19">
        <f t="shared" si="2"/>
        <v>58916571.839999989</v>
      </c>
      <c r="P45" s="19">
        <f t="shared" si="25"/>
        <v>3150956118.2280765</v>
      </c>
      <c r="Q45" s="19">
        <f t="shared" si="26"/>
        <v>3804205.3246400007</v>
      </c>
      <c r="R45" s="20">
        <f t="shared" si="27"/>
        <v>0.59440157981347352</v>
      </c>
      <c r="S45" s="20">
        <f t="shared" si="28"/>
        <v>0.7</v>
      </c>
      <c r="T45" s="21">
        <v>4480395.0401000939</v>
      </c>
      <c r="U45" s="22">
        <v>8430147.0121484883</v>
      </c>
      <c r="V45" s="22">
        <v>9885114.4874214325</v>
      </c>
      <c r="W45" s="22">
        <v>11591196.249438304</v>
      </c>
      <c r="X45" s="22">
        <v>13591732.363237385</v>
      </c>
      <c r="Y45" s="22">
        <v>15937542.998879563</v>
      </c>
      <c r="Z45" s="22">
        <v>18688219.43022972</v>
      </c>
      <c r="AA45" s="22">
        <v>21913637.848504532</v>
      </c>
      <c r="AB45" s="22">
        <v>25695734.446409348</v>
      </c>
      <c r="AC45" s="22">
        <v>30130586.865815494</v>
      </c>
      <c r="AD45" s="22">
        <v>35330854.884566806</v>
      </c>
      <c r="AE45" s="23">
        <v>4.6705125897233669E-2</v>
      </c>
      <c r="AF45" s="23">
        <v>5.8063621574088252E-2</v>
      </c>
      <c r="AG45" s="23">
        <v>6.8463551920541696E-2</v>
      </c>
      <c r="AH45" s="23">
        <v>7.7936627795995084E-2</v>
      </c>
      <c r="AI45" s="23">
        <v>8.6513114251711098E-2</v>
      </c>
      <c r="AJ45" s="23">
        <v>9.4221888285348679E-2</v>
      </c>
      <c r="AK45" s="23">
        <v>0.10109049416651014</v>
      </c>
      <c r="AL45" s="23">
        <v>0.1071451964333793</v>
      </c>
      <c r="AM45" s="23">
        <v>0.11241103065637184</v>
      </c>
      <c r="AN45" s="23">
        <v>0.11691185206073457</v>
      </c>
      <c r="AO45" s="23">
        <v>1.4220124802014906</v>
      </c>
      <c r="AP45" s="24">
        <v>155577427.49770001</v>
      </c>
      <c r="AQ45" s="25">
        <f t="shared" si="41"/>
        <v>1296.5072287621053</v>
      </c>
      <c r="AR45" s="25">
        <f t="shared" si="41"/>
        <v>1271.3300524368981</v>
      </c>
      <c r="AS45" s="25">
        <f t="shared" si="41"/>
        <v>1246.3606188372657</v>
      </c>
      <c r="AT45" s="25">
        <f t="shared" si="41"/>
        <v>1221.2897406335499</v>
      </c>
      <c r="AU45" s="25">
        <f t="shared" si="41"/>
        <v>1195.8109556881668</v>
      </c>
      <c r="AV45" s="25">
        <f t="shared" si="40"/>
        <v>1169.6207432122792</v>
      </c>
      <c r="AW45" s="25">
        <f t="shared" si="40"/>
        <v>1142.4206308491775</v>
      </c>
      <c r="AX45" s="25">
        <f t="shared" si="40"/>
        <v>1113.9214249837109</v>
      </c>
      <c r="AY45" s="25">
        <f t="shared" si="40"/>
        <v>1083.849761529634</v>
      </c>
      <c r="AZ45" s="25">
        <f t="shared" si="40"/>
        <v>1051.9570690241305</v>
      </c>
      <c r="BA45" s="26">
        <f t="shared" si="29"/>
        <v>1179.3068225956918</v>
      </c>
      <c r="BB45" s="26">
        <f t="shared" si="30"/>
        <v>1051.9570690241305</v>
      </c>
      <c r="BC45" s="69"/>
      <c r="BD45" s="70"/>
      <c r="BE45" s="79">
        <f t="shared" si="31"/>
        <v>142523873.43733999</v>
      </c>
      <c r="BF45" s="79">
        <f t="shared" si="32"/>
        <v>105184.39013635127</v>
      </c>
      <c r="BG45" s="84"/>
      <c r="BH45" s="63">
        <f>MAX($BE45-VLOOKUP($A45,'RE Generation'!$A$4:$M$52,'Mass Equivalents - States, Opt1'!BH$7-2016,0)-VLOOKUP('Mass Equivalents - States, Opt1'!$A45,'EE Avoided Generation'!$A$4:$K$52,'Mass Equivalents - States, Opt1'!BH$7-2018,0)-VLOOKUP($A45,'Under Construction Nuclear'!$B$5:$D$53,3,0),0)+U45+$T45+VLOOKUP('Mass Equivalents - States, Opt1'!$A45,'EE Avoided Generation'!$A$4:$K$52,'Mass Equivalents - States, Opt1'!BH$7-2018,0)</f>
        <v>151463386.0874401</v>
      </c>
      <c r="BI45" s="64">
        <f>MAX($BE45-VLOOKUP($A45,'RE Generation'!$A$4:$M$52,'Mass Equivalents - States, Opt1'!BI$7-2016,0)-VLOOKUP('Mass Equivalents - States, Opt1'!$A45,'EE Avoided Generation'!$A$4:$K$52,'Mass Equivalents - States, Opt1'!BI$7-2018,0)-VLOOKUP($A45,'Under Construction Nuclear'!$B$5:$D$53,3,0),0)+V45+$T45+VLOOKUP('Mass Equivalents - States, Opt1'!$A45,'EE Avoided Generation'!$A$4:$K$52,'Mass Equivalents - States, Opt1'!BI$7-2018,0)</f>
        <v>151463386.08744007</v>
      </c>
      <c r="BJ45" s="64">
        <f>MAX($BE45-VLOOKUP($A45,'RE Generation'!$A$4:$M$52,'Mass Equivalents - States, Opt1'!BJ$7-2016,0)-VLOOKUP('Mass Equivalents - States, Opt1'!$A45,'EE Avoided Generation'!$A$4:$K$52,'Mass Equivalents - States, Opt1'!BJ$7-2018,0)-VLOOKUP($A45,'Under Construction Nuclear'!$B$5:$D$53,3,0),0)+W45+$T45+VLOOKUP('Mass Equivalents - States, Opt1'!$A45,'EE Avoided Generation'!$A$4:$K$52,'Mass Equivalents - States, Opt1'!BJ$7-2018,0)</f>
        <v>151463386.0874401</v>
      </c>
      <c r="BK45" s="64">
        <f>MAX($BE45-VLOOKUP($A45,'RE Generation'!$A$4:$M$52,'Mass Equivalents - States, Opt1'!BK$7-2016,0)-VLOOKUP('Mass Equivalents - States, Opt1'!$A45,'EE Avoided Generation'!$A$4:$K$52,'Mass Equivalents - States, Opt1'!BK$7-2018,0)-VLOOKUP($A45,'Under Construction Nuclear'!$B$5:$D$53,3,0),0)+X45+$T45+VLOOKUP('Mass Equivalents - States, Opt1'!$A45,'EE Avoided Generation'!$A$4:$K$52,'Mass Equivalents - States, Opt1'!BK$7-2018,0)</f>
        <v>151463386.0874401</v>
      </c>
      <c r="BL45" s="64">
        <f>MAX($BE45-VLOOKUP($A45,'RE Generation'!$A$4:$M$52,'Mass Equivalents - States, Opt1'!BL$7-2016,0)-VLOOKUP('Mass Equivalents - States, Opt1'!$A45,'EE Avoided Generation'!$A$4:$K$52,'Mass Equivalents - States, Opt1'!BL$7-2018,0)-VLOOKUP($A45,'Under Construction Nuclear'!$B$5:$D$53,3,0),0)+Y45+$T45+VLOOKUP('Mass Equivalents - States, Opt1'!$A45,'EE Avoided Generation'!$A$4:$K$52,'Mass Equivalents - States, Opt1'!BL$7-2018,0)</f>
        <v>151463386.08744007</v>
      </c>
      <c r="BM45" s="64">
        <f>MAX($BE45-VLOOKUP($A45,'RE Generation'!$A$4:$M$52,'Mass Equivalents - States, Opt1'!BM$7-2016,0)-VLOOKUP('Mass Equivalents - States, Opt1'!$A45,'EE Avoided Generation'!$A$4:$K$52,'Mass Equivalents - States, Opt1'!BM$7-2018,0)-VLOOKUP($A45,'Under Construction Nuclear'!$B$5:$D$53,3,0),0)+Z45+$T45+VLOOKUP('Mass Equivalents - States, Opt1'!$A45,'EE Avoided Generation'!$A$4:$K$52,'Mass Equivalents - States, Opt1'!BM$7-2018,0)</f>
        <v>151463386.08744007</v>
      </c>
      <c r="BN45" s="64">
        <f>MAX($BE45-VLOOKUP($A45,'RE Generation'!$A$4:$M$52,'Mass Equivalents - States, Opt1'!BN$7-2016,0)-VLOOKUP('Mass Equivalents - States, Opt1'!$A45,'EE Avoided Generation'!$A$4:$K$52,'Mass Equivalents - States, Opt1'!BN$7-2018,0)-VLOOKUP($A45,'Under Construction Nuclear'!$B$5:$D$53,3,0),0)+AA45+$T45+VLOOKUP('Mass Equivalents - States, Opt1'!$A45,'EE Avoided Generation'!$A$4:$K$52,'Mass Equivalents - States, Opt1'!BN$7-2018,0)</f>
        <v>151463386.08744007</v>
      </c>
      <c r="BO45" s="64">
        <f>MAX($BE45-VLOOKUP($A45,'RE Generation'!$A$4:$M$52,'Mass Equivalents - States, Opt1'!BO$7-2016,0)-VLOOKUP('Mass Equivalents - States, Opt1'!$A45,'EE Avoided Generation'!$A$4:$K$52,'Mass Equivalents - States, Opt1'!BO$7-2018,0)-VLOOKUP($A45,'Under Construction Nuclear'!$B$5:$D$53,3,0),0)+AB45+$T45+VLOOKUP('Mass Equivalents - States, Opt1'!$A45,'EE Avoided Generation'!$A$4:$K$52,'Mass Equivalents - States, Opt1'!BO$7-2018,0)</f>
        <v>151463386.08744007</v>
      </c>
      <c r="BP45" s="64">
        <f>MAX($BE45-VLOOKUP($A45,'RE Generation'!$A$4:$M$52,'Mass Equivalents - States, Opt1'!BP$7-2016,0)-VLOOKUP('Mass Equivalents - States, Opt1'!$A45,'EE Avoided Generation'!$A$4:$K$52,'Mass Equivalents - States, Opt1'!BP$7-2018,0)-VLOOKUP($A45,'Under Construction Nuclear'!$B$5:$D$53,3,0),0)+AC45+$T45+VLOOKUP('Mass Equivalents - States, Opt1'!$A45,'EE Avoided Generation'!$A$4:$K$52,'Mass Equivalents - States, Opt1'!BP$7-2018,0)</f>
        <v>151463386.08744007</v>
      </c>
      <c r="BQ45" s="65">
        <f>MAX($BE45-VLOOKUP($A45,'RE Generation'!$A$4:$M$52,'Mass Equivalents - States, Opt1'!BQ$7-2016,0)-VLOOKUP('Mass Equivalents - States, Opt1'!$A45,'EE Avoided Generation'!$A$4:$K$52,'Mass Equivalents - States, Opt1'!BQ$7-2018,0)-VLOOKUP($A45,'Under Construction Nuclear'!$B$5:$D$53,3,0),0)+AD45+$T45+VLOOKUP('Mass Equivalents - States, Opt1'!$A45,'EE Avoided Generation'!$A$4:$K$52,'Mass Equivalents - States, Opt1'!BQ$7-2018,0)</f>
        <v>151463386.0874401</v>
      </c>
      <c r="BR45" s="29"/>
      <c r="BS45" s="71">
        <f t="shared" si="42"/>
        <v>89073.570481603092</v>
      </c>
      <c r="BT45" s="72">
        <f t="shared" si="43"/>
        <v>87343.830037292297</v>
      </c>
      <c r="BU45" s="72">
        <f t="shared" si="44"/>
        <v>85628.36208286669</v>
      </c>
      <c r="BV45" s="72">
        <f t="shared" si="45"/>
        <v>83905.924608417306</v>
      </c>
      <c r="BW45" s="72">
        <f t="shared" si="46"/>
        <v>82155.462832137753</v>
      </c>
      <c r="BX45" s="72">
        <f t="shared" si="47"/>
        <v>80356.124050875005</v>
      </c>
      <c r="BY45" s="72">
        <f t="shared" si="48"/>
        <v>78487.402402484702</v>
      </c>
      <c r="BZ45" s="72">
        <f t="shared" si="49"/>
        <v>76529.429499586884</v>
      </c>
      <c r="CA45" s="72">
        <f t="shared" si="50"/>
        <v>74463.424486461518</v>
      </c>
      <c r="CB45" s="72">
        <f t="shared" si="51"/>
        <v>72272.30982800381</v>
      </c>
      <c r="CC45" s="75">
        <f t="shared" si="33"/>
        <v>81021.58403097291</v>
      </c>
      <c r="CD45" s="76">
        <f t="shared" si="34"/>
        <v>72272.30982800381</v>
      </c>
      <c r="CG45" s="63">
        <f>BH45+VLOOKUP($A45,'Incremental Demand for New Gen'!$AG$5:$AQ$53,'Mass Equivalents - States, Opt1'!BH$7-2018,0)</f>
        <v>158529255.10827422</v>
      </c>
      <c r="CH45" s="64">
        <f>BI45+VLOOKUP($A45,'Incremental Demand for New Gen'!$AG$5:$AQ$53,'Mass Equivalents - States, Opt1'!BI$7-2018,0)</f>
        <v>159434529.46085986</v>
      </c>
      <c r="CI45" s="64">
        <f>BJ45+VLOOKUP($A45,'Incremental Demand for New Gen'!$AG$5:$AQ$53,'Mass Equivalents - States, Opt1'!BJ$7-2018,0)</f>
        <v>160344792.00087079</v>
      </c>
      <c r="CJ45" s="64">
        <f>BK45+VLOOKUP($A45,'Incremental Demand for New Gen'!$AG$5:$AQ$53,'Mass Equivalents - States, Opt1'!BK$7-2018,0)</f>
        <v>161260070.21391255</v>
      </c>
      <c r="CK45" s="64">
        <f>BL45+VLOOKUP($A45,'Incremental Demand for New Gen'!$AG$5:$AQ$53,'Mass Equivalents - States, Opt1'!BL$7-2018,0)</f>
        <v>162180391.73704016</v>
      </c>
      <c r="CL45" s="64">
        <f>BM45+VLOOKUP($A45,'Incremental Demand for New Gen'!$AG$5:$AQ$53,'Mass Equivalents - States, Opt1'!BM$7-2018,0)</f>
        <v>163105784.3595928</v>
      </c>
      <c r="CM45" s="64">
        <f>BN45+VLOOKUP($A45,'Incremental Demand for New Gen'!$AG$5:$AQ$53,'Mass Equivalents - States, Opt1'!BN$7-2018,0)</f>
        <v>164036276.02403262</v>
      </c>
      <c r="CN45" s="64">
        <f>BO45+VLOOKUP($A45,'Incremental Demand for New Gen'!$AG$5:$AQ$53,'Mass Equivalents - States, Opt1'!BO$7-2018,0)</f>
        <v>164971894.82678869</v>
      </c>
      <c r="CO45" s="64">
        <f>BP45+VLOOKUP($A45,'Incremental Demand for New Gen'!$AG$5:$AQ$53,'Mass Equivalents - States, Opt1'!BP$7-2018,0)</f>
        <v>165912669.01910529</v>
      </c>
      <c r="CP45" s="65">
        <f>BQ45+VLOOKUP($A45,'Incremental Demand for New Gen'!$AG$5:$AQ$53,'Mass Equivalents - States, Opt1'!BQ$7-2018,0)</f>
        <v>166858627.00789499</v>
      </c>
      <c r="CQ45" s="29"/>
      <c r="CR45" s="71">
        <f t="shared" si="52"/>
        <v>93228.912564591374</v>
      </c>
      <c r="CS45" s="72">
        <f t="shared" si="53"/>
        <v>91940.519771991167</v>
      </c>
      <c r="CT45" s="72">
        <f t="shared" si="54"/>
        <v>90649.379115465708</v>
      </c>
      <c r="CU45" s="72">
        <f t="shared" si="55"/>
        <v>89332.97771321013</v>
      </c>
      <c r="CV45" s="72">
        <f t="shared" si="56"/>
        <v>87968.488554468029</v>
      </c>
      <c r="CW45" s="72">
        <f t="shared" si="57"/>
        <v>86532.785117112566</v>
      </c>
      <c r="CX45" s="72">
        <f t="shared" si="58"/>
        <v>85002.597244661301</v>
      </c>
      <c r="CY45" s="72">
        <f t="shared" si="59"/>
        <v>83354.831294154719</v>
      </c>
      <c r="CZ45" s="72">
        <f t="shared" si="60"/>
        <v>81567.075845770421</v>
      </c>
      <c r="DA45" s="72">
        <f t="shared" si="61"/>
        <v>79618.307104451495</v>
      </c>
      <c r="DB45" s="75">
        <f t="shared" si="35"/>
        <v>86919.587432587694</v>
      </c>
      <c r="DC45" s="76">
        <f t="shared" si="36"/>
        <v>79618.307104451495</v>
      </c>
    </row>
    <row r="46" spans="1:107" x14ac:dyDescent="0.25">
      <c r="A46" s="16" t="s">
        <v>80</v>
      </c>
      <c r="B46" s="17">
        <v>0</v>
      </c>
      <c r="C46" s="17">
        <v>917.88145899999995</v>
      </c>
      <c r="D46" s="17">
        <v>0</v>
      </c>
      <c r="E46" s="17">
        <v>0</v>
      </c>
      <c r="F46" s="17">
        <v>0</v>
      </c>
      <c r="G46" s="17">
        <v>8140017.2830999997</v>
      </c>
      <c r="H46" s="17">
        <v>0</v>
      </c>
      <c r="I46" s="17">
        <v>0</v>
      </c>
      <c r="J46" s="17">
        <v>1960.7</v>
      </c>
      <c r="K46" s="17">
        <v>0</v>
      </c>
      <c r="L46" s="18"/>
      <c r="M46" s="19"/>
      <c r="N46" s="19"/>
      <c r="O46" s="19">
        <f t="shared" si="2"/>
        <v>8140017.2830999997</v>
      </c>
      <c r="P46" s="19">
        <f t="shared" si="25"/>
        <v>0</v>
      </c>
      <c r="Q46" s="19">
        <f t="shared" si="26"/>
        <v>0</v>
      </c>
      <c r="R46" s="20">
        <f t="shared" si="27"/>
        <v>0.47263061619265745</v>
      </c>
      <c r="S46" s="20">
        <f t="shared" si="28"/>
        <v>0.47263061619265745</v>
      </c>
      <c r="T46" s="21"/>
      <c r="U46" s="22">
        <v>163745.59714949719</v>
      </c>
      <c r="V46" s="22">
        <v>184363.02306168678</v>
      </c>
      <c r="W46" s="22">
        <v>207576.41649083217</v>
      </c>
      <c r="X46" s="22">
        <v>233712.63915952627</v>
      </c>
      <c r="Y46" s="22">
        <v>263139.70838456665</v>
      </c>
      <c r="Z46" s="22">
        <v>296271.97903255722</v>
      </c>
      <c r="AA46" s="22">
        <v>333575.9779424314</v>
      </c>
      <c r="AB46" s="22">
        <v>375576.97296787467</v>
      </c>
      <c r="AC46" s="22">
        <v>422866.36913661537</v>
      </c>
      <c r="AD46" s="22">
        <v>476110.03606996813</v>
      </c>
      <c r="AE46" s="23">
        <v>3.8955415446190925E-2</v>
      </c>
      <c r="AF46" s="23">
        <v>5.106145733699289E-2</v>
      </c>
      <c r="AG46" s="23">
        <v>6.2209206832177351E-2</v>
      </c>
      <c r="AH46" s="23">
        <v>7.2426262786619511E-2</v>
      </c>
      <c r="AI46" s="23">
        <v>8.1738972910374089E-2</v>
      </c>
      <c r="AJ46" s="23">
        <v>9.0172478628589278E-2</v>
      </c>
      <c r="AK46" s="23">
        <v>9.7750758137175278E-2</v>
      </c>
      <c r="AL46" s="23">
        <v>0.1044966677227059</v>
      </c>
      <c r="AM46" s="23">
        <v>0.11043198141235709</v>
      </c>
      <c r="AN46" s="23">
        <v>0.11557742901711443</v>
      </c>
      <c r="AO46" s="23">
        <v>0.97630150346734335</v>
      </c>
      <c r="AP46" s="24">
        <v>8287229.8833999997</v>
      </c>
      <c r="AQ46" s="25">
        <f t="shared" si="41"/>
        <v>866.87769603862273</v>
      </c>
      <c r="AR46" s="25">
        <f t="shared" si="41"/>
        <v>855.11442357893259</v>
      </c>
      <c r="AS46" s="25">
        <f t="shared" si="41"/>
        <v>844.15772835089865</v>
      </c>
      <c r="AT46" s="25">
        <f t="shared" si="41"/>
        <v>833.90685061833108</v>
      </c>
      <c r="AU46" s="25">
        <f t="shared" si="41"/>
        <v>824.26788789904344</v>
      </c>
      <c r="AV46" s="25">
        <f t="shared" si="40"/>
        <v>815.15220778711046</v>
      </c>
      <c r="AW46" s="25">
        <f t="shared" si="40"/>
        <v>806.47506790609373</v>
      </c>
      <c r="AX46" s="25">
        <f t="shared" si="40"/>
        <v>798.15440746883507</v>
      </c>
      <c r="AY46" s="25">
        <f t="shared" si="40"/>
        <v>790.10978550571804</v>
      </c>
      <c r="AZ46" s="25">
        <f t="shared" si="40"/>
        <v>782.26144999347662</v>
      </c>
      <c r="BA46" s="26">
        <f t="shared" si="29"/>
        <v>821.64775051470622</v>
      </c>
      <c r="BB46" s="26">
        <f t="shared" si="30"/>
        <v>782.26144999347662</v>
      </c>
      <c r="BC46" s="69"/>
      <c r="BD46" s="70"/>
      <c r="BE46" s="79">
        <f t="shared" si="31"/>
        <v>8140017.2830999997</v>
      </c>
      <c r="BF46" s="79">
        <f t="shared" si="32"/>
        <v>3389.0516007733954</v>
      </c>
      <c r="BG46" s="84"/>
      <c r="BH46" s="63">
        <f>MAX($BE46-VLOOKUP($A46,'RE Generation'!$A$4:$M$52,'Mass Equivalents - States, Opt1'!BH$7-2016,0)-VLOOKUP('Mass Equivalents - States, Opt1'!$A46,'EE Avoided Generation'!$A$4:$K$52,'Mass Equivalents - States, Opt1'!BH$7-2018,0)-VLOOKUP($A46,'Under Construction Nuclear'!$B$5:$D$53,3,0),0)+U46+$T46+VLOOKUP('Mass Equivalents - States, Opt1'!$A46,'EE Avoided Generation'!$A$4:$K$52,'Mass Equivalents - States, Opt1'!BH$7-2018,0)</f>
        <v>8241912.2830999997</v>
      </c>
      <c r="BI46" s="64">
        <f>MAX($BE46-VLOOKUP($A46,'RE Generation'!$A$4:$M$52,'Mass Equivalents - States, Opt1'!BI$7-2016,0)-VLOOKUP('Mass Equivalents - States, Opt1'!$A46,'EE Avoided Generation'!$A$4:$K$52,'Mass Equivalents - States, Opt1'!BI$7-2018,0)-VLOOKUP($A46,'Under Construction Nuclear'!$B$5:$D$53,3,0),0)+V46+$T46+VLOOKUP('Mass Equivalents - States, Opt1'!$A46,'EE Avoided Generation'!$A$4:$K$52,'Mass Equivalents - States, Opt1'!BI$7-2018,0)</f>
        <v>8241912.2830999997</v>
      </c>
      <c r="BJ46" s="64">
        <f>MAX($BE46-VLOOKUP($A46,'RE Generation'!$A$4:$M$52,'Mass Equivalents - States, Opt1'!BJ$7-2016,0)-VLOOKUP('Mass Equivalents - States, Opt1'!$A46,'EE Avoided Generation'!$A$4:$K$52,'Mass Equivalents - States, Opt1'!BJ$7-2018,0)-VLOOKUP($A46,'Under Construction Nuclear'!$B$5:$D$53,3,0),0)+W46+$T46+VLOOKUP('Mass Equivalents - States, Opt1'!$A46,'EE Avoided Generation'!$A$4:$K$52,'Mass Equivalents - States, Opt1'!BJ$7-2018,0)</f>
        <v>8241912.2830999997</v>
      </c>
      <c r="BK46" s="64">
        <f>MAX($BE46-VLOOKUP($A46,'RE Generation'!$A$4:$M$52,'Mass Equivalents - States, Opt1'!BK$7-2016,0)-VLOOKUP('Mass Equivalents - States, Opt1'!$A46,'EE Avoided Generation'!$A$4:$K$52,'Mass Equivalents - States, Opt1'!BK$7-2018,0)-VLOOKUP($A46,'Under Construction Nuclear'!$B$5:$D$53,3,0),0)+X46+$T46+VLOOKUP('Mass Equivalents - States, Opt1'!$A46,'EE Avoided Generation'!$A$4:$K$52,'Mass Equivalents - States, Opt1'!BK$7-2018,0)</f>
        <v>8241912.2830999997</v>
      </c>
      <c r="BL46" s="64">
        <f>MAX($BE46-VLOOKUP($A46,'RE Generation'!$A$4:$M$52,'Mass Equivalents - States, Opt1'!BL$7-2016,0)-VLOOKUP('Mass Equivalents - States, Opt1'!$A46,'EE Avoided Generation'!$A$4:$K$52,'Mass Equivalents - States, Opt1'!BL$7-2018,0)-VLOOKUP($A46,'Under Construction Nuclear'!$B$5:$D$53,3,0),0)+Y46+$T46+VLOOKUP('Mass Equivalents - States, Opt1'!$A46,'EE Avoided Generation'!$A$4:$K$52,'Mass Equivalents - States, Opt1'!BL$7-2018,0)</f>
        <v>8241912.2830999997</v>
      </c>
      <c r="BM46" s="64">
        <f>MAX($BE46-VLOOKUP($A46,'RE Generation'!$A$4:$M$52,'Mass Equivalents - States, Opt1'!BM$7-2016,0)-VLOOKUP('Mass Equivalents - States, Opt1'!$A46,'EE Avoided Generation'!$A$4:$K$52,'Mass Equivalents - States, Opt1'!BM$7-2018,0)-VLOOKUP($A46,'Under Construction Nuclear'!$B$5:$D$53,3,0),0)+Z46+$T46+VLOOKUP('Mass Equivalents - States, Opt1'!$A46,'EE Avoided Generation'!$A$4:$K$52,'Mass Equivalents - States, Opt1'!BM$7-2018,0)</f>
        <v>8241912.2830999997</v>
      </c>
      <c r="BN46" s="64">
        <f>MAX($BE46-VLOOKUP($A46,'RE Generation'!$A$4:$M$52,'Mass Equivalents - States, Opt1'!BN$7-2016,0)-VLOOKUP('Mass Equivalents - States, Opt1'!$A46,'EE Avoided Generation'!$A$4:$K$52,'Mass Equivalents - States, Opt1'!BN$7-2018,0)-VLOOKUP($A46,'Under Construction Nuclear'!$B$5:$D$53,3,0),0)+AA46+$T46+VLOOKUP('Mass Equivalents - States, Opt1'!$A46,'EE Avoided Generation'!$A$4:$K$52,'Mass Equivalents - States, Opt1'!BN$7-2018,0)</f>
        <v>8241912.2830999997</v>
      </c>
      <c r="BO46" s="64">
        <f>MAX($BE46-VLOOKUP($A46,'RE Generation'!$A$4:$M$52,'Mass Equivalents - States, Opt1'!BO$7-2016,0)-VLOOKUP('Mass Equivalents - States, Opt1'!$A46,'EE Avoided Generation'!$A$4:$K$52,'Mass Equivalents - States, Opt1'!BO$7-2018,0)-VLOOKUP($A46,'Under Construction Nuclear'!$B$5:$D$53,3,0),0)+AB46+$T46+VLOOKUP('Mass Equivalents - States, Opt1'!$A46,'EE Avoided Generation'!$A$4:$K$52,'Mass Equivalents - States, Opt1'!BO$7-2018,0)</f>
        <v>8241912.2830999997</v>
      </c>
      <c r="BP46" s="64">
        <f>MAX($BE46-VLOOKUP($A46,'RE Generation'!$A$4:$M$52,'Mass Equivalents - States, Opt1'!BP$7-2016,0)-VLOOKUP('Mass Equivalents - States, Opt1'!$A46,'EE Avoided Generation'!$A$4:$K$52,'Mass Equivalents - States, Opt1'!BP$7-2018,0)-VLOOKUP($A46,'Under Construction Nuclear'!$B$5:$D$53,3,0),0)+AC46+$T46+VLOOKUP('Mass Equivalents - States, Opt1'!$A46,'EE Avoided Generation'!$A$4:$K$52,'Mass Equivalents - States, Opt1'!BP$7-2018,0)</f>
        <v>8241912.2830999997</v>
      </c>
      <c r="BQ46" s="65">
        <f>MAX($BE46-VLOOKUP($A46,'RE Generation'!$A$4:$M$52,'Mass Equivalents - States, Opt1'!BQ$7-2016,0)-VLOOKUP('Mass Equivalents - States, Opt1'!$A46,'EE Avoided Generation'!$A$4:$K$52,'Mass Equivalents - States, Opt1'!BQ$7-2018,0)-VLOOKUP($A46,'Under Construction Nuclear'!$B$5:$D$53,3,0),0)+AD46+$T46+VLOOKUP('Mass Equivalents - States, Opt1'!$A46,'EE Avoided Generation'!$A$4:$K$52,'Mass Equivalents - States, Opt1'!BQ$7-2018,0)</f>
        <v>8241912.2830999997</v>
      </c>
      <c r="BR46" s="29"/>
      <c r="BS46" s="71">
        <f t="shared" si="42"/>
        <v>3240.7988365006909</v>
      </c>
      <c r="BT46" s="72">
        <f t="shared" si="43"/>
        <v>3196.8221603501647</v>
      </c>
      <c r="BU46" s="72">
        <f t="shared" si="44"/>
        <v>3155.8608513798595</v>
      </c>
      <c r="BV46" s="72">
        <f t="shared" si="45"/>
        <v>3117.5382220393808</v>
      </c>
      <c r="BW46" s="72">
        <f t="shared" si="46"/>
        <v>3081.5032204370914</v>
      </c>
      <c r="BX46" s="72">
        <f t="shared" si="47"/>
        <v>3047.4244967190125</v>
      </c>
      <c r="BY46" s="72">
        <f t="shared" si="48"/>
        <v>3014.9852438012631</v>
      </c>
      <c r="BZ46" s="72">
        <f t="shared" si="49"/>
        <v>2983.8786796490072</v>
      </c>
      <c r="CA46" s="72">
        <f t="shared" si="50"/>
        <v>2953.8040778715081</v>
      </c>
      <c r="CB46" s="72">
        <f t="shared" si="51"/>
        <v>2924.4632876853389</v>
      </c>
      <c r="CC46" s="75">
        <f t="shared" si="33"/>
        <v>3071.7079076433315</v>
      </c>
      <c r="CD46" s="76">
        <f t="shared" si="34"/>
        <v>2924.4632876853389</v>
      </c>
      <c r="CG46" s="63">
        <f>BH46+VLOOKUP($A46,'Incremental Demand for New Gen'!$AG$5:$AQ$53,'Mass Equivalents - States, Opt1'!BH$7-2018,0)</f>
        <v>8437374.0864140633</v>
      </c>
      <c r="CH46" s="64">
        <f>BI46+VLOOKUP($A46,'Incremental Demand for New Gen'!$AG$5:$AQ$53,'Mass Equivalents - States, Opt1'!BI$7-2018,0)</f>
        <v>8462126.2887014989</v>
      </c>
      <c r="CI46" s="64">
        <f>BJ46+VLOOKUP($A46,'Incremental Demand for New Gen'!$AG$5:$AQ$53,'Mass Equivalents - States, Opt1'!BJ$7-2018,0)</f>
        <v>8486950.1723309532</v>
      </c>
      <c r="CJ46" s="64">
        <f>BK46+VLOOKUP($A46,'Incremental Demand for New Gen'!$AG$5:$AQ$53,'Mass Equivalents - States, Opt1'!BK$7-2018,0)</f>
        <v>8511845.944888588</v>
      </c>
      <c r="CK46" s="64">
        <f>BL46+VLOOKUP($A46,'Incremental Demand for New Gen'!$AG$5:$AQ$53,'Mass Equivalents - States, Opt1'!BL$7-2018,0)</f>
        <v>8536813.8145617377</v>
      </c>
      <c r="CL46" s="64">
        <f>BM46+VLOOKUP($A46,'Incremental Demand for New Gen'!$AG$5:$AQ$53,'Mass Equivalents - States, Opt1'!BM$7-2018,0)</f>
        <v>8561853.9901406243</v>
      </c>
      <c r="CM46" s="64">
        <f>BN46+VLOOKUP($A46,'Incremental Demand for New Gen'!$AG$5:$AQ$53,'Mass Equivalents - States, Opt1'!BN$7-2018,0)</f>
        <v>8586966.6810201295</v>
      </c>
      <c r="CN46" s="64">
        <f>BO46+VLOOKUP($A46,'Incremental Demand for New Gen'!$AG$5:$AQ$53,'Mass Equivalents - States, Opt1'!BO$7-2018,0)</f>
        <v>8612152.097201528</v>
      </c>
      <c r="CO46" s="64">
        <f>BP46+VLOOKUP($A46,'Incremental Demand for New Gen'!$AG$5:$AQ$53,'Mass Equivalents - States, Opt1'!BP$7-2018,0)</f>
        <v>8637410.4492942523</v>
      </c>
      <c r="CP46" s="65">
        <f>BQ46+VLOOKUP($A46,'Incremental Demand for New Gen'!$AG$5:$AQ$53,'Mass Equivalents - States, Opt1'!BQ$7-2018,0)</f>
        <v>8662741.9485176485</v>
      </c>
      <c r="CQ46" s="29"/>
      <c r="CR46" s="71">
        <f t="shared" si="52"/>
        <v>3317.6562893589839</v>
      </c>
      <c r="CS46" s="72">
        <f t="shared" si="53"/>
        <v>3282.2374121685889</v>
      </c>
      <c r="CT46" s="72">
        <f t="shared" si="54"/>
        <v>3249.6868295226232</v>
      </c>
      <c r="CU46" s="72">
        <f t="shared" si="55"/>
        <v>3219.6417726639766</v>
      </c>
      <c r="CV46" s="72">
        <f t="shared" si="56"/>
        <v>3191.7616152970495</v>
      </c>
      <c r="CW46" s="72">
        <f t="shared" si="57"/>
        <v>3165.7220667570878</v>
      </c>
      <c r="CX46" s="72">
        <f t="shared" si="58"/>
        <v>3141.2100666704796</v>
      </c>
      <c r="CY46" s="72">
        <f t="shared" si="59"/>
        <v>3117.9192578192033</v>
      </c>
      <c r="CZ46" s="72">
        <f t="shared" si="60"/>
        <v>3095.5459523259015</v>
      </c>
      <c r="DA46" s="72">
        <f t="shared" si="61"/>
        <v>3073.7855401687057</v>
      </c>
      <c r="DB46" s="75">
        <f t="shared" si="35"/>
        <v>3185.5166802752601</v>
      </c>
      <c r="DC46" s="76">
        <f t="shared" si="36"/>
        <v>3073.7855401687057</v>
      </c>
    </row>
    <row r="47" spans="1:107" x14ac:dyDescent="0.25">
      <c r="A47" s="16" t="s">
        <v>81</v>
      </c>
      <c r="B47" s="17">
        <v>2164.0502320999999</v>
      </c>
      <c r="C47" s="17">
        <v>846.748332</v>
      </c>
      <c r="D47" s="17">
        <v>1730.3936679000001</v>
      </c>
      <c r="E47" s="17">
        <v>10850546.867435602</v>
      </c>
      <c r="F47" s="17">
        <v>28460318</v>
      </c>
      <c r="G47" s="17">
        <v>11209393.612</v>
      </c>
      <c r="H47" s="17">
        <v>405616</v>
      </c>
      <c r="I47" s="17">
        <v>14670.8146452</v>
      </c>
      <c r="J47" s="17">
        <v>2839.2</v>
      </c>
      <c r="K47" s="17">
        <v>0</v>
      </c>
      <c r="L47" s="18">
        <f t="shared" si="24"/>
        <v>2034.2072181739998</v>
      </c>
      <c r="M47" s="19">
        <f t="shared" ref="M47:M56" si="62">MAX(F47-((O47-G47)*(F47/(F47+H47))), 0)</f>
        <v>22299837.719094746</v>
      </c>
      <c r="N47" s="19">
        <f t="shared" ref="N47:N56" si="63">MAX(H47-((O47-G47)*(H47/(H47+F47))),0)</f>
        <v>317816.93290525896</v>
      </c>
      <c r="O47" s="19">
        <f t="shared" si="2"/>
        <v>17457672.959999997</v>
      </c>
      <c r="P47" s="19">
        <f t="shared" si="25"/>
        <v>10850546.867435602</v>
      </c>
      <c r="Q47" s="19">
        <f t="shared" si="26"/>
        <v>14670.8146452</v>
      </c>
      <c r="R47" s="20">
        <f t="shared" si="27"/>
        <v>0.4494628548935769</v>
      </c>
      <c r="S47" s="20">
        <f t="shared" si="28"/>
        <v>0.7</v>
      </c>
      <c r="T47" s="21">
        <v>20340660.485616934</v>
      </c>
      <c r="U47" s="22">
        <v>3548748.6630712007</v>
      </c>
      <c r="V47" s="22">
        <v>4025451.2110934323</v>
      </c>
      <c r="W47" s="22">
        <v>4566189.0968829272</v>
      </c>
      <c r="X47" s="22">
        <v>5179564.1718457248</v>
      </c>
      <c r="Y47" s="22">
        <v>5875333.7720029447</v>
      </c>
      <c r="Z47" s="22">
        <v>6664565.9339591488</v>
      </c>
      <c r="AA47" s="22">
        <v>7559815.4609941235</v>
      </c>
      <c r="AB47" s="22">
        <v>8575323.640070105</v>
      </c>
      <c r="AC47" s="22">
        <v>9675568.1879999992</v>
      </c>
      <c r="AD47" s="22">
        <v>9675568.1879999992</v>
      </c>
      <c r="AE47" s="23">
        <v>2.3204885959542832E-2</v>
      </c>
      <c r="AF47" s="23">
        <v>3.2642132100273065E-2</v>
      </c>
      <c r="AG47" s="23">
        <v>4.3226922417851046E-2</v>
      </c>
      <c r="AH47" s="23">
        <v>5.4466253944154872E-2</v>
      </c>
      <c r="AI47" s="23">
        <v>6.4704449928647031E-2</v>
      </c>
      <c r="AJ47" s="23">
        <v>7.398371366214973E-2</v>
      </c>
      <c r="AK47" s="23">
        <v>8.2344209944421001E-2</v>
      </c>
      <c r="AL47" s="23">
        <v>8.9824160520004429E-2</v>
      </c>
      <c r="AM47" s="23">
        <v>9.6459935015243956E-2</v>
      </c>
      <c r="AN47" s="23">
        <v>0.10228613758821378</v>
      </c>
      <c r="AO47" s="23">
        <v>1.1508102920268912</v>
      </c>
      <c r="AP47" s="24">
        <v>83622302.570299998</v>
      </c>
      <c r="AQ47" s="25">
        <f t="shared" si="41"/>
        <v>920.89927357451495</v>
      </c>
      <c r="AR47" s="25">
        <f t="shared" si="41"/>
        <v>903.5483274158679</v>
      </c>
      <c r="AS47" s="25">
        <f t="shared" si="41"/>
        <v>884.77109540654567</v>
      </c>
      <c r="AT47" s="25">
        <f t="shared" si="41"/>
        <v>865.18497680374105</v>
      </c>
      <c r="AU47" s="25">
        <f t="shared" si="41"/>
        <v>846.46284278786743</v>
      </c>
      <c r="AV47" s="25">
        <f t="shared" si="40"/>
        <v>828.38373759553451</v>
      </c>
      <c r="AW47" s="25">
        <f t="shared" si="40"/>
        <v>810.74460088007118</v>
      </c>
      <c r="AX47" s="25">
        <f t="shared" si="40"/>
        <v>793.35727510784375</v>
      </c>
      <c r="AY47" s="25">
        <f t="shared" si="40"/>
        <v>776.55953723301047</v>
      </c>
      <c r="AZ47" s="25">
        <f t="shared" si="40"/>
        <v>771.74969795971606</v>
      </c>
      <c r="BA47" s="26">
        <f t="shared" si="29"/>
        <v>840.16613647647137</v>
      </c>
      <c r="BB47" s="26">
        <f t="shared" si="30"/>
        <v>771.74969795971606</v>
      </c>
      <c r="BC47" s="69"/>
      <c r="BD47" s="70"/>
      <c r="BE47" s="79">
        <f t="shared" si="31"/>
        <v>40089998.426645204</v>
      </c>
      <c r="BF47" s="79">
        <f t="shared" si="32"/>
        <v>32565.167249729489</v>
      </c>
      <c r="BG47" s="84"/>
      <c r="BH47" s="63">
        <f>MAX($BE47-VLOOKUP($A47,'RE Generation'!$A$4:$M$52,'Mass Equivalents - States, Opt1'!BH$7-2016,0)-VLOOKUP('Mass Equivalents - States, Opt1'!$A47,'EE Avoided Generation'!$A$4:$K$52,'Mass Equivalents - States, Opt1'!BH$7-2018,0)-VLOOKUP($A47,'Under Construction Nuclear'!$B$5:$D$53,3,0),0)+U47+$T47+VLOOKUP('Mass Equivalents - States, Opt1'!$A47,'EE Avoided Generation'!$A$4:$K$52,'Mass Equivalents - States, Opt1'!BH$7-2018,0)</f>
        <v>45181811.532262132</v>
      </c>
      <c r="BI47" s="64">
        <f>MAX($BE47-VLOOKUP($A47,'RE Generation'!$A$4:$M$52,'Mass Equivalents - States, Opt1'!BI$7-2016,0)-VLOOKUP('Mass Equivalents - States, Opt1'!$A47,'EE Avoided Generation'!$A$4:$K$52,'Mass Equivalents - States, Opt1'!BI$7-2018,0)-VLOOKUP($A47,'Under Construction Nuclear'!$B$5:$D$53,3,0),0)+V47+$T47+VLOOKUP('Mass Equivalents - States, Opt1'!$A47,'EE Avoided Generation'!$A$4:$K$52,'Mass Equivalents - States, Opt1'!BI$7-2018,0)</f>
        <v>45181811.532262132</v>
      </c>
      <c r="BJ47" s="64">
        <f>MAX($BE47-VLOOKUP($A47,'RE Generation'!$A$4:$M$52,'Mass Equivalents - States, Opt1'!BJ$7-2016,0)-VLOOKUP('Mass Equivalents - States, Opt1'!$A47,'EE Avoided Generation'!$A$4:$K$52,'Mass Equivalents - States, Opt1'!BJ$7-2018,0)-VLOOKUP($A47,'Under Construction Nuclear'!$B$5:$D$53,3,0),0)+W47+$T47+VLOOKUP('Mass Equivalents - States, Opt1'!$A47,'EE Avoided Generation'!$A$4:$K$52,'Mass Equivalents - States, Opt1'!BJ$7-2018,0)</f>
        <v>45181811.532262139</v>
      </c>
      <c r="BK47" s="64">
        <f>MAX($BE47-VLOOKUP($A47,'RE Generation'!$A$4:$M$52,'Mass Equivalents - States, Opt1'!BK$7-2016,0)-VLOOKUP('Mass Equivalents - States, Opt1'!$A47,'EE Avoided Generation'!$A$4:$K$52,'Mass Equivalents - States, Opt1'!BK$7-2018,0)-VLOOKUP($A47,'Under Construction Nuclear'!$B$5:$D$53,3,0),0)+X47+$T47+VLOOKUP('Mass Equivalents - States, Opt1'!$A47,'EE Avoided Generation'!$A$4:$K$52,'Mass Equivalents - States, Opt1'!BK$7-2018,0)</f>
        <v>45181811.532262139</v>
      </c>
      <c r="BL47" s="64">
        <f>MAX($BE47-VLOOKUP($A47,'RE Generation'!$A$4:$M$52,'Mass Equivalents - States, Opt1'!BL$7-2016,0)-VLOOKUP('Mass Equivalents - States, Opt1'!$A47,'EE Avoided Generation'!$A$4:$K$52,'Mass Equivalents - States, Opt1'!BL$7-2018,0)-VLOOKUP($A47,'Under Construction Nuclear'!$B$5:$D$53,3,0),0)+Y47+$T47+VLOOKUP('Mass Equivalents - States, Opt1'!$A47,'EE Avoided Generation'!$A$4:$K$52,'Mass Equivalents - States, Opt1'!BL$7-2018,0)</f>
        <v>45181811.532262146</v>
      </c>
      <c r="BM47" s="64">
        <f>MAX($BE47-VLOOKUP($A47,'RE Generation'!$A$4:$M$52,'Mass Equivalents - States, Opt1'!BM$7-2016,0)-VLOOKUP('Mass Equivalents - States, Opt1'!$A47,'EE Avoided Generation'!$A$4:$K$52,'Mass Equivalents - States, Opt1'!BM$7-2018,0)-VLOOKUP($A47,'Under Construction Nuclear'!$B$5:$D$53,3,0),0)+Z47+$T47+VLOOKUP('Mass Equivalents - States, Opt1'!$A47,'EE Avoided Generation'!$A$4:$K$52,'Mass Equivalents - States, Opt1'!BM$7-2018,0)</f>
        <v>45181811.532262132</v>
      </c>
      <c r="BN47" s="64">
        <f>MAX($BE47-VLOOKUP($A47,'RE Generation'!$A$4:$M$52,'Mass Equivalents - States, Opt1'!BN$7-2016,0)-VLOOKUP('Mass Equivalents - States, Opt1'!$A47,'EE Avoided Generation'!$A$4:$K$52,'Mass Equivalents - States, Opt1'!BN$7-2018,0)-VLOOKUP($A47,'Under Construction Nuclear'!$B$5:$D$53,3,0),0)+AA47+$T47+VLOOKUP('Mass Equivalents - States, Opt1'!$A47,'EE Avoided Generation'!$A$4:$K$52,'Mass Equivalents - States, Opt1'!BN$7-2018,0)</f>
        <v>45181811.532262146</v>
      </c>
      <c r="BO47" s="64">
        <f>MAX($BE47-VLOOKUP($A47,'RE Generation'!$A$4:$M$52,'Mass Equivalents - States, Opt1'!BO$7-2016,0)-VLOOKUP('Mass Equivalents - States, Opt1'!$A47,'EE Avoided Generation'!$A$4:$K$52,'Mass Equivalents - States, Opt1'!BO$7-2018,0)-VLOOKUP($A47,'Under Construction Nuclear'!$B$5:$D$53,3,0),0)+AB47+$T47+VLOOKUP('Mass Equivalents - States, Opt1'!$A47,'EE Avoided Generation'!$A$4:$K$52,'Mass Equivalents - States, Opt1'!BO$7-2018,0)</f>
        <v>45181811.532262139</v>
      </c>
      <c r="BP47" s="64">
        <f>MAX($BE47-VLOOKUP($A47,'RE Generation'!$A$4:$M$52,'Mass Equivalents - States, Opt1'!BP$7-2016,0)-VLOOKUP('Mass Equivalents - States, Opt1'!$A47,'EE Avoided Generation'!$A$4:$K$52,'Mass Equivalents - States, Opt1'!BP$7-2018,0)-VLOOKUP($A47,'Under Construction Nuclear'!$B$5:$D$53,3,0),0)+AC47+$T47+VLOOKUP('Mass Equivalents - States, Opt1'!$A47,'EE Avoided Generation'!$A$4:$K$52,'Mass Equivalents - States, Opt1'!BP$7-2018,0)</f>
        <v>45181811.532262132</v>
      </c>
      <c r="BQ47" s="65">
        <f>MAX($BE47-VLOOKUP($A47,'RE Generation'!$A$4:$M$52,'Mass Equivalents - States, Opt1'!BQ$7-2016,0)-VLOOKUP('Mass Equivalents - States, Opt1'!$A47,'EE Avoided Generation'!$A$4:$K$52,'Mass Equivalents - States, Opt1'!BQ$7-2018,0)-VLOOKUP($A47,'Under Construction Nuclear'!$B$5:$D$53,3,0),0)+AD47+$T47+VLOOKUP('Mass Equivalents - States, Opt1'!$A47,'EE Avoided Generation'!$A$4:$K$52,'Mass Equivalents - States, Opt1'!BQ$7-2018,0)</f>
        <v>45181811.532262132</v>
      </c>
      <c r="BR47" s="29"/>
      <c r="BS47" s="71">
        <f t="shared" si="42"/>
        <v>18873.047245711659</v>
      </c>
      <c r="BT47" s="72">
        <f t="shared" si="43"/>
        <v>18517.454363833418</v>
      </c>
      <c r="BU47" s="72">
        <f t="shared" si="44"/>
        <v>18132.630966720648</v>
      </c>
      <c r="BV47" s="72">
        <f t="shared" si="45"/>
        <v>17731.230126956671</v>
      </c>
      <c r="BW47" s="72">
        <f t="shared" si="46"/>
        <v>17347.535916350331</v>
      </c>
      <c r="BX47" s="72">
        <f t="shared" si="47"/>
        <v>16977.020034487723</v>
      </c>
      <c r="BY47" s="72">
        <f t="shared" si="48"/>
        <v>16615.520932297848</v>
      </c>
      <c r="BZ47" s="72">
        <f t="shared" si="49"/>
        <v>16259.18248118571</v>
      </c>
      <c r="CA47" s="72">
        <f t="shared" si="50"/>
        <v>15914.927132495659</v>
      </c>
      <c r="CB47" s="72">
        <f t="shared" si="51"/>
        <v>15816.353568096141</v>
      </c>
      <c r="CC47" s="75">
        <f t="shared" si="33"/>
        <v>17218.49027681358</v>
      </c>
      <c r="CD47" s="76">
        <f t="shared" si="34"/>
        <v>15816.353568096141</v>
      </c>
      <c r="CG47" s="63">
        <f>BH47+VLOOKUP($A47,'Incremental Demand for New Gen'!$AG$5:$AQ$53,'Mass Equivalents - States, Opt1'!BH$7-2018,0)</f>
        <v>53092363.869224504</v>
      </c>
      <c r="CH47" s="64">
        <f>BI47+VLOOKUP($A47,'Incremental Demand for New Gen'!$AG$5:$AQ$53,'Mass Equivalents - States, Opt1'!BI$7-2018,0)</f>
        <v>54132233.971049137</v>
      </c>
      <c r="CI47" s="64">
        <f>BJ47+VLOOKUP($A47,'Incremental Demand for New Gen'!$AG$5:$AQ$53,'Mass Equivalents - States, Opt1'!BJ$7-2018,0)</f>
        <v>55183879.779383637</v>
      </c>
      <c r="CJ47" s="64">
        <f>BK47+VLOOKUP($A47,'Incremental Demand for New Gen'!$AG$5:$AQ$53,'Mass Equivalents - States, Opt1'!BK$7-2018,0)</f>
        <v>56247434.644791245</v>
      </c>
      <c r="CK47" s="64">
        <f>BL47+VLOOKUP($A47,'Incremental Demand for New Gen'!$AG$5:$AQ$53,'Mass Equivalents - States, Opt1'!BL$7-2018,0)</f>
        <v>57323033.427924938</v>
      </c>
      <c r="CL47" s="64">
        <f>BM47+VLOOKUP($A47,'Incremental Demand for New Gen'!$AG$5:$AQ$53,'Mass Equivalents - States, Opt1'!BM$7-2018,0)</f>
        <v>58410812.516627833</v>
      </c>
      <c r="CM47" s="64">
        <f>BN47+VLOOKUP($A47,'Incremental Demand for New Gen'!$AG$5:$AQ$53,'Mass Equivalents - States, Opt1'!BN$7-2018,0)</f>
        <v>59510909.84322764</v>
      </c>
      <c r="CN47" s="64">
        <f>BO47+VLOOKUP($A47,'Incremental Demand for New Gen'!$AG$5:$AQ$53,'Mass Equivalents - States, Opt1'!BO$7-2018,0)</f>
        <v>60623464.90202646</v>
      </c>
      <c r="CO47" s="64">
        <f>BP47+VLOOKUP($A47,'Incremental Demand for New Gen'!$AG$5:$AQ$53,'Mass Equivalents - States, Opt1'!BP$7-2018,0)</f>
        <v>61748618.766989127</v>
      </c>
      <c r="CP47" s="65">
        <f>BQ47+VLOOKUP($A47,'Incremental Demand for New Gen'!$AG$5:$AQ$53,'Mass Equivalents - States, Opt1'!BQ$7-2018,0)</f>
        <v>62886514.109631538</v>
      </c>
      <c r="CQ47" s="29"/>
      <c r="CR47" s="71">
        <f t="shared" si="52"/>
        <v>22177.390806362397</v>
      </c>
      <c r="CS47" s="72">
        <f t="shared" si="53"/>
        <v>22185.723373563644</v>
      </c>
      <c r="CT47" s="72">
        <f t="shared" si="54"/>
        <v>22146.719961348615</v>
      </c>
      <c r="CU47" s="72">
        <f t="shared" si="55"/>
        <v>22073.842856557436</v>
      </c>
      <c r="CV47" s="72">
        <f t="shared" si="56"/>
        <v>22009.152521806616</v>
      </c>
      <c r="CW47" s="72">
        <f t="shared" si="57"/>
        <v>21947.803788642123</v>
      </c>
      <c r="CX47" s="72">
        <f t="shared" si="58"/>
        <v>21885.018211237082</v>
      </c>
      <c r="CY47" s="72">
        <f t="shared" si="59"/>
        <v>21816.034927682646</v>
      </c>
      <c r="CZ47" s="72">
        <f t="shared" si="60"/>
        <v>21750.450787197187</v>
      </c>
      <c r="DA47" s="72">
        <f t="shared" si="61"/>
        <v>22014.065131336723</v>
      </c>
      <c r="DB47" s="75">
        <f t="shared" si="35"/>
        <v>22000.62023657345</v>
      </c>
      <c r="DC47" s="76">
        <f t="shared" si="36"/>
        <v>22014.065131336723</v>
      </c>
    </row>
    <row r="48" spans="1:107" x14ac:dyDescent="0.25">
      <c r="A48" s="16" t="s">
        <v>82</v>
      </c>
      <c r="B48" s="17">
        <v>2266.0022379000002</v>
      </c>
      <c r="C48" s="17">
        <v>1131.2330233</v>
      </c>
      <c r="D48" s="17">
        <v>0</v>
      </c>
      <c r="E48" s="17">
        <v>0</v>
      </c>
      <c r="F48" s="17">
        <v>2923161</v>
      </c>
      <c r="G48" s="17">
        <v>27096</v>
      </c>
      <c r="H48" s="17">
        <v>0</v>
      </c>
      <c r="I48" s="17">
        <v>0</v>
      </c>
      <c r="J48" s="17">
        <v>324</v>
      </c>
      <c r="K48" s="17">
        <v>0</v>
      </c>
      <c r="L48" s="18">
        <f t="shared" si="24"/>
        <v>2130.042103626</v>
      </c>
      <c r="M48" s="19">
        <f t="shared" si="62"/>
        <v>958045.8</v>
      </c>
      <c r="N48" s="19">
        <f t="shared" si="63"/>
        <v>0</v>
      </c>
      <c r="O48" s="19">
        <f t="shared" si="2"/>
        <v>1992211.2</v>
      </c>
      <c r="P48" s="19">
        <f t="shared" si="25"/>
        <v>0</v>
      </c>
      <c r="Q48" s="19">
        <f t="shared" si="26"/>
        <v>0</v>
      </c>
      <c r="R48" s="20">
        <f t="shared" si="27"/>
        <v>9.5206773257775074E-3</v>
      </c>
      <c r="S48" s="20">
        <f t="shared" si="28"/>
        <v>0.7</v>
      </c>
      <c r="T48" s="21"/>
      <c r="U48" s="22">
        <v>1818849.89484</v>
      </c>
      <c r="V48" s="22">
        <v>1818849.89484</v>
      </c>
      <c r="W48" s="22">
        <v>1818849.89484</v>
      </c>
      <c r="X48" s="22">
        <v>1818849.89484</v>
      </c>
      <c r="Y48" s="22">
        <v>1818849.89484</v>
      </c>
      <c r="Z48" s="22">
        <v>1818849.89484</v>
      </c>
      <c r="AA48" s="22">
        <v>1818849.89484</v>
      </c>
      <c r="AB48" s="22">
        <v>1818849.89484</v>
      </c>
      <c r="AC48" s="22">
        <v>1818849.89484</v>
      </c>
      <c r="AD48" s="22">
        <v>1818849.89484</v>
      </c>
      <c r="AE48" s="23">
        <v>1.6003474697297845E-2</v>
      </c>
      <c r="AF48" s="23">
        <v>2.4110092585231172E-2</v>
      </c>
      <c r="AG48" s="23">
        <v>3.3569275788236125E-2</v>
      </c>
      <c r="AH48" s="23">
        <v>4.4228452949196959E-2</v>
      </c>
      <c r="AI48" s="23">
        <v>5.5676055361100783E-2</v>
      </c>
      <c r="AJ48" s="23">
        <v>6.6158554687825125E-2</v>
      </c>
      <c r="AK48" s="23">
        <v>7.5708448625496708E-2</v>
      </c>
      <c r="AL48" s="23">
        <v>8.4356751428672674E-2</v>
      </c>
      <c r="AM48" s="23">
        <v>9.2133053866746958E-2</v>
      </c>
      <c r="AN48" s="23">
        <v>9.9065580642971718E-2</v>
      </c>
      <c r="AO48" s="23">
        <v>0.82317432466696505</v>
      </c>
      <c r="AP48" s="24">
        <v>12615449.171</v>
      </c>
      <c r="AQ48" s="25">
        <f t="shared" si="41"/>
        <v>870.12631087357158</v>
      </c>
      <c r="AR48" s="25">
        <f t="shared" si="41"/>
        <v>855.5328760244048</v>
      </c>
      <c r="AS48" s="25">
        <f t="shared" si="41"/>
        <v>839.11152655494868</v>
      </c>
      <c r="AT48" s="25">
        <f t="shared" si="41"/>
        <v>821.34639053348701</v>
      </c>
      <c r="AU48" s="25">
        <f t="shared" si="41"/>
        <v>803.08634119088958</v>
      </c>
      <c r="AV48" s="25">
        <f t="shared" si="40"/>
        <v>787.06363943214933</v>
      </c>
      <c r="AW48" s="25">
        <f t="shared" si="40"/>
        <v>773.01306599339989</v>
      </c>
      <c r="AX48" s="25">
        <f t="shared" si="40"/>
        <v>760.71495264380758</v>
      </c>
      <c r="AY48" s="25">
        <f t="shared" si="40"/>
        <v>749.98624987147639</v>
      </c>
      <c r="AZ48" s="25">
        <f t="shared" si="40"/>
        <v>740.6736579425733</v>
      </c>
      <c r="BA48" s="26">
        <f t="shared" si="29"/>
        <v>800.06550110607088</v>
      </c>
      <c r="BB48" s="26">
        <f t="shared" si="30"/>
        <v>740.6736579425733</v>
      </c>
      <c r="BC48" s="69"/>
      <c r="BD48" s="70"/>
      <c r="BE48" s="79">
        <f t="shared" si="31"/>
        <v>2950257</v>
      </c>
      <c r="BF48" s="79">
        <f t="shared" si="32"/>
        <v>3018.4527300583959</v>
      </c>
      <c r="BG48" s="84"/>
      <c r="BH48" s="63">
        <f>MAX($BE48-VLOOKUP($A48,'RE Generation'!$A$4:$M$52,'Mass Equivalents - States, Opt1'!BH$7-2016,0)-VLOOKUP('Mass Equivalents - States, Opt1'!$A48,'EE Avoided Generation'!$A$4:$K$52,'Mass Equivalents - States, Opt1'!BH$7-2018,0)-VLOOKUP($A48,'Under Construction Nuclear'!$B$5:$D$53,3,0),0)+U48+$T48+VLOOKUP('Mass Equivalents - States, Opt1'!$A48,'EE Avoided Generation'!$A$4:$K$52,'Mass Equivalents - States, Opt1'!BH$7-2018,0)</f>
        <v>4769106.8948400002</v>
      </c>
      <c r="BI48" s="64">
        <f>MAX($BE48-VLOOKUP($A48,'RE Generation'!$A$4:$M$52,'Mass Equivalents - States, Opt1'!BI$7-2016,0)-VLOOKUP('Mass Equivalents - States, Opt1'!$A48,'EE Avoided Generation'!$A$4:$K$52,'Mass Equivalents - States, Opt1'!BI$7-2018,0)-VLOOKUP($A48,'Under Construction Nuclear'!$B$5:$D$53,3,0),0)+V48+$T48+VLOOKUP('Mass Equivalents - States, Opt1'!$A48,'EE Avoided Generation'!$A$4:$K$52,'Mass Equivalents - States, Opt1'!BI$7-2018,0)</f>
        <v>4769106.8948400002</v>
      </c>
      <c r="BJ48" s="64">
        <f>MAX($BE48-VLOOKUP($A48,'RE Generation'!$A$4:$M$52,'Mass Equivalents - States, Opt1'!BJ$7-2016,0)-VLOOKUP('Mass Equivalents - States, Opt1'!$A48,'EE Avoided Generation'!$A$4:$K$52,'Mass Equivalents - States, Opt1'!BJ$7-2018,0)-VLOOKUP($A48,'Under Construction Nuclear'!$B$5:$D$53,3,0),0)+W48+$T48+VLOOKUP('Mass Equivalents - States, Opt1'!$A48,'EE Avoided Generation'!$A$4:$K$52,'Mass Equivalents - States, Opt1'!BJ$7-2018,0)</f>
        <v>4769106.8948399993</v>
      </c>
      <c r="BK48" s="64">
        <f>MAX($BE48-VLOOKUP($A48,'RE Generation'!$A$4:$M$52,'Mass Equivalents - States, Opt1'!BK$7-2016,0)-VLOOKUP('Mass Equivalents - States, Opt1'!$A48,'EE Avoided Generation'!$A$4:$K$52,'Mass Equivalents - States, Opt1'!BK$7-2018,0)-VLOOKUP($A48,'Under Construction Nuclear'!$B$5:$D$53,3,0),0)+X48+$T48+VLOOKUP('Mass Equivalents - States, Opt1'!$A48,'EE Avoided Generation'!$A$4:$K$52,'Mass Equivalents - States, Opt1'!BK$7-2018,0)</f>
        <v>4769106.8948399993</v>
      </c>
      <c r="BL48" s="64">
        <f>MAX($BE48-VLOOKUP($A48,'RE Generation'!$A$4:$M$52,'Mass Equivalents - States, Opt1'!BL$7-2016,0)-VLOOKUP('Mass Equivalents - States, Opt1'!$A48,'EE Avoided Generation'!$A$4:$K$52,'Mass Equivalents - States, Opt1'!BL$7-2018,0)-VLOOKUP($A48,'Under Construction Nuclear'!$B$5:$D$53,3,0),0)+Y48+$T48+VLOOKUP('Mass Equivalents - States, Opt1'!$A48,'EE Avoided Generation'!$A$4:$K$52,'Mass Equivalents - States, Opt1'!BL$7-2018,0)</f>
        <v>4769106.8948399993</v>
      </c>
      <c r="BM48" s="64">
        <f>MAX($BE48-VLOOKUP($A48,'RE Generation'!$A$4:$M$52,'Mass Equivalents - States, Opt1'!BM$7-2016,0)-VLOOKUP('Mass Equivalents - States, Opt1'!$A48,'EE Avoided Generation'!$A$4:$K$52,'Mass Equivalents - States, Opt1'!BM$7-2018,0)-VLOOKUP($A48,'Under Construction Nuclear'!$B$5:$D$53,3,0),0)+Z48+$T48+VLOOKUP('Mass Equivalents - States, Opt1'!$A48,'EE Avoided Generation'!$A$4:$K$52,'Mass Equivalents - States, Opt1'!BM$7-2018,0)</f>
        <v>4769106.8948400002</v>
      </c>
      <c r="BN48" s="64">
        <f>MAX($BE48-VLOOKUP($A48,'RE Generation'!$A$4:$M$52,'Mass Equivalents - States, Opt1'!BN$7-2016,0)-VLOOKUP('Mass Equivalents - States, Opt1'!$A48,'EE Avoided Generation'!$A$4:$K$52,'Mass Equivalents - States, Opt1'!BN$7-2018,0)-VLOOKUP($A48,'Under Construction Nuclear'!$B$5:$D$53,3,0),0)+AA48+$T48+VLOOKUP('Mass Equivalents - States, Opt1'!$A48,'EE Avoided Generation'!$A$4:$K$52,'Mass Equivalents - States, Opt1'!BN$7-2018,0)</f>
        <v>4769106.8948400002</v>
      </c>
      <c r="BO48" s="64">
        <f>MAX($BE48-VLOOKUP($A48,'RE Generation'!$A$4:$M$52,'Mass Equivalents - States, Opt1'!BO$7-2016,0)-VLOOKUP('Mass Equivalents - States, Opt1'!$A48,'EE Avoided Generation'!$A$4:$K$52,'Mass Equivalents - States, Opt1'!BO$7-2018,0)-VLOOKUP($A48,'Under Construction Nuclear'!$B$5:$D$53,3,0),0)+AB48+$T48+VLOOKUP('Mass Equivalents - States, Opt1'!$A48,'EE Avoided Generation'!$A$4:$K$52,'Mass Equivalents - States, Opt1'!BO$7-2018,0)</f>
        <v>4769106.8948399993</v>
      </c>
      <c r="BP48" s="64">
        <f>MAX($BE48-VLOOKUP($A48,'RE Generation'!$A$4:$M$52,'Mass Equivalents - States, Opt1'!BP$7-2016,0)-VLOOKUP('Mass Equivalents - States, Opt1'!$A48,'EE Avoided Generation'!$A$4:$K$52,'Mass Equivalents - States, Opt1'!BP$7-2018,0)-VLOOKUP($A48,'Under Construction Nuclear'!$B$5:$D$53,3,0),0)+AC48+$T48+VLOOKUP('Mass Equivalents - States, Opt1'!$A48,'EE Avoided Generation'!$A$4:$K$52,'Mass Equivalents - States, Opt1'!BP$7-2018,0)</f>
        <v>4769106.8948400002</v>
      </c>
      <c r="BQ48" s="65">
        <f>MAX($BE48-VLOOKUP($A48,'RE Generation'!$A$4:$M$52,'Mass Equivalents - States, Opt1'!BQ$7-2016,0)-VLOOKUP('Mass Equivalents - States, Opt1'!$A48,'EE Avoided Generation'!$A$4:$K$52,'Mass Equivalents - States, Opt1'!BQ$7-2018,0)-VLOOKUP($A48,'Under Construction Nuclear'!$B$5:$D$53,3,0),0)+AD48+$T48+VLOOKUP('Mass Equivalents - States, Opt1'!$A48,'EE Avoided Generation'!$A$4:$K$52,'Mass Equivalents - States, Opt1'!BQ$7-2018,0)</f>
        <v>4769106.8948400002</v>
      </c>
      <c r="BR48" s="29"/>
      <c r="BS48" s="71">
        <f t="shared" si="42"/>
        <v>1882.2860123598825</v>
      </c>
      <c r="BT48" s="72">
        <f t="shared" si="43"/>
        <v>1850.7170114624219</v>
      </c>
      <c r="BU48" s="72">
        <f t="shared" si="44"/>
        <v>1815.1938052058508</v>
      </c>
      <c r="BV48" s="72">
        <f t="shared" si="45"/>
        <v>1776.7636754384885</v>
      </c>
      <c r="BW48" s="72">
        <f t="shared" si="46"/>
        <v>1737.2629328071503</v>
      </c>
      <c r="BX48" s="72">
        <f t="shared" si="47"/>
        <v>1702.602094462414</v>
      </c>
      <c r="BY48" s="72">
        <f t="shared" si="48"/>
        <v>1672.2074293213941</v>
      </c>
      <c r="BZ48" s="72">
        <f t="shared" si="49"/>
        <v>1645.6037438023179</v>
      </c>
      <c r="CA48" s="72">
        <f t="shared" si="50"/>
        <v>1622.3950591472694</v>
      </c>
      <c r="CB48" s="72">
        <f t="shared" si="51"/>
        <v>1602.2497523021157</v>
      </c>
      <c r="CC48" s="75">
        <f t="shared" si="33"/>
        <v>1730.7281516309304</v>
      </c>
      <c r="CD48" s="76">
        <f t="shared" si="34"/>
        <v>1602.2497523021157</v>
      </c>
      <c r="CG48" s="63">
        <f>BH48+VLOOKUP($A48,'Incremental Demand for New Gen'!$AG$5:$AQ$53,'Mass Equivalents - States, Opt1'!BH$7-2018,0)</f>
        <v>5313397.7851296598</v>
      </c>
      <c r="CH48" s="64">
        <f>BI48+VLOOKUP($A48,'Incremental Demand for New Gen'!$AG$5:$AQ$53,'Mass Equivalents - States, Opt1'!BI$7-2018,0)</f>
        <v>5383062.8574831057</v>
      </c>
      <c r="CI48" s="64">
        <f>BJ48+VLOOKUP($A48,'Incremental Demand for New Gen'!$AG$5:$AQ$53,'Mass Equivalents - States, Opt1'!BJ$7-2018,0)</f>
        <v>5453096.263965046</v>
      </c>
      <c r="CJ48" s="64">
        <f>BK48+VLOOKUP($A48,'Incremental Demand for New Gen'!$AG$5:$AQ$53,'Mass Equivalents - States, Opt1'!BK$7-2018,0)</f>
        <v>5523499.9520367533</v>
      </c>
      <c r="CK48" s="64">
        <f>BL48+VLOOKUP($A48,'Incremental Demand for New Gen'!$AG$5:$AQ$53,'Mass Equivalents - States, Opt1'!BL$7-2018,0)</f>
        <v>5594275.8794561364</v>
      </c>
      <c r="CL48" s="64">
        <f>BM48+VLOOKUP($A48,'Incremental Demand for New Gen'!$AG$5:$AQ$53,'Mass Equivalents - States, Opt1'!BM$7-2018,0)</f>
        <v>5665426.0143321967</v>
      </c>
      <c r="CM48" s="64">
        <f>BN48+VLOOKUP($A48,'Incremental Demand for New Gen'!$AG$5:$AQ$53,'Mass Equivalents - States, Opt1'!BN$7-2018,0)</f>
        <v>5736952.3351797406</v>
      </c>
      <c r="CN48" s="64">
        <f>BO48+VLOOKUP($A48,'Incremental Demand for New Gen'!$AG$5:$AQ$53,'Mass Equivalents - States, Opt1'!BO$7-2018,0)</f>
        <v>5808856.8309744122</v>
      </c>
      <c r="CO48" s="64">
        <f>BP48+VLOOKUP($A48,'Incremental Demand for New Gen'!$AG$5:$AQ$53,'Mass Equivalents - States, Opt1'!BP$7-2018,0)</f>
        <v>5881141.5012079924</v>
      </c>
      <c r="CP48" s="65">
        <f>BQ48+VLOOKUP($A48,'Incremental Demand for New Gen'!$AG$5:$AQ$53,'Mass Equivalents - States, Opt1'!BQ$7-2018,0)</f>
        <v>5953808.3559440002</v>
      </c>
      <c r="CQ48" s="29"/>
      <c r="CR48" s="71">
        <f t="shared" si="52"/>
        <v>2097.1084418079654</v>
      </c>
      <c r="CS48" s="72">
        <f t="shared" si="53"/>
        <v>2088.971001026332</v>
      </c>
      <c r="CT48" s="72">
        <f t="shared" si="54"/>
        <v>2075.5304453859608</v>
      </c>
      <c r="CU48" s="72">
        <f t="shared" si="55"/>
        <v>2057.8180134069707</v>
      </c>
      <c r="CV48" s="72">
        <f t="shared" si="56"/>
        <v>2037.8507623285984</v>
      </c>
      <c r="CW48" s="72">
        <f t="shared" si="57"/>
        <v>2022.5938337554207</v>
      </c>
      <c r="CX48" s="72">
        <f t="shared" si="58"/>
        <v>2011.5662173414407</v>
      </c>
      <c r="CY48" s="72">
        <f t="shared" si="59"/>
        <v>2004.3745630037643</v>
      </c>
      <c r="CZ48" s="72">
        <f t="shared" si="60"/>
        <v>2000.6963828026994</v>
      </c>
      <c r="DA48" s="72">
        <f t="shared" si="61"/>
        <v>2000.267172431576</v>
      </c>
      <c r="DB48" s="75">
        <f t="shared" si="35"/>
        <v>2039.6776833290733</v>
      </c>
      <c r="DC48" s="76">
        <f t="shared" si="36"/>
        <v>2000.267172431576</v>
      </c>
    </row>
    <row r="49" spans="1:107" x14ac:dyDescent="0.25">
      <c r="A49" s="16" t="s">
        <v>83</v>
      </c>
      <c r="B49" s="17">
        <v>2244.4869758</v>
      </c>
      <c r="C49" s="17">
        <v>812.86077809999995</v>
      </c>
      <c r="D49" s="17">
        <v>0</v>
      </c>
      <c r="E49" s="17">
        <v>0</v>
      </c>
      <c r="F49" s="17">
        <v>34373696</v>
      </c>
      <c r="G49" s="17">
        <v>6548896.9570000004</v>
      </c>
      <c r="H49" s="17">
        <v>0</v>
      </c>
      <c r="I49" s="17">
        <v>0</v>
      </c>
      <c r="J49" s="17">
        <v>1601.3</v>
      </c>
      <c r="K49" s="17">
        <v>0</v>
      </c>
      <c r="L49" s="18">
        <f t="shared" si="24"/>
        <v>2109.8177572519999</v>
      </c>
      <c r="M49" s="19">
        <f t="shared" si="62"/>
        <v>31076519.517000001</v>
      </c>
      <c r="N49" s="19">
        <f t="shared" si="63"/>
        <v>0</v>
      </c>
      <c r="O49" s="19">
        <f t="shared" si="2"/>
        <v>9846073.4399999995</v>
      </c>
      <c r="P49" s="19">
        <f t="shared" si="25"/>
        <v>0</v>
      </c>
      <c r="Q49" s="19">
        <f t="shared" si="26"/>
        <v>0</v>
      </c>
      <c r="R49" s="20">
        <f t="shared" si="27"/>
        <v>0.46558944515652534</v>
      </c>
      <c r="S49" s="20">
        <f t="shared" si="28"/>
        <v>0.7</v>
      </c>
      <c r="T49" s="21">
        <v>10416619.073491586</v>
      </c>
      <c r="U49" s="22">
        <v>1384845.6235017879</v>
      </c>
      <c r="V49" s="22">
        <v>1570871.6005484168</v>
      </c>
      <c r="W49" s="22">
        <v>1781886.4020162455</v>
      </c>
      <c r="X49" s="22">
        <v>2021246.770634796</v>
      </c>
      <c r="Y49" s="22">
        <v>2292760.3595710834</v>
      </c>
      <c r="Z49" s="22">
        <v>2600746.3031194261</v>
      </c>
      <c r="AA49" s="22">
        <v>2950103.923837339</v>
      </c>
      <c r="AB49" s="22">
        <v>3346390.6690943465</v>
      </c>
      <c r="AC49" s="22">
        <v>3795910.5168185099</v>
      </c>
      <c r="AD49" s="22">
        <v>4305814.2567654671</v>
      </c>
      <c r="AE49" s="23">
        <v>2.2118709592617098E-2</v>
      </c>
      <c r="AF49" s="23">
        <v>3.1384971539776818E-2</v>
      </c>
      <c r="AG49" s="23">
        <v>4.1842743208428478E-2</v>
      </c>
      <c r="AH49" s="23">
        <v>5.3317221509695985E-2</v>
      </c>
      <c r="AI49" s="23">
        <v>6.3798626486043397E-2</v>
      </c>
      <c r="AJ49" s="23">
        <v>7.3325602731252715E-2</v>
      </c>
      <c r="AK49" s="23">
        <v>8.1934979654626747E-2</v>
      </c>
      <c r="AL49" s="23">
        <v>8.9661852184241234E-2</v>
      </c>
      <c r="AM49" s="23">
        <v>9.6539657826840167E-2</v>
      </c>
      <c r="AN49" s="23">
        <v>0.10260025024814533</v>
      </c>
      <c r="AO49" s="23">
        <v>0.71806389617157262</v>
      </c>
      <c r="AP49" s="24">
        <v>103619720.54719999</v>
      </c>
      <c r="AQ49" s="25">
        <f t="shared" si="41"/>
        <v>1353.1273231658745</v>
      </c>
      <c r="AR49" s="25">
        <f t="shared" si="41"/>
        <v>1331.6839398630125</v>
      </c>
      <c r="AS49" s="25">
        <f t="shared" si="41"/>
        <v>1308.2603839845351</v>
      </c>
      <c r="AT49" s="25">
        <f t="shared" si="41"/>
        <v>1283.3143901727312</v>
      </c>
      <c r="AU49" s="25">
        <f t="shared" si="41"/>
        <v>1260.2022544121412</v>
      </c>
      <c r="AV49" s="25">
        <f t="shared" si="40"/>
        <v>1238.6278002932859</v>
      </c>
      <c r="AW49" s="25">
        <f t="shared" si="40"/>
        <v>1218.3221554820093</v>
      </c>
      <c r="AX49" s="25">
        <f t="shared" si="40"/>
        <v>1199.0375306693174</v>
      </c>
      <c r="AY49" s="25">
        <f t="shared" si="40"/>
        <v>1180.5422122451953</v>
      </c>
      <c r="AZ49" s="25">
        <f t="shared" si="40"/>
        <v>1162.6165528197819</v>
      </c>
      <c r="BA49" s="26">
        <f t="shared" si="29"/>
        <v>1253.5734543107883</v>
      </c>
      <c r="BB49" s="26">
        <f t="shared" si="30"/>
        <v>1162.6165528197819</v>
      </c>
      <c r="BC49" s="69"/>
      <c r="BD49" s="70"/>
      <c r="BE49" s="79">
        <f t="shared" si="31"/>
        <v>40922592.957000002</v>
      </c>
      <c r="BF49" s="79">
        <f t="shared" si="32"/>
        <v>37409.918470426783</v>
      </c>
      <c r="BG49" s="84"/>
      <c r="BH49" s="63">
        <f>MAX($BE49-VLOOKUP($A49,'RE Generation'!$A$4:$M$52,'Mass Equivalents - States, Opt1'!BH$7-2016,0)-VLOOKUP('Mass Equivalents - States, Opt1'!$A49,'EE Avoided Generation'!$A$4:$K$52,'Mass Equivalents - States, Opt1'!BH$7-2018,0)-VLOOKUP($A49,'Under Construction Nuclear'!$B$5:$D$53,3,0),0)+U49+$T49+VLOOKUP('Mass Equivalents - States, Opt1'!$A49,'EE Avoided Generation'!$A$4:$K$52,'Mass Equivalents - States, Opt1'!BH$7-2018,0)</f>
        <v>43305586.680491582</v>
      </c>
      <c r="BI49" s="64">
        <f>MAX($BE49-VLOOKUP($A49,'RE Generation'!$A$4:$M$52,'Mass Equivalents - States, Opt1'!BI$7-2016,0)-VLOOKUP('Mass Equivalents - States, Opt1'!$A49,'EE Avoided Generation'!$A$4:$K$52,'Mass Equivalents - States, Opt1'!BI$7-2018,0)-VLOOKUP($A49,'Under Construction Nuclear'!$B$5:$D$53,3,0),0)+V49+$T49+VLOOKUP('Mass Equivalents - States, Opt1'!$A49,'EE Avoided Generation'!$A$4:$K$52,'Mass Equivalents - States, Opt1'!BI$7-2018,0)</f>
        <v>43305586.680491589</v>
      </c>
      <c r="BJ49" s="64">
        <f>MAX($BE49-VLOOKUP($A49,'RE Generation'!$A$4:$M$52,'Mass Equivalents - States, Opt1'!BJ$7-2016,0)-VLOOKUP('Mass Equivalents - States, Opt1'!$A49,'EE Avoided Generation'!$A$4:$K$52,'Mass Equivalents - States, Opt1'!BJ$7-2018,0)-VLOOKUP($A49,'Under Construction Nuclear'!$B$5:$D$53,3,0),0)+W49+$T49+VLOOKUP('Mass Equivalents - States, Opt1'!$A49,'EE Avoided Generation'!$A$4:$K$52,'Mass Equivalents - States, Opt1'!BJ$7-2018,0)</f>
        <v>43305586.680491589</v>
      </c>
      <c r="BK49" s="64">
        <f>MAX($BE49-VLOOKUP($A49,'RE Generation'!$A$4:$M$52,'Mass Equivalents - States, Opt1'!BK$7-2016,0)-VLOOKUP('Mass Equivalents - States, Opt1'!$A49,'EE Avoided Generation'!$A$4:$K$52,'Mass Equivalents - States, Opt1'!BK$7-2018,0)-VLOOKUP($A49,'Under Construction Nuclear'!$B$5:$D$53,3,0),0)+X49+$T49+VLOOKUP('Mass Equivalents - States, Opt1'!$A49,'EE Avoided Generation'!$A$4:$K$52,'Mass Equivalents - States, Opt1'!BK$7-2018,0)</f>
        <v>43305586.680491582</v>
      </c>
      <c r="BL49" s="64">
        <f>MAX($BE49-VLOOKUP($A49,'RE Generation'!$A$4:$M$52,'Mass Equivalents - States, Opt1'!BL$7-2016,0)-VLOOKUP('Mass Equivalents - States, Opt1'!$A49,'EE Avoided Generation'!$A$4:$K$52,'Mass Equivalents - States, Opt1'!BL$7-2018,0)-VLOOKUP($A49,'Under Construction Nuclear'!$B$5:$D$53,3,0),0)+Y49+$T49+VLOOKUP('Mass Equivalents - States, Opt1'!$A49,'EE Avoided Generation'!$A$4:$K$52,'Mass Equivalents - States, Opt1'!BL$7-2018,0)</f>
        <v>43305586.680491589</v>
      </c>
      <c r="BM49" s="64">
        <f>MAX($BE49-VLOOKUP($A49,'RE Generation'!$A$4:$M$52,'Mass Equivalents - States, Opt1'!BM$7-2016,0)-VLOOKUP('Mass Equivalents - States, Opt1'!$A49,'EE Avoided Generation'!$A$4:$K$52,'Mass Equivalents - States, Opt1'!BM$7-2018,0)-VLOOKUP($A49,'Under Construction Nuclear'!$B$5:$D$53,3,0),0)+Z49+$T49+VLOOKUP('Mass Equivalents - States, Opt1'!$A49,'EE Avoided Generation'!$A$4:$K$52,'Mass Equivalents - States, Opt1'!BM$7-2018,0)</f>
        <v>43305586.680491582</v>
      </c>
      <c r="BN49" s="64">
        <f>MAX($BE49-VLOOKUP($A49,'RE Generation'!$A$4:$M$52,'Mass Equivalents - States, Opt1'!BN$7-2016,0)-VLOOKUP('Mass Equivalents - States, Opt1'!$A49,'EE Avoided Generation'!$A$4:$K$52,'Mass Equivalents - States, Opt1'!BN$7-2018,0)-VLOOKUP($A49,'Under Construction Nuclear'!$B$5:$D$53,3,0),0)+AA49+$T49+VLOOKUP('Mass Equivalents - States, Opt1'!$A49,'EE Avoided Generation'!$A$4:$K$52,'Mass Equivalents - States, Opt1'!BN$7-2018,0)</f>
        <v>43305586.680491589</v>
      </c>
      <c r="BO49" s="64">
        <f>MAX($BE49-VLOOKUP($A49,'RE Generation'!$A$4:$M$52,'Mass Equivalents - States, Opt1'!BO$7-2016,0)-VLOOKUP('Mass Equivalents - States, Opt1'!$A49,'EE Avoided Generation'!$A$4:$K$52,'Mass Equivalents - States, Opt1'!BO$7-2018,0)-VLOOKUP($A49,'Under Construction Nuclear'!$B$5:$D$53,3,0),0)+AB49+$T49+VLOOKUP('Mass Equivalents - States, Opt1'!$A49,'EE Avoided Generation'!$A$4:$K$52,'Mass Equivalents - States, Opt1'!BO$7-2018,0)</f>
        <v>43305586.680491589</v>
      </c>
      <c r="BP49" s="64">
        <f>MAX($BE49-VLOOKUP($A49,'RE Generation'!$A$4:$M$52,'Mass Equivalents - States, Opt1'!BP$7-2016,0)-VLOOKUP('Mass Equivalents - States, Opt1'!$A49,'EE Avoided Generation'!$A$4:$K$52,'Mass Equivalents - States, Opt1'!BP$7-2018,0)-VLOOKUP($A49,'Under Construction Nuclear'!$B$5:$D$53,3,0),0)+AC49+$T49+VLOOKUP('Mass Equivalents - States, Opt1'!$A49,'EE Avoided Generation'!$A$4:$K$52,'Mass Equivalents - States, Opt1'!BP$7-2018,0)</f>
        <v>43305586.680491589</v>
      </c>
      <c r="BQ49" s="65">
        <f>MAX($BE49-VLOOKUP($A49,'RE Generation'!$A$4:$M$52,'Mass Equivalents - States, Opt1'!BQ$7-2016,0)-VLOOKUP('Mass Equivalents - States, Opt1'!$A49,'EE Avoided Generation'!$A$4:$K$52,'Mass Equivalents - States, Opt1'!BQ$7-2018,0)-VLOOKUP($A49,'Under Construction Nuclear'!$B$5:$D$53,3,0),0)+AD49+$T49+VLOOKUP('Mass Equivalents - States, Opt1'!$A49,'EE Avoided Generation'!$A$4:$K$52,'Mass Equivalents - States, Opt1'!BQ$7-2018,0)</f>
        <v>43305586.680491582</v>
      </c>
      <c r="BR49" s="29"/>
      <c r="BS49" s="71">
        <f t="shared" si="42"/>
        <v>26579.624870998778</v>
      </c>
      <c r="BT49" s="72">
        <f t="shared" si="43"/>
        <v>26158.410197111629</v>
      </c>
      <c r="BU49" s="72">
        <f t="shared" si="44"/>
        <v>25698.29878132989</v>
      </c>
      <c r="BV49" s="72">
        <f t="shared" si="45"/>
        <v>25208.281954235834</v>
      </c>
      <c r="BW49" s="72">
        <f t="shared" si="46"/>
        <v>24754.287797169538</v>
      </c>
      <c r="BX49" s="72">
        <f t="shared" si="47"/>
        <v>24330.498485211741</v>
      </c>
      <c r="BY49" s="72">
        <f t="shared" si="48"/>
        <v>23931.632530317926</v>
      </c>
      <c r="BZ49" s="72">
        <f t="shared" si="49"/>
        <v>23552.822580563872</v>
      </c>
      <c r="CA49" s="72">
        <f t="shared" si="50"/>
        <v>23189.517060701437</v>
      </c>
      <c r="CB49" s="72">
        <f t="shared" si="51"/>
        <v>22837.401413536751</v>
      </c>
      <c r="CC49" s="75">
        <f t="shared" si="33"/>
        <v>24624.07756711774</v>
      </c>
      <c r="CD49" s="76">
        <f t="shared" si="34"/>
        <v>22837.401413536751</v>
      </c>
      <c r="CG49" s="63">
        <f>BH49+VLOOKUP($A49,'Incremental Demand for New Gen'!$AG$5:$AQ$53,'Mass Equivalents - States, Opt1'!BH$7-2018,0)</f>
        <v>51960351.08917129</v>
      </c>
      <c r="CH49" s="64">
        <f>BI49+VLOOKUP($A49,'Incremental Demand for New Gen'!$AG$5:$AQ$53,'Mass Equivalents - States, Opt1'!BI$7-2018,0)</f>
        <v>53091680.688147463</v>
      </c>
      <c r="CI49" s="64">
        <f>BJ49+VLOOKUP($A49,'Incremental Demand for New Gen'!$AG$5:$AQ$53,'Mass Equivalents - States, Opt1'!BJ$7-2018,0)</f>
        <v>54234377.16213578</v>
      </c>
      <c r="CJ49" s="64">
        <f>BK49+VLOOKUP($A49,'Incremental Demand for New Gen'!$AG$5:$AQ$53,'Mass Equivalents - States, Opt1'!BK$7-2018,0)</f>
        <v>55388554.71821405</v>
      </c>
      <c r="CK49" s="64">
        <f>BL49+VLOOKUP($A49,'Incremental Demand for New Gen'!$AG$5:$AQ$53,'Mass Equivalents - States, Opt1'!BL$7-2018,0)</f>
        <v>56554328.710939668</v>
      </c>
      <c r="CL49" s="64">
        <f>BM49+VLOOKUP($A49,'Incremental Demand for New Gen'!$AG$5:$AQ$53,'Mass Equivalents - States, Opt1'!BM$7-2018,0)</f>
        <v>57731815.653878637</v>
      </c>
      <c r="CM49" s="64">
        <f>BN49+VLOOKUP($A49,'Incremental Demand for New Gen'!$AG$5:$AQ$53,'Mass Equivalents - States, Opt1'!BN$7-2018,0)</f>
        <v>58921133.231250733</v>
      </c>
      <c r="CN49" s="64">
        <f>BO49+VLOOKUP($A49,'Incremental Demand for New Gen'!$AG$5:$AQ$53,'Mass Equivalents - States, Opt1'!BO$7-2018,0)</f>
        <v>60122400.30969128</v>
      </c>
      <c r="CO49" s="64">
        <f>BP49+VLOOKUP($A49,'Incremental Demand for New Gen'!$AG$5:$AQ$53,'Mass Equivalents - States, Opt1'!BP$7-2018,0)</f>
        <v>61335736.950131446</v>
      </c>
      <c r="CP49" s="65">
        <f>BQ49+VLOOKUP($A49,'Incremental Demand for New Gen'!$AG$5:$AQ$53,'Mass Equivalents - States, Opt1'!BQ$7-2018,0)</f>
        <v>62561264.419797689</v>
      </c>
      <c r="CQ49" s="29"/>
      <c r="CR49" s="71">
        <f t="shared" si="52"/>
        <v>31891.650615547976</v>
      </c>
      <c r="CS49" s="72">
        <f t="shared" si="53"/>
        <v>32069.625836988336</v>
      </c>
      <c r="CT49" s="72">
        <f t="shared" si="54"/>
        <v>32183.635770018351</v>
      </c>
      <c r="CU49" s="72">
        <f t="shared" si="55"/>
        <v>32241.805535989795</v>
      </c>
      <c r="CV49" s="72">
        <f t="shared" si="56"/>
        <v>32327.517911609015</v>
      </c>
      <c r="CW49" s="72">
        <f t="shared" si="57"/>
        <v>32435.626924504533</v>
      </c>
      <c r="CX49" s="72">
        <f t="shared" si="58"/>
        <v>32561.131642523447</v>
      </c>
      <c r="CY49" s="72">
        <f t="shared" si="59"/>
        <v>32699.065782422575</v>
      </c>
      <c r="CZ49" s="72">
        <f t="shared" si="60"/>
        <v>32844.402476979049</v>
      </c>
      <c r="DA49" s="72">
        <f t="shared" si="61"/>
        <v>32991.972122085463</v>
      </c>
      <c r="DB49" s="75">
        <f t="shared" si="35"/>
        <v>32424.643461866857</v>
      </c>
      <c r="DC49" s="76">
        <f t="shared" si="36"/>
        <v>32991.972122085463</v>
      </c>
    </row>
    <row r="50" spans="1:107" x14ac:dyDescent="0.25">
      <c r="A50" s="16" t="s">
        <v>84</v>
      </c>
      <c r="B50" s="17">
        <v>2238.6050648999999</v>
      </c>
      <c r="C50" s="17">
        <v>837.48263850000001</v>
      </c>
      <c r="D50" s="17">
        <v>1376.7255286</v>
      </c>
      <c r="E50" s="17">
        <v>23395881438.071762</v>
      </c>
      <c r="F50" s="17">
        <v>138705137.94580001</v>
      </c>
      <c r="G50" s="17">
        <v>148010277.7022</v>
      </c>
      <c r="H50" s="17">
        <v>20911868</v>
      </c>
      <c r="I50" s="17">
        <v>35025953.075113818</v>
      </c>
      <c r="J50" s="17">
        <v>37547.699999999997</v>
      </c>
      <c r="K50" s="17">
        <v>0</v>
      </c>
      <c r="L50" s="18">
        <f t="shared" si="24"/>
        <v>2104.2887610059997</v>
      </c>
      <c r="M50" s="19">
        <f t="shared" si="62"/>
        <v>66698232.66889292</v>
      </c>
      <c r="N50" s="19">
        <f t="shared" si="63"/>
        <v>10055753.219107125</v>
      </c>
      <c r="O50" s="19">
        <f t="shared" si="2"/>
        <v>230873297.75999996</v>
      </c>
      <c r="P50" s="19">
        <f t="shared" si="25"/>
        <v>23395881438.071762</v>
      </c>
      <c r="Q50" s="19">
        <f t="shared" si="26"/>
        <v>35025953.075113818</v>
      </c>
      <c r="R50" s="20">
        <f t="shared" si="27"/>
        <v>0.44876213662111297</v>
      </c>
      <c r="S50" s="20">
        <f t="shared" si="28"/>
        <v>0.7</v>
      </c>
      <c r="T50" s="21">
        <v>2291006.123597574</v>
      </c>
      <c r="U50" s="22">
        <v>46879905.640585087</v>
      </c>
      <c r="V50" s="22">
        <v>50793761.70586583</v>
      </c>
      <c r="W50" s="22">
        <v>55034373.320041567</v>
      </c>
      <c r="X50" s="22">
        <v>59629020.277502485</v>
      </c>
      <c r="Y50" s="22">
        <v>64607259.876982592</v>
      </c>
      <c r="Z50" s="22">
        <v>70001117.063243374</v>
      </c>
      <c r="AA50" s="22">
        <v>75845290.443089426</v>
      </c>
      <c r="AB50" s="22">
        <v>82177375.501014039</v>
      </c>
      <c r="AC50" s="22">
        <v>85962501.958000004</v>
      </c>
      <c r="AD50" s="22">
        <v>85962501.958000004</v>
      </c>
      <c r="AE50" s="23">
        <v>1.7819564615706177E-2</v>
      </c>
      <c r="AF50" s="23">
        <v>2.6232718655108574E-2</v>
      </c>
      <c r="AG50" s="23">
        <v>3.5930729210992454E-2</v>
      </c>
      <c r="AH50" s="23">
        <v>4.675920898737785E-2</v>
      </c>
      <c r="AI50" s="23">
        <v>5.779823045222629E-2</v>
      </c>
      <c r="AJ50" s="23">
        <v>6.7860476133727837E-2</v>
      </c>
      <c r="AK50" s="23">
        <v>7.6983942350949144E-2</v>
      </c>
      <c r="AL50" s="23">
        <v>8.5204837053023702E-2</v>
      </c>
      <c r="AM50" s="23">
        <v>9.2557659469418907E-2</v>
      </c>
      <c r="AN50" s="23">
        <v>9.9075276158266765E-2</v>
      </c>
      <c r="AO50" s="23">
        <v>0.98116863932860832</v>
      </c>
      <c r="AP50" s="24">
        <v>392523451.23809999</v>
      </c>
      <c r="AQ50" s="25">
        <f t="shared" si="41"/>
        <v>930.41555850281895</v>
      </c>
      <c r="AR50" s="25">
        <f t="shared" si="41"/>
        <v>914.0145088364693</v>
      </c>
      <c r="AS50" s="25">
        <f t="shared" si="41"/>
        <v>896.39841111023611</v>
      </c>
      <c r="AT50" s="25">
        <f t="shared" si="41"/>
        <v>877.80563808121804</v>
      </c>
      <c r="AU50" s="25">
        <f t="shared" si="41"/>
        <v>859.04305623154403</v>
      </c>
      <c r="AV50" s="25">
        <f t="shared" si="40"/>
        <v>840.99058078808559</v>
      </c>
      <c r="AW50" s="25">
        <f t="shared" si="40"/>
        <v>823.51890847283926</v>
      </c>
      <c r="AX50" s="25">
        <f t="shared" si="40"/>
        <v>806.51231317596626</v>
      </c>
      <c r="AY50" s="25">
        <f t="shared" si="40"/>
        <v>795.07389256981094</v>
      </c>
      <c r="AZ50" s="25">
        <f t="shared" si="40"/>
        <v>790.81914614755067</v>
      </c>
      <c r="BA50" s="26">
        <f t="shared" si="29"/>
        <v>853.45920139165389</v>
      </c>
      <c r="BB50" s="26">
        <f t="shared" si="30"/>
        <v>790.81914614755067</v>
      </c>
      <c r="BC50" s="69"/>
      <c r="BD50" s="70"/>
      <c r="BE50" s="79">
        <f t="shared" si="31"/>
        <v>342653236.72311383</v>
      </c>
      <c r="BF50" s="79">
        <f t="shared" si="32"/>
        <v>220740.01242511746</v>
      </c>
      <c r="BG50" s="84"/>
      <c r="BH50" s="63">
        <f>MAX($BE50-VLOOKUP($A50,'RE Generation'!$A$4:$M$52,'Mass Equivalents - States, Opt1'!BH$7-2016,0)-VLOOKUP('Mass Equivalents - States, Opt1'!$A50,'EE Avoided Generation'!$A$4:$K$52,'Mass Equivalents - States, Opt1'!BH$7-2018,0)-VLOOKUP($A50,'Under Construction Nuclear'!$B$5:$D$53,3,0),0)+U50+$T50+VLOOKUP('Mass Equivalents - States, Opt1'!$A50,'EE Avoided Generation'!$A$4:$K$52,'Mass Equivalents - States, Opt1'!BH$7-2018,0)</f>
        <v>378960939.37671137</v>
      </c>
      <c r="BI50" s="64">
        <f>MAX($BE50-VLOOKUP($A50,'RE Generation'!$A$4:$M$52,'Mass Equivalents - States, Opt1'!BI$7-2016,0)-VLOOKUP('Mass Equivalents - States, Opt1'!$A50,'EE Avoided Generation'!$A$4:$K$52,'Mass Equivalents - States, Opt1'!BI$7-2018,0)-VLOOKUP($A50,'Under Construction Nuclear'!$B$5:$D$53,3,0),0)+V50+$T50+VLOOKUP('Mass Equivalents - States, Opt1'!$A50,'EE Avoided Generation'!$A$4:$K$52,'Mass Equivalents - States, Opt1'!BI$7-2018,0)</f>
        <v>378960939.37671143</v>
      </c>
      <c r="BJ50" s="64">
        <f>MAX($BE50-VLOOKUP($A50,'RE Generation'!$A$4:$M$52,'Mass Equivalents - States, Opt1'!BJ$7-2016,0)-VLOOKUP('Mass Equivalents - States, Opt1'!$A50,'EE Avoided Generation'!$A$4:$K$52,'Mass Equivalents - States, Opt1'!BJ$7-2018,0)-VLOOKUP($A50,'Under Construction Nuclear'!$B$5:$D$53,3,0),0)+W50+$T50+VLOOKUP('Mass Equivalents - States, Opt1'!$A50,'EE Avoided Generation'!$A$4:$K$52,'Mass Equivalents - States, Opt1'!BJ$7-2018,0)</f>
        <v>378960939.37671137</v>
      </c>
      <c r="BK50" s="64">
        <f>MAX($BE50-VLOOKUP($A50,'RE Generation'!$A$4:$M$52,'Mass Equivalents - States, Opt1'!BK$7-2016,0)-VLOOKUP('Mass Equivalents - States, Opt1'!$A50,'EE Avoided Generation'!$A$4:$K$52,'Mass Equivalents - States, Opt1'!BK$7-2018,0)-VLOOKUP($A50,'Under Construction Nuclear'!$B$5:$D$53,3,0),0)+X50+$T50+VLOOKUP('Mass Equivalents - States, Opt1'!$A50,'EE Avoided Generation'!$A$4:$K$52,'Mass Equivalents - States, Opt1'!BK$7-2018,0)</f>
        <v>378960939.37671137</v>
      </c>
      <c r="BL50" s="64">
        <f>MAX($BE50-VLOOKUP($A50,'RE Generation'!$A$4:$M$52,'Mass Equivalents - States, Opt1'!BL$7-2016,0)-VLOOKUP('Mass Equivalents - States, Opt1'!$A50,'EE Avoided Generation'!$A$4:$K$52,'Mass Equivalents - States, Opt1'!BL$7-2018,0)-VLOOKUP($A50,'Under Construction Nuclear'!$B$5:$D$53,3,0),0)+Y50+$T50+VLOOKUP('Mass Equivalents - States, Opt1'!$A50,'EE Avoided Generation'!$A$4:$K$52,'Mass Equivalents - States, Opt1'!BL$7-2018,0)</f>
        <v>378960939.37671137</v>
      </c>
      <c r="BM50" s="64">
        <f>MAX($BE50-VLOOKUP($A50,'RE Generation'!$A$4:$M$52,'Mass Equivalents - States, Opt1'!BM$7-2016,0)-VLOOKUP('Mass Equivalents - States, Opt1'!$A50,'EE Avoided Generation'!$A$4:$K$52,'Mass Equivalents - States, Opt1'!BM$7-2018,0)-VLOOKUP($A50,'Under Construction Nuclear'!$B$5:$D$53,3,0),0)+Z50+$T50+VLOOKUP('Mass Equivalents - States, Opt1'!$A50,'EE Avoided Generation'!$A$4:$K$52,'Mass Equivalents - States, Opt1'!BM$7-2018,0)</f>
        <v>378960939.37671143</v>
      </c>
      <c r="BN50" s="64">
        <f>MAX($BE50-VLOOKUP($A50,'RE Generation'!$A$4:$M$52,'Mass Equivalents - States, Opt1'!BN$7-2016,0)-VLOOKUP('Mass Equivalents - States, Opt1'!$A50,'EE Avoided Generation'!$A$4:$K$52,'Mass Equivalents - States, Opt1'!BN$7-2018,0)-VLOOKUP($A50,'Under Construction Nuclear'!$B$5:$D$53,3,0),0)+AA50+$T50+VLOOKUP('Mass Equivalents - States, Opt1'!$A50,'EE Avoided Generation'!$A$4:$K$52,'Mass Equivalents - States, Opt1'!BN$7-2018,0)</f>
        <v>378960939.37671137</v>
      </c>
      <c r="BO50" s="64">
        <f>MAX($BE50-VLOOKUP($A50,'RE Generation'!$A$4:$M$52,'Mass Equivalents - States, Opt1'!BO$7-2016,0)-VLOOKUP('Mass Equivalents - States, Opt1'!$A50,'EE Avoided Generation'!$A$4:$K$52,'Mass Equivalents - States, Opt1'!BO$7-2018,0)-VLOOKUP($A50,'Under Construction Nuclear'!$B$5:$D$53,3,0),0)+AB50+$T50+VLOOKUP('Mass Equivalents - States, Opt1'!$A50,'EE Avoided Generation'!$A$4:$K$52,'Mass Equivalents - States, Opt1'!BO$7-2018,0)</f>
        <v>378960939.37671143</v>
      </c>
      <c r="BP50" s="64">
        <f>MAX($BE50-VLOOKUP($A50,'RE Generation'!$A$4:$M$52,'Mass Equivalents - States, Opt1'!BP$7-2016,0)-VLOOKUP('Mass Equivalents - States, Opt1'!$A50,'EE Avoided Generation'!$A$4:$K$52,'Mass Equivalents - States, Opt1'!BP$7-2018,0)-VLOOKUP($A50,'Under Construction Nuclear'!$B$5:$D$53,3,0),0)+AC50+$T50+VLOOKUP('Mass Equivalents - States, Opt1'!$A50,'EE Avoided Generation'!$A$4:$K$52,'Mass Equivalents - States, Opt1'!BP$7-2018,0)</f>
        <v>378960939.37671137</v>
      </c>
      <c r="BQ50" s="65">
        <f>MAX($BE50-VLOOKUP($A50,'RE Generation'!$A$4:$M$52,'Mass Equivalents - States, Opt1'!BQ$7-2016,0)-VLOOKUP('Mass Equivalents - States, Opt1'!$A50,'EE Avoided Generation'!$A$4:$K$52,'Mass Equivalents - States, Opt1'!BQ$7-2018,0)-VLOOKUP($A50,'Under Construction Nuclear'!$B$5:$D$53,3,0),0)+AD50+$T50+VLOOKUP('Mass Equivalents - States, Opt1'!$A50,'EE Avoided Generation'!$A$4:$K$52,'Mass Equivalents - States, Opt1'!BQ$7-2018,0)</f>
        <v>378960939.37671137</v>
      </c>
      <c r="BR50" s="29"/>
      <c r="BS50" s="71">
        <f t="shared" si="42"/>
        <v>159932.84741176979</v>
      </c>
      <c r="BT50" s="72">
        <f t="shared" si="43"/>
        <v>157113.60546153621</v>
      </c>
      <c r="BU50" s="72">
        <f t="shared" si="44"/>
        <v>154085.50404610619</v>
      </c>
      <c r="BV50" s="72">
        <f t="shared" si="45"/>
        <v>150889.51801100958</v>
      </c>
      <c r="BW50" s="72">
        <f t="shared" si="46"/>
        <v>147664.34285933495</v>
      </c>
      <c r="BX50" s="72">
        <f t="shared" si="47"/>
        <v>144561.23073473843</v>
      </c>
      <c r="BY50" s="72">
        <f t="shared" si="48"/>
        <v>141557.9551801903</v>
      </c>
      <c r="BZ50" s="72">
        <f t="shared" si="49"/>
        <v>138634.6235723384</v>
      </c>
      <c r="CA50" s="72">
        <f t="shared" si="50"/>
        <v>136668.4277572344</v>
      </c>
      <c r="CB50" s="72">
        <f t="shared" si="51"/>
        <v>135937.06239676889</v>
      </c>
      <c r="CC50" s="75">
        <f t="shared" si="33"/>
        <v>146704.51174310272</v>
      </c>
      <c r="CD50" s="76">
        <f t="shared" si="34"/>
        <v>135937.06239676889</v>
      </c>
      <c r="CG50" s="63">
        <f>BH50+VLOOKUP($A50,'Incremental Demand for New Gen'!$AG$5:$AQ$53,'Mass Equivalents - States, Opt1'!BH$7-2018,0)</f>
        <v>407735054.72781456</v>
      </c>
      <c r="CH50" s="64">
        <f>BI50+VLOOKUP($A50,'Incremental Demand for New Gen'!$AG$5:$AQ$53,'Mass Equivalents - States, Opt1'!BI$7-2018,0)</f>
        <v>411476654.98882192</v>
      </c>
      <c r="CI50" s="64">
        <f>BJ50+VLOOKUP($A50,'Incremental Demand for New Gen'!$AG$5:$AQ$53,'Mass Equivalents - States, Opt1'!BJ$7-2018,0)</f>
        <v>415251396.13041461</v>
      </c>
      <c r="CJ50" s="64">
        <f>BK50+VLOOKUP($A50,'Incremental Demand for New Gen'!$AG$5:$AQ$53,'Mass Equivalents - States, Opt1'!BK$7-2018,0)</f>
        <v>419059571.69489807</v>
      </c>
      <c r="CK50" s="64">
        <f>BL50+VLOOKUP($A50,'Incremental Demand for New Gen'!$AG$5:$AQ$53,'Mass Equivalents - States, Opt1'!BL$7-2018,0)</f>
        <v>422901477.82460153</v>
      </c>
      <c r="CL50" s="64">
        <f>BM50+VLOOKUP($A50,'Incremental Demand for New Gen'!$AG$5:$AQ$53,'Mass Equivalents - States, Opt1'!BM$7-2018,0)</f>
        <v>426777413.2849077</v>
      </c>
      <c r="CM50" s="64">
        <f>BN50+VLOOKUP($A50,'Incremental Demand for New Gen'!$AG$5:$AQ$53,'Mass Equivalents - States, Opt1'!BN$7-2018,0)</f>
        <v>430687679.48748612</v>
      </c>
      <c r="CN50" s="64">
        <f>BO50+VLOOKUP($A50,'Incremental Demand for New Gen'!$AG$5:$AQ$53,'Mass Equivalents - States, Opt1'!BO$7-2018,0)</f>
        <v>434632580.51373291</v>
      </c>
      <c r="CO50" s="64">
        <f>BP50+VLOOKUP($A50,'Incremental Demand for New Gen'!$AG$5:$AQ$53,'Mass Equivalents - States, Opt1'!BP$7-2018,0)</f>
        <v>438612423.13841665</v>
      </c>
      <c r="CP50" s="65">
        <f>BQ50+VLOOKUP($A50,'Incremental Demand for New Gen'!$AG$5:$AQ$53,'Mass Equivalents - States, Opt1'!BQ$7-2018,0)</f>
        <v>442627516.85353577</v>
      </c>
      <c r="CQ50" s="29"/>
      <c r="CR50" s="71">
        <f t="shared" si="52"/>
        <v>172076.38444074581</v>
      </c>
      <c r="CS50" s="72">
        <f t="shared" si="53"/>
        <v>170594.31226573355</v>
      </c>
      <c r="CT50" s="72">
        <f t="shared" si="54"/>
        <v>168841.20243062792</v>
      </c>
      <c r="CU50" s="72">
        <f t="shared" si="55"/>
        <v>166855.44661922779</v>
      </c>
      <c r="CV50" s="72">
        <f t="shared" si="56"/>
        <v>164786.03024343526</v>
      </c>
      <c r="CW50" s="72">
        <f t="shared" si="57"/>
        <v>162801.65500889558</v>
      </c>
      <c r="CX50" s="72">
        <f t="shared" si="58"/>
        <v>160880.08260118961</v>
      </c>
      <c r="CY50" s="72">
        <f t="shared" si="59"/>
        <v>159000.88354989528</v>
      </c>
      <c r="CZ50" s="72">
        <f t="shared" si="60"/>
        <v>158181.13171165009</v>
      </c>
      <c r="DA50" s="72">
        <f t="shared" si="61"/>
        <v>158774.89768736731</v>
      </c>
      <c r="DB50" s="75">
        <f t="shared" si="35"/>
        <v>164279.20265587684</v>
      </c>
      <c r="DC50" s="76">
        <f t="shared" si="36"/>
        <v>158774.89768736731</v>
      </c>
    </row>
    <row r="51" spans="1:107" x14ac:dyDescent="0.25">
      <c r="A51" s="16" t="s">
        <v>85</v>
      </c>
      <c r="B51" s="17">
        <v>2070.8755593999999</v>
      </c>
      <c r="C51" s="17">
        <v>884.48694069999999</v>
      </c>
      <c r="D51" s="17">
        <v>1866.9743576999999</v>
      </c>
      <c r="E51" s="17">
        <v>0</v>
      </c>
      <c r="F51" s="17">
        <v>27332140</v>
      </c>
      <c r="G51" s="17">
        <v>5447362</v>
      </c>
      <c r="H51" s="17">
        <v>120348</v>
      </c>
      <c r="I51" s="17">
        <v>0</v>
      </c>
      <c r="J51" s="17">
        <v>1953.4</v>
      </c>
      <c r="K51" s="17">
        <v>0</v>
      </c>
      <c r="L51" s="18">
        <f t="shared" si="24"/>
        <v>1946.6230258359999</v>
      </c>
      <c r="M51" s="19">
        <f t="shared" si="62"/>
        <v>20797210.471572965</v>
      </c>
      <c r="N51" s="19">
        <f t="shared" si="63"/>
        <v>91573.608427033643</v>
      </c>
      <c r="O51" s="19">
        <f t="shared" si="2"/>
        <v>12011065.92</v>
      </c>
      <c r="P51" s="19">
        <f t="shared" si="25"/>
        <v>0</v>
      </c>
      <c r="Q51" s="19">
        <f t="shared" si="26"/>
        <v>0</v>
      </c>
      <c r="R51" s="20">
        <f t="shared" si="27"/>
        <v>0.31747002517491801</v>
      </c>
      <c r="S51" s="20">
        <f t="shared" si="28"/>
        <v>0.7</v>
      </c>
      <c r="T51" s="21"/>
      <c r="U51" s="22">
        <v>1393352.8905496513</v>
      </c>
      <c r="V51" s="22">
        <v>1478275.8558171683</v>
      </c>
      <c r="W51" s="22">
        <v>1568374.7604168833</v>
      </c>
      <c r="X51" s="22">
        <v>1663965.0708175683</v>
      </c>
      <c r="Y51" s="22">
        <v>1765381.4807405835</v>
      </c>
      <c r="Z51" s="22">
        <v>1872979.0830347941</v>
      </c>
      <c r="AA51" s="22">
        <v>1987134.6129756719</v>
      </c>
      <c r="AB51" s="22">
        <v>2108247.7673417875</v>
      </c>
      <c r="AC51" s="22">
        <v>2236742.6038872222</v>
      </c>
      <c r="AD51" s="22">
        <v>2373069.0261099213</v>
      </c>
      <c r="AE51" s="23">
        <v>3.6246672129865529E-2</v>
      </c>
      <c r="AF51" s="23">
        <v>4.8191435133791996E-2</v>
      </c>
      <c r="AG51" s="23">
        <v>5.9116781491747379E-2</v>
      </c>
      <c r="AH51" s="23">
        <v>6.9063949874713079E-2</v>
      </c>
      <c r="AI51" s="23">
        <v>7.8072222274920333E-2</v>
      </c>
      <c r="AJ51" s="23">
        <v>8.6179013010140498E-2</v>
      </c>
      <c r="AK51" s="23">
        <v>9.3419953635914196E-2</v>
      </c>
      <c r="AL51" s="23">
        <v>9.9828973953341782E-2</v>
      </c>
      <c r="AM51" s="23">
        <v>0.10543837929144889</v>
      </c>
      <c r="AN51" s="23">
        <v>0.11027892423492704</v>
      </c>
      <c r="AO51" s="23">
        <v>1.2729309156223021</v>
      </c>
      <c r="AP51" s="24">
        <v>31955592.936799999</v>
      </c>
      <c r="AQ51" s="25">
        <f t="shared" si="41"/>
        <v>1446.4534480354744</v>
      </c>
      <c r="AR51" s="25">
        <f t="shared" si="41"/>
        <v>1427.6620574384879</v>
      </c>
      <c r="AS51" s="25">
        <f t="shared" si="41"/>
        <v>1410.414792448842</v>
      </c>
      <c r="AT51" s="25">
        <f t="shared" si="41"/>
        <v>1394.5558138747676</v>
      </c>
      <c r="AU51" s="25">
        <f t="shared" si="41"/>
        <v>1379.9467420118249</v>
      </c>
      <c r="AV51" s="25">
        <f t="shared" si="40"/>
        <v>1366.4639728732429</v>
      </c>
      <c r="AW51" s="25">
        <f t="shared" si="40"/>
        <v>1353.9964476850048</v>
      </c>
      <c r="AX51" s="25">
        <f t="shared" si="40"/>
        <v>1342.443787511856</v>
      </c>
      <c r="AY51" s="25">
        <f t="shared" si="40"/>
        <v>1331.7147240242418</v>
      </c>
      <c r="AZ51" s="25">
        <f t="shared" si="40"/>
        <v>1321.7257720430241</v>
      </c>
      <c r="BA51" s="26">
        <f t="shared" si="29"/>
        <v>1377.5377557946767</v>
      </c>
      <c r="BB51" s="26">
        <f t="shared" si="30"/>
        <v>1321.7257720430241</v>
      </c>
      <c r="BC51" s="69"/>
      <c r="BD51" s="70"/>
      <c r="BE51" s="79">
        <f t="shared" si="31"/>
        <v>32899850</v>
      </c>
      <c r="BF51" s="79">
        <f t="shared" si="32"/>
        <v>27961.402823327844</v>
      </c>
      <c r="BG51" s="84"/>
      <c r="BH51" s="63">
        <f>MAX($BE51-VLOOKUP($A51,'RE Generation'!$A$4:$M$52,'Mass Equivalents - States, Opt1'!BH$7-2016,0)-VLOOKUP('Mass Equivalents - States, Opt1'!$A51,'EE Avoided Generation'!$A$4:$K$52,'Mass Equivalents - States, Opt1'!BH$7-2018,0)-VLOOKUP($A51,'Under Construction Nuclear'!$B$5:$D$53,3,0),0)+U51+$T51+VLOOKUP('Mass Equivalents - States, Opt1'!$A51,'EE Avoided Generation'!$A$4:$K$52,'Mass Equivalents - States, Opt1'!BH$7-2018,0)</f>
        <v>33999573.940000005</v>
      </c>
      <c r="BI51" s="64">
        <f>MAX($BE51-VLOOKUP($A51,'RE Generation'!$A$4:$M$52,'Mass Equivalents - States, Opt1'!BI$7-2016,0)-VLOOKUP('Mass Equivalents - States, Opt1'!$A51,'EE Avoided Generation'!$A$4:$K$52,'Mass Equivalents - States, Opt1'!BI$7-2018,0)-VLOOKUP($A51,'Under Construction Nuclear'!$B$5:$D$53,3,0),0)+V51+$T51+VLOOKUP('Mass Equivalents - States, Opt1'!$A51,'EE Avoided Generation'!$A$4:$K$52,'Mass Equivalents - States, Opt1'!BI$7-2018,0)</f>
        <v>33999573.940000005</v>
      </c>
      <c r="BJ51" s="64">
        <f>MAX($BE51-VLOOKUP($A51,'RE Generation'!$A$4:$M$52,'Mass Equivalents - States, Opt1'!BJ$7-2016,0)-VLOOKUP('Mass Equivalents - States, Opt1'!$A51,'EE Avoided Generation'!$A$4:$K$52,'Mass Equivalents - States, Opt1'!BJ$7-2018,0)-VLOOKUP($A51,'Under Construction Nuclear'!$B$5:$D$53,3,0),0)+W51+$T51+VLOOKUP('Mass Equivalents - States, Opt1'!$A51,'EE Avoided Generation'!$A$4:$K$52,'Mass Equivalents - States, Opt1'!BJ$7-2018,0)</f>
        <v>33999573.940000005</v>
      </c>
      <c r="BK51" s="64">
        <f>MAX($BE51-VLOOKUP($A51,'RE Generation'!$A$4:$M$52,'Mass Equivalents - States, Opt1'!BK$7-2016,0)-VLOOKUP('Mass Equivalents - States, Opt1'!$A51,'EE Avoided Generation'!$A$4:$K$52,'Mass Equivalents - States, Opt1'!BK$7-2018,0)-VLOOKUP($A51,'Under Construction Nuclear'!$B$5:$D$53,3,0),0)+X51+$T51+VLOOKUP('Mass Equivalents - States, Opt1'!$A51,'EE Avoided Generation'!$A$4:$K$52,'Mass Equivalents - States, Opt1'!BK$7-2018,0)</f>
        <v>33999573.939999998</v>
      </c>
      <c r="BL51" s="64">
        <f>MAX($BE51-VLOOKUP($A51,'RE Generation'!$A$4:$M$52,'Mass Equivalents - States, Opt1'!BL$7-2016,0)-VLOOKUP('Mass Equivalents - States, Opt1'!$A51,'EE Avoided Generation'!$A$4:$K$52,'Mass Equivalents - States, Opt1'!BL$7-2018,0)-VLOOKUP($A51,'Under Construction Nuclear'!$B$5:$D$53,3,0),0)+Y51+$T51+VLOOKUP('Mass Equivalents - States, Opt1'!$A51,'EE Avoided Generation'!$A$4:$K$52,'Mass Equivalents - States, Opt1'!BL$7-2018,0)</f>
        <v>33999573.940000005</v>
      </c>
      <c r="BM51" s="64">
        <f>MAX($BE51-VLOOKUP($A51,'RE Generation'!$A$4:$M$52,'Mass Equivalents - States, Opt1'!BM$7-2016,0)-VLOOKUP('Mass Equivalents - States, Opt1'!$A51,'EE Avoided Generation'!$A$4:$K$52,'Mass Equivalents - States, Opt1'!BM$7-2018,0)-VLOOKUP($A51,'Under Construction Nuclear'!$B$5:$D$53,3,0),0)+Z51+$T51+VLOOKUP('Mass Equivalents - States, Opt1'!$A51,'EE Avoided Generation'!$A$4:$K$52,'Mass Equivalents - States, Opt1'!BM$7-2018,0)</f>
        <v>33999573.939999998</v>
      </c>
      <c r="BN51" s="64">
        <f>MAX($BE51-VLOOKUP($A51,'RE Generation'!$A$4:$M$52,'Mass Equivalents - States, Opt1'!BN$7-2016,0)-VLOOKUP('Mass Equivalents - States, Opt1'!$A51,'EE Avoided Generation'!$A$4:$K$52,'Mass Equivalents - States, Opt1'!BN$7-2018,0)-VLOOKUP($A51,'Under Construction Nuclear'!$B$5:$D$53,3,0),0)+AA51+$T51+VLOOKUP('Mass Equivalents - States, Opt1'!$A51,'EE Avoided Generation'!$A$4:$K$52,'Mass Equivalents - States, Opt1'!BN$7-2018,0)</f>
        <v>33999573.939999998</v>
      </c>
      <c r="BO51" s="64">
        <f>MAX($BE51-VLOOKUP($A51,'RE Generation'!$A$4:$M$52,'Mass Equivalents - States, Opt1'!BO$7-2016,0)-VLOOKUP('Mass Equivalents - States, Opt1'!$A51,'EE Avoided Generation'!$A$4:$K$52,'Mass Equivalents - States, Opt1'!BO$7-2018,0)-VLOOKUP($A51,'Under Construction Nuclear'!$B$5:$D$53,3,0),0)+AB51+$T51+VLOOKUP('Mass Equivalents - States, Opt1'!$A51,'EE Avoided Generation'!$A$4:$K$52,'Mass Equivalents - States, Opt1'!BO$7-2018,0)</f>
        <v>33999573.939999998</v>
      </c>
      <c r="BP51" s="64">
        <f>MAX($BE51-VLOOKUP($A51,'RE Generation'!$A$4:$M$52,'Mass Equivalents - States, Opt1'!BP$7-2016,0)-VLOOKUP('Mass Equivalents - States, Opt1'!$A51,'EE Avoided Generation'!$A$4:$K$52,'Mass Equivalents - States, Opt1'!BP$7-2018,0)-VLOOKUP($A51,'Under Construction Nuclear'!$B$5:$D$53,3,0),0)+AC51+$T51+VLOOKUP('Mass Equivalents - States, Opt1'!$A51,'EE Avoided Generation'!$A$4:$K$52,'Mass Equivalents - States, Opt1'!BP$7-2018,0)</f>
        <v>33999573.940000005</v>
      </c>
      <c r="BQ51" s="65">
        <f>MAX($BE51-VLOOKUP($A51,'RE Generation'!$A$4:$M$52,'Mass Equivalents - States, Opt1'!BQ$7-2016,0)-VLOOKUP('Mass Equivalents - States, Opt1'!$A51,'EE Avoided Generation'!$A$4:$K$52,'Mass Equivalents - States, Opt1'!BQ$7-2018,0)-VLOOKUP($A51,'Under Construction Nuclear'!$B$5:$D$53,3,0),0)+AD51+$T51+VLOOKUP('Mass Equivalents - States, Opt1'!$A51,'EE Avoided Generation'!$A$4:$K$52,'Mass Equivalents - States, Opt1'!BQ$7-2018,0)</f>
        <v>33999573.940000005</v>
      </c>
      <c r="BR51" s="29"/>
      <c r="BS51" s="71">
        <f t="shared" si="42"/>
        <v>22307.155408755283</v>
      </c>
      <c r="BT51" s="72">
        <f t="shared" si="43"/>
        <v>22017.355228208216</v>
      </c>
      <c r="BU51" s="72">
        <f t="shared" si="44"/>
        <v>21751.368499756951</v>
      </c>
      <c r="BV51" s="72">
        <f t="shared" si="45"/>
        <v>21506.79187673705</v>
      </c>
      <c r="BW51" s="72">
        <f t="shared" si="46"/>
        <v>21281.49127209821</v>
      </c>
      <c r="BX51" s="72">
        <f t="shared" si="47"/>
        <v>21073.560469400611</v>
      </c>
      <c r="BY51" s="72">
        <f t="shared" si="48"/>
        <v>20881.286724044807</v>
      </c>
      <c r="BZ51" s="72">
        <f t="shared" si="49"/>
        <v>20703.121995538004</v>
      </c>
      <c r="CA51" s="72">
        <f t="shared" si="50"/>
        <v>20537.658746835699</v>
      </c>
      <c r="CB51" s="72">
        <f t="shared" si="51"/>
        <v>20383.609472371834</v>
      </c>
      <c r="CC51" s="75">
        <f t="shared" si="33"/>
        <v>21244.339969374665</v>
      </c>
      <c r="CD51" s="76">
        <f t="shared" si="34"/>
        <v>20383.609472371834</v>
      </c>
      <c r="CG51" s="63">
        <f>BH51+VLOOKUP($A51,'Incremental Demand for New Gen'!$AG$5:$AQ$53,'Mass Equivalents - States, Opt1'!BH$7-2018,0)</f>
        <v>36827450.912790559</v>
      </c>
      <c r="CH51" s="64">
        <f>BI51+VLOOKUP($A51,'Incremental Demand for New Gen'!$AG$5:$AQ$53,'Mass Equivalents - States, Opt1'!BI$7-2018,0)</f>
        <v>37197972.212905459</v>
      </c>
      <c r="CI51" s="64">
        <f>BJ51+VLOOKUP($A51,'Incremental Demand for New Gen'!$AG$5:$AQ$53,'Mass Equivalents - States, Opt1'!BJ$7-2018,0)</f>
        <v>37572413.778607167</v>
      </c>
      <c r="CJ51" s="64">
        <f>BK51+VLOOKUP($A51,'Incremental Demand for New Gen'!$AG$5:$AQ$53,'Mass Equivalents - States, Opt1'!BK$7-2018,0)</f>
        <v>37950817.087895103</v>
      </c>
      <c r="CK51" s="64">
        <f>BL51+VLOOKUP($A51,'Incremental Demand for New Gen'!$AG$5:$AQ$53,'Mass Equivalents - States, Opt1'!BL$7-2018,0)</f>
        <v>38333224.057622761</v>
      </c>
      <c r="CL51" s="64">
        <f>BM51+VLOOKUP($A51,'Incremental Demand for New Gen'!$AG$5:$AQ$53,'Mass Equivalents - States, Opt1'!BM$7-2018,0)</f>
        <v>38719677.048140891</v>
      </c>
      <c r="CM51" s="64">
        <f>BN51+VLOOKUP($A51,'Incremental Demand for New Gen'!$AG$5:$AQ$53,'Mass Equivalents - States, Opt1'!BN$7-2018,0)</f>
        <v>39110218.867989972</v>
      </c>
      <c r="CN51" s="64">
        <f>BO51+VLOOKUP($A51,'Incremental Demand for New Gen'!$AG$5:$AQ$53,'Mass Equivalents - States, Opt1'!BO$7-2018,0)</f>
        <v>39504892.778642178</v>
      </c>
      <c r="CO51" s="64">
        <f>BP51+VLOOKUP($A51,'Incremental Demand for New Gen'!$AG$5:$AQ$53,'Mass Equivalents - States, Opt1'!BP$7-2018,0)</f>
        <v>39903742.499293603</v>
      </c>
      <c r="CP51" s="65">
        <f>BQ51+VLOOKUP($A51,'Incremental Demand for New Gen'!$AG$5:$AQ$53,'Mass Equivalents - States, Opt1'!BQ$7-2018,0)</f>
        <v>40306812.211707167</v>
      </c>
      <c r="CQ51" s="29"/>
      <c r="CR51" s="71">
        <f t="shared" si="52"/>
        <v>24162.528397258069</v>
      </c>
      <c r="CS51" s="72">
        <f t="shared" si="53"/>
        <v>24088.565622200796</v>
      </c>
      <c r="CT51" s="72">
        <f t="shared" si="54"/>
        <v>24037.107610997016</v>
      </c>
      <c r="CU51" s="72">
        <f t="shared" si="55"/>
        <v>24006.192727645579</v>
      </c>
      <c r="CV51" s="72">
        <f t="shared" si="56"/>
        <v>23994.070474333825</v>
      </c>
      <c r="CW51" s="72">
        <f t="shared" si="57"/>
        <v>23999.167079846651</v>
      </c>
      <c r="CX51" s="72">
        <f t="shared" si="58"/>
        <v>24020.056706117823</v>
      </c>
      <c r="CY51" s="72">
        <f t="shared" si="59"/>
        <v>24055.437166954027</v>
      </c>
      <c r="CZ51" s="72">
        <f t="shared" si="60"/>
        <v>24104.109293203001</v>
      </c>
      <c r="DA51" s="72">
        <f t="shared" si="61"/>
        <v>24164.959262417946</v>
      </c>
      <c r="DB51" s="75">
        <f t="shared" si="35"/>
        <v>24063.219434097471</v>
      </c>
      <c r="DC51" s="76">
        <f t="shared" si="36"/>
        <v>24164.959262417946</v>
      </c>
    </row>
    <row r="52" spans="1:107" x14ac:dyDescent="0.25">
      <c r="A52" s="16" t="s">
        <v>86</v>
      </c>
      <c r="B52" s="17">
        <v>2267.8419319999998</v>
      </c>
      <c r="C52" s="17">
        <v>903.25933120000002</v>
      </c>
      <c r="D52" s="17">
        <v>1652.3647022</v>
      </c>
      <c r="E52" s="17">
        <v>2581898592.1833081</v>
      </c>
      <c r="F52" s="17">
        <v>13641552</v>
      </c>
      <c r="G52" s="17">
        <v>23070349.8473</v>
      </c>
      <c r="H52" s="17">
        <v>343908</v>
      </c>
      <c r="I52" s="17">
        <v>1140287.9820959999</v>
      </c>
      <c r="J52" s="17">
        <v>4346.1000000000004</v>
      </c>
      <c r="K52" s="17">
        <v>1928</v>
      </c>
      <c r="L52" s="18">
        <f t="shared" si="24"/>
        <v>2131.7714160799997</v>
      </c>
      <c r="M52" s="19">
        <f t="shared" si="62"/>
        <v>7600564.6399364769</v>
      </c>
      <c r="N52" s="19">
        <f t="shared" si="63"/>
        <v>191612.72736351946</v>
      </c>
      <c r="O52" s="19">
        <f t="shared" si="2"/>
        <v>29263632.480000004</v>
      </c>
      <c r="P52" s="19">
        <f t="shared" si="25"/>
        <v>10995356047.345861</v>
      </c>
      <c r="Q52" s="19">
        <f t="shared" si="26"/>
        <v>10454841.582096001</v>
      </c>
      <c r="R52" s="20">
        <f t="shared" si="27"/>
        <v>0.60431328041410481</v>
      </c>
      <c r="S52" s="20">
        <f t="shared" si="28"/>
        <v>0.7</v>
      </c>
      <c r="T52" s="21">
        <v>1645274.9621480964</v>
      </c>
      <c r="U52" s="22">
        <v>4458735.5631242758</v>
      </c>
      <c r="V52" s="22">
        <v>5228273.178048416</v>
      </c>
      <c r="W52" s="22">
        <v>6130626.0569412904</v>
      </c>
      <c r="X52" s="22">
        <v>7188716.918590107</v>
      </c>
      <c r="Y52" s="22">
        <v>8429424.7366649546</v>
      </c>
      <c r="Z52" s="22">
        <v>9884267.5536922924</v>
      </c>
      <c r="AA52" s="22">
        <v>11192008.056032101</v>
      </c>
      <c r="AB52" s="22">
        <v>11192008.056032101</v>
      </c>
      <c r="AC52" s="22">
        <v>11192008.056032101</v>
      </c>
      <c r="AD52" s="22">
        <v>11192008.056032101</v>
      </c>
      <c r="AE52" s="23">
        <v>1.2275622849923361E-2</v>
      </c>
      <c r="AF52" s="23">
        <v>1.9552461953222907E-2</v>
      </c>
      <c r="AG52" s="23">
        <v>2.8216893718314835E-2</v>
      </c>
      <c r="AH52" s="23">
        <v>3.8114803171980259E-2</v>
      </c>
      <c r="AI52" s="23">
        <v>4.9091087361901521E-2</v>
      </c>
      <c r="AJ52" s="23">
        <v>5.9800812969942711E-2</v>
      </c>
      <c r="AK52" s="23">
        <v>6.9531688707605732E-2</v>
      </c>
      <c r="AL52" s="23">
        <v>7.8324840961915429E-2</v>
      </c>
      <c r="AM52" s="23">
        <v>8.6219408041375317E-2</v>
      </c>
      <c r="AN52" s="23">
        <v>9.3252633235325691E-2</v>
      </c>
      <c r="AO52" s="23">
        <v>0.58009283195120465</v>
      </c>
      <c r="AP52" s="24">
        <v>115890388.37349999</v>
      </c>
      <c r="AQ52" s="25">
        <f t="shared" si="41"/>
        <v>990.95090834378868</v>
      </c>
      <c r="AR52" s="25">
        <f t="shared" si="41"/>
        <v>968.55631848267194</v>
      </c>
      <c r="AS52" s="25">
        <f t="shared" si="41"/>
        <v>943.40658865065666</v>
      </c>
      <c r="AT52" s="25">
        <f t="shared" si="41"/>
        <v>915.80442107085582</v>
      </c>
      <c r="AU52" s="25">
        <f t="shared" si="41"/>
        <v>886.04333030749251</v>
      </c>
      <c r="AV52" s="25">
        <f t="shared" si="40"/>
        <v>855.48547843138738</v>
      </c>
      <c r="AW52" s="25">
        <f t="shared" si="40"/>
        <v>829.67291004783476</v>
      </c>
      <c r="AX52" s="25">
        <f t="shared" si="40"/>
        <v>822.19804661317141</v>
      </c>
      <c r="AY52" s="25">
        <f t="shared" si="40"/>
        <v>815.60087529939335</v>
      </c>
      <c r="AZ52" s="25">
        <f t="shared" si="40"/>
        <v>809.81203257413097</v>
      </c>
      <c r="BA52" s="26">
        <f t="shared" si="29"/>
        <v>883.75309098213836</v>
      </c>
      <c r="BB52" s="26">
        <f t="shared" si="30"/>
        <v>809.81203257413097</v>
      </c>
      <c r="BC52" s="69"/>
      <c r="BD52" s="70"/>
      <c r="BE52" s="79">
        <f t="shared" si="31"/>
        <v>47510651.429396003</v>
      </c>
      <c r="BF52" s="79">
        <f t="shared" si="32"/>
        <v>24913.841137687312</v>
      </c>
      <c r="BG52" s="84"/>
      <c r="BH52" s="63">
        <f>MAX($BE52-VLOOKUP($A52,'RE Generation'!$A$4:$M$52,'Mass Equivalents - States, Opt1'!BH$7-2016,0)-VLOOKUP('Mass Equivalents - States, Opt1'!$A52,'EE Avoided Generation'!$A$4:$K$52,'Mass Equivalents - States, Opt1'!BH$7-2018,0)-VLOOKUP($A52,'Under Construction Nuclear'!$B$5:$D$53,3,0),0)+U52+$T52+VLOOKUP('Mass Equivalents - States, Opt1'!$A52,'EE Avoided Generation'!$A$4:$K$52,'Mass Equivalents - States, Opt1'!BH$7-2018,0)</f>
        <v>51514369.991544105</v>
      </c>
      <c r="BI52" s="64">
        <f>MAX($BE52-VLOOKUP($A52,'RE Generation'!$A$4:$M$52,'Mass Equivalents - States, Opt1'!BI$7-2016,0)-VLOOKUP('Mass Equivalents - States, Opt1'!$A52,'EE Avoided Generation'!$A$4:$K$52,'Mass Equivalents - States, Opt1'!BI$7-2018,0)-VLOOKUP($A52,'Under Construction Nuclear'!$B$5:$D$53,3,0),0)+V52+$T52+VLOOKUP('Mass Equivalents - States, Opt1'!$A52,'EE Avoided Generation'!$A$4:$K$52,'Mass Equivalents - States, Opt1'!BI$7-2018,0)</f>
        <v>51514369.991544105</v>
      </c>
      <c r="BJ52" s="64">
        <f>MAX($BE52-VLOOKUP($A52,'RE Generation'!$A$4:$M$52,'Mass Equivalents - States, Opt1'!BJ$7-2016,0)-VLOOKUP('Mass Equivalents - States, Opt1'!$A52,'EE Avoided Generation'!$A$4:$K$52,'Mass Equivalents - States, Opt1'!BJ$7-2018,0)-VLOOKUP($A52,'Under Construction Nuclear'!$B$5:$D$53,3,0),0)+W52+$T52+VLOOKUP('Mass Equivalents - States, Opt1'!$A52,'EE Avoided Generation'!$A$4:$K$52,'Mass Equivalents - States, Opt1'!BJ$7-2018,0)</f>
        <v>51514369.991544098</v>
      </c>
      <c r="BK52" s="64">
        <f>MAX($BE52-VLOOKUP($A52,'RE Generation'!$A$4:$M$52,'Mass Equivalents - States, Opt1'!BK$7-2016,0)-VLOOKUP('Mass Equivalents - States, Opt1'!$A52,'EE Avoided Generation'!$A$4:$K$52,'Mass Equivalents - States, Opt1'!BK$7-2018,0)-VLOOKUP($A52,'Under Construction Nuclear'!$B$5:$D$53,3,0),0)+X52+$T52+VLOOKUP('Mass Equivalents - States, Opt1'!$A52,'EE Avoided Generation'!$A$4:$K$52,'Mass Equivalents - States, Opt1'!BK$7-2018,0)</f>
        <v>51514369.991544098</v>
      </c>
      <c r="BL52" s="64">
        <f>MAX($BE52-VLOOKUP($A52,'RE Generation'!$A$4:$M$52,'Mass Equivalents - States, Opt1'!BL$7-2016,0)-VLOOKUP('Mass Equivalents - States, Opt1'!$A52,'EE Avoided Generation'!$A$4:$K$52,'Mass Equivalents - States, Opt1'!BL$7-2018,0)-VLOOKUP($A52,'Under Construction Nuclear'!$B$5:$D$53,3,0),0)+Y52+$T52+VLOOKUP('Mass Equivalents - States, Opt1'!$A52,'EE Avoided Generation'!$A$4:$K$52,'Mass Equivalents - States, Opt1'!BL$7-2018,0)</f>
        <v>51514369.991544098</v>
      </c>
      <c r="BM52" s="64">
        <f>MAX($BE52-VLOOKUP($A52,'RE Generation'!$A$4:$M$52,'Mass Equivalents - States, Opt1'!BM$7-2016,0)-VLOOKUP('Mass Equivalents - States, Opt1'!$A52,'EE Avoided Generation'!$A$4:$K$52,'Mass Equivalents - States, Opt1'!BM$7-2018,0)-VLOOKUP($A52,'Under Construction Nuclear'!$B$5:$D$53,3,0),0)+Z52+$T52+VLOOKUP('Mass Equivalents - States, Opt1'!$A52,'EE Avoided Generation'!$A$4:$K$52,'Mass Equivalents - States, Opt1'!BM$7-2018,0)</f>
        <v>51514369.991544098</v>
      </c>
      <c r="BN52" s="64">
        <f>MAX($BE52-VLOOKUP($A52,'RE Generation'!$A$4:$M$52,'Mass Equivalents - States, Opt1'!BN$7-2016,0)-VLOOKUP('Mass Equivalents - States, Opt1'!$A52,'EE Avoided Generation'!$A$4:$K$52,'Mass Equivalents - States, Opt1'!BN$7-2018,0)-VLOOKUP($A52,'Under Construction Nuclear'!$B$5:$D$53,3,0),0)+AA52+$T52+VLOOKUP('Mass Equivalents - States, Opt1'!$A52,'EE Avoided Generation'!$A$4:$K$52,'Mass Equivalents - States, Opt1'!BN$7-2018,0)</f>
        <v>51514369.991544098</v>
      </c>
      <c r="BO52" s="64">
        <f>MAX($BE52-VLOOKUP($A52,'RE Generation'!$A$4:$M$52,'Mass Equivalents - States, Opt1'!BO$7-2016,0)-VLOOKUP('Mass Equivalents - States, Opt1'!$A52,'EE Avoided Generation'!$A$4:$K$52,'Mass Equivalents - States, Opt1'!BO$7-2018,0)-VLOOKUP($A52,'Under Construction Nuclear'!$B$5:$D$53,3,0),0)+AB52+$T52+VLOOKUP('Mass Equivalents - States, Opt1'!$A52,'EE Avoided Generation'!$A$4:$K$52,'Mass Equivalents - States, Opt1'!BO$7-2018,0)</f>
        <v>51514369.991544098</v>
      </c>
      <c r="BP52" s="64">
        <f>MAX($BE52-VLOOKUP($A52,'RE Generation'!$A$4:$M$52,'Mass Equivalents - States, Opt1'!BP$7-2016,0)-VLOOKUP('Mass Equivalents - States, Opt1'!$A52,'EE Avoided Generation'!$A$4:$K$52,'Mass Equivalents - States, Opt1'!BP$7-2018,0)-VLOOKUP($A52,'Under Construction Nuclear'!$B$5:$D$53,3,0),0)+AC52+$T52+VLOOKUP('Mass Equivalents - States, Opt1'!$A52,'EE Avoided Generation'!$A$4:$K$52,'Mass Equivalents - States, Opt1'!BP$7-2018,0)</f>
        <v>51514369.991544098</v>
      </c>
      <c r="BQ52" s="65">
        <f>MAX($BE52-VLOOKUP($A52,'RE Generation'!$A$4:$M$52,'Mass Equivalents - States, Opt1'!BQ$7-2016,0)-VLOOKUP('Mass Equivalents - States, Opt1'!$A52,'EE Avoided Generation'!$A$4:$K$52,'Mass Equivalents - States, Opt1'!BQ$7-2018,0)-VLOOKUP($A52,'Under Construction Nuclear'!$B$5:$D$53,3,0),0)+AD52+$T52+VLOOKUP('Mass Equivalents - States, Opt1'!$A52,'EE Avoided Generation'!$A$4:$K$52,'Mass Equivalents - States, Opt1'!BQ$7-2018,0)</f>
        <v>51514369.991544105</v>
      </c>
      <c r="BR52" s="29"/>
      <c r="BS52" s="71">
        <f t="shared" si="42"/>
        <v>23155.106882763761</v>
      </c>
      <c r="BT52" s="72">
        <f t="shared" si="43"/>
        <v>22631.82251270704</v>
      </c>
      <c r="BU52" s="72">
        <f t="shared" si="44"/>
        <v>22044.160018602019</v>
      </c>
      <c r="BV52" s="72">
        <f t="shared" si="45"/>
        <v>21399.192507976844</v>
      </c>
      <c r="BW52" s="72">
        <f t="shared" si="46"/>
        <v>20703.778404441622</v>
      </c>
      <c r="BX52" s="72">
        <f t="shared" si="47"/>
        <v>19989.746740167291</v>
      </c>
      <c r="BY52" s="72">
        <f t="shared" si="48"/>
        <v>19386.595993942381</v>
      </c>
      <c r="BZ52" s="72">
        <f t="shared" si="49"/>
        <v>19211.934201611042</v>
      </c>
      <c r="CA52" s="72">
        <f t="shared" si="50"/>
        <v>19057.781048706882</v>
      </c>
      <c r="CB52" s="72">
        <f t="shared" si="51"/>
        <v>18922.515748577149</v>
      </c>
      <c r="CC52" s="75">
        <f t="shared" si="33"/>
        <v>20650.263405949598</v>
      </c>
      <c r="CD52" s="76">
        <f t="shared" si="34"/>
        <v>18922.515748577149</v>
      </c>
      <c r="CG52" s="63">
        <f>BH52+VLOOKUP($A52,'Incremental Demand for New Gen'!$AG$5:$AQ$53,'Mass Equivalents - States, Opt1'!BH$7-2018,0)</f>
        <v>53152916.187598914</v>
      </c>
      <c r="CH52" s="64">
        <f>BI52+VLOOKUP($A52,'Incremental Demand for New Gen'!$AG$5:$AQ$53,'Mass Equivalents - States, Opt1'!BI$7-2018,0)</f>
        <v>54589394.481153697</v>
      </c>
      <c r="CI52" s="64">
        <f>BJ52+VLOOKUP($A52,'Incremental Demand for New Gen'!$AG$5:$AQ$53,'Mass Equivalents - States, Opt1'!BJ$7-2018,0)</f>
        <v>56042139.755327493</v>
      </c>
      <c r="CJ52" s="64">
        <f>BK52+VLOOKUP($A52,'Incremental Demand for New Gen'!$AG$5:$AQ$53,'Mass Equivalents - States, Opt1'!BK$7-2018,0)</f>
        <v>57511336.220810913</v>
      </c>
      <c r="CK52" s="64">
        <f>BL52+VLOOKUP($A52,'Incremental Demand for New Gen'!$AG$5:$AQ$53,'Mass Equivalents - States, Opt1'!BL$7-2018,0)</f>
        <v>58997170.174334891</v>
      </c>
      <c r="CL52" s="64">
        <f>BM52+VLOOKUP($A52,'Incremental Demand for New Gen'!$AG$5:$AQ$53,'Mass Equivalents - States, Opt1'!BM$7-2018,0)</f>
        <v>60499830.022293516</v>
      </c>
      <c r="CM52" s="64">
        <f>BN52+VLOOKUP($A52,'Incremental Demand for New Gen'!$AG$5:$AQ$53,'Mass Equivalents - States, Opt1'!BN$7-2018,0)</f>
        <v>62019506.304634348</v>
      </c>
      <c r="CN52" s="64">
        <f>BO52+VLOOKUP($A52,'Incremental Demand for New Gen'!$AG$5:$AQ$53,'Mass Equivalents - States, Opt1'!BO$7-2018,0)</f>
        <v>63556391.719019122</v>
      </c>
      <c r="CO52" s="64">
        <f>BP52+VLOOKUP($A52,'Incremental Demand for New Gen'!$AG$5:$AQ$53,'Mass Equivalents - States, Opt1'!BP$7-2018,0)</f>
        <v>65110681.145258158</v>
      </c>
      <c r="CP52" s="65">
        <f>BQ52+VLOOKUP($A52,'Incremental Demand for New Gen'!$AG$5:$AQ$53,'Mass Equivalents - States, Opt1'!BQ$7-2018,0)</f>
        <v>66682571.670021571</v>
      </c>
      <c r="CQ52" s="29"/>
      <c r="CR52" s="71">
        <f t="shared" si="52"/>
        <v>23891.61423611435</v>
      </c>
      <c r="CS52" s="72">
        <f t="shared" si="53"/>
        <v>23982.773877976484</v>
      </c>
      <c r="CT52" s="72">
        <f t="shared" si="54"/>
        <v>23981.694753407326</v>
      </c>
      <c r="CU52" s="72">
        <f t="shared" si="55"/>
        <v>23890.346623323334</v>
      </c>
      <c r="CV52" s="72">
        <f t="shared" si="56"/>
        <v>23711.138037387653</v>
      </c>
      <c r="CW52" s="72">
        <f t="shared" si="57"/>
        <v>23476.483943554616</v>
      </c>
      <c r="CX52" s="72">
        <f t="shared" si="58"/>
        <v>23340.033327964011</v>
      </c>
      <c r="CY52" s="72">
        <f t="shared" si="59"/>
        <v>23702.924368444026</v>
      </c>
      <c r="CZ52" s="72">
        <f t="shared" si="60"/>
        <v>24087.746883096526</v>
      </c>
      <c r="DA52" s="72">
        <f t="shared" si="61"/>
        <v>24494.175368712222</v>
      </c>
      <c r="DB52" s="75">
        <f t="shared" si="35"/>
        <v>23855.893141998054</v>
      </c>
      <c r="DC52" s="76">
        <f t="shared" si="36"/>
        <v>24494.175368712222</v>
      </c>
    </row>
    <row r="53" spans="1:107" x14ac:dyDescent="0.25">
      <c r="A53" s="16" t="s">
        <v>87</v>
      </c>
      <c r="B53" s="17">
        <v>2431.8756291</v>
      </c>
      <c r="C53" s="17">
        <v>823.08344480000005</v>
      </c>
      <c r="D53" s="17">
        <v>0</v>
      </c>
      <c r="E53" s="17">
        <v>841079242.05249608</v>
      </c>
      <c r="F53" s="17">
        <v>3735730</v>
      </c>
      <c r="G53" s="17">
        <v>5665045</v>
      </c>
      <c r="H53" s="17">
        <v>0</v>
      </c>
      <c r="I53" s="17">
        <v>1181813.6844964998</v>
      </c>
      <c r="J53" s="17">
        <v>3485.1</v>
      </c>
      <c r="K53" s="17">
        <v>0</v>
      </c>
      <c r="L53" s="18">
        <f t="shared" si="24"/>
        <v>2285.963091354</v>
      </c>
      <c r="M53" s="19">
        <f t="shared" si="62"/>
        <v>0</v>
      </c>
      <c r="N53" s="19">
        <f t="shared" si="63"/>
        <v>0</v>
      </c>
      <c r="O53" s="19">
        <f t="shared" si="2"/>
        <v>9400775</v>
      </c>
      <c r="P53" s="19">
        <f t="shared" si="25"/>
        <v>841079242.05249608</v>
      </c>
      <c r="Q53" s="19">
        <f t="shared" si="26"/>
        <v>1181813.6844964998</v>
      </c>
      <c r="R53" s="20">
        <f t="shared" si="27"/>
        <v>0.18505285629444404</v>
      </c>
      <c r="S53" s="20">
        <f t="shared" si="28"/>
        <v>0.30708322089787499</v>
      </c>
      <c r="T53" s="21">
        <v>506700.34628760855</v>
      </c>
      <c r="U53" s="22">
        <v>10407601.523484629</v>
      </c>
      <c r="V53" s="22">
        <v>11041930.693569014</v>
      </c>
      <c r="W53" s="22">
        <v>11714921.364587309</v>
      </c>
      <c r="X53" s="22">
        <v>12428929.902484756</v>
      </c>
      <c r="Y53" s="22">
        <v>13186456.290508926</v>
      </c>
      <c r="Z53" s="22">
        <v>13990152.882489128</v>
      </c>
      <c r="AA53" s="22">
        <v>14842833.689616315</v>
      </c>
      <c r="AB53" s="22">
        <v>15747484.233239599</v>
      </c>
      <c r="AC53" s="22">
        <v>16707271.998177329</v>
      </c>
      <c r="AD53" s="22">
        <v>17725557.523143277</v>
      </c>
      <c r="AE53" s="23">
        <v>4.243741867449162E-2</v>
      </c>
      <c r="AF53" s="23">
        <v>5.3879822145822112E-2</v>
      </c>
      <c r="AG53" s="23">
        <v>6.4323294808073306E-2</v>
      </c>
      <c r="AH53" s="23">
        <v>7.3808105504954855E-2</v>
      </c>
      <c r="AI53" s="23">
        <v>8.2372610541069161E-2</v>
      </c>
      <c r="AJ53" s="23">
        <v>9.0053340657129319E-2</v>
      </c>
      <c r="AK53" s="23">
        <v>9.6885084006153407E-2</v>
      </c>
      <c r="AL53" s="23">
        <v>0.10290096531398807</v>
      </c>
      <c r="AM53" s="23">
        <v>0.10813252139910264</v>
      </c>
      <c r="AN53" s="23">
        <v>0.11260977321856785</v>
      </c>
      <c r="AO53" s="23">
        <v>1.0769131559142726</v>
      </c>
      <c r="AP53" s="24">
        <v>99270907.719099998</v>
      </c>
      <c r="AQ53" s="25">
        <f t="shared" si="41"/>
        <v>333.67578410466757</v>
      </c>
      <c r="AR53" s="25">
        <f t="shared" si="41"/>
        <v>312.18074715019526</v>
      </c>
      <c r="AS53" s="25">
        <f t="shared" si="41"/>
        <v>293.89539744558454</v>
      </c>
      <c r="AT53" s="25">
        <f t="shared" si="41"/>
        <v>278.12096877665471</v>
      </c>
      <c r="AU53" s="25">
        <f t="shared" si="41"/>
        <v>264.3427404886117</v>
      </c>
      <c r="AV53" s="25">
        <f t="shared" si="40"/>
        <v>252.17294920106056</v>
      </c>
      <c r="AW53" s="25">
        <f t="shared" si="40"/>
        <v>241.31373313943178</v>
      </c>
      <c r="AX53" s="25">
        <f t="shared" si="40"/>
        <v>231.53236763302505</v>
      </c>
      <c r="AY53" s="25">
        <f t="shared" si="40"/>
        <v>222.64429088186347</v>
      </c>
      <c r="AZ53" s="25">
        <f t="shared" si="40"/>
        <v>214.50120936623983</v>
      </c>
      <c r="BA53" s="26">
        <f t="shared" si="29"/>
        <v>264.43801881873344</v>
      </c>
      <c r="BB53" s="26">
        <f t="shared" si="30"/>
        <v>214.50120936623983</v>
      </c>
      <c r="BC53" s="69"/>
      <c r="BD53" s="70"/>
      <c r="BE53" s="79">
        <f t="shared" si="31"/>
        <v>10582588.6844965</v>
      </c>
      <c r="BF53" s="79">
        <f t="shared" si="32"/>
        <v>6617.3375636151613</v>
      </c>
      <c r="BG53" s="84"/>
      <c r="BH53" s="63">
        <f>MAX($BE53-VLOOKUP($A53,'RE Generation'!$A$4:$M$52,'Mass Equivalents - States, Opt1'!BH$7-2016,0)-VLOOKUP('Mass Equivalents - States, Opt1'!$A53,'EE Avoided Generation'!$A$4:$K$52,'Mass Equivalents - States, Opt1'!BH$7-2018,0)-VLOOKUP($A53,'Under Construction Nuclear'!$B$5:$D$53,3,0),0)+U53+$T53+VLOOKUP('Mass Equivalents - States, Opt1'!$A53,'EE Avoided Generation'!$A$4:$K$52,'Mass Equivalents - States, Opt1'!BH$7-2018,0)</f>
        <v>19303639.20078411</v>
      </c>
      <c r="BI53" s="64">
        <f>MAX($BE53-VLOOKUP($A53,'RE Generation'!$A$4:$M$52,'Mass Equivalents - States, Opt1'!BI$7-2016,0)-VLOOKUP('Mass Equivalents - States, Opt1'!$A53,'EE Avoided Generation'!$A$4:$K$52,'Mass Equivalents - States, Opt1'!BI$7-2018,0)-VLOOKUP($A53,'Under Construction Nuclear'!$B$5:$D$53,3,0),0)+V53+$T53+VLOOKUP('Mass Equivalents - States, Opt1'!$A53,'EE Avoided Generation'!$A$4:$K$52,'Mass Equivalents - States, Opt1'!BI$7-2018,0)</f>
        <v>19303639.20078411</v>
      </c>
      <c r="BJ53" s="64">
        <f>MAX($BE53-VLOOKUP($A53,'RE Generation'!$A$4:$M$52,'Mass Equivalents - States, Opt1'!BJ$7-2016,0)-VLOOKUP('Mass Equivalents - States, Opt1'!$A53,'EE Avoided Generation'!$A$4:$K$52,'Mass Equivalents - States, Opt1'!BJ$7-2018,0)-VLOOKUP($A53,'Under Construction Nuclear'!$B$5:$D$53,3,0),0)+W53+$T53+VLOOKUP('Mass Equivalents - States, Opt1'!$A53,'EE Avoided Generation'!$A$4:$K$52,'Mass Equivalents - States, Opt1'!BJ$7-2018,0)</f>
        <v>19303639.20078411</v>
      </c>
      <c r="BK53" s="64">
        <f>MAX($BE53-VLOOKUP($A53,'RE Generation'!$A$4:$M$52,'Mass Equivalents - States, Opt1'!BK$7-2016,0)-VLOOKUP('Mass Equivalents - States, Opt1'!$A53,'EE Avoided Generation'!$A$4:$K$52,'Mass Equivalents - States, Opt1'!BK$7-2018,0)-VLOOKUP($A53,'Under Construction Nuclear'!$B$5:$D$53,3,0),0)+X53+$T53+VLOOKUP('Mass Equivalents - States, Opt1'!$A53,'EE Avoided Generation'!$A$4:$K$52,'Mass Equivalents - States, Opt1'!BK$7-2018,0)</f>
        <v>20262627.879276335</v>
      </c>
      <c r="BL53" s="64">
        <f>MAX($BE53-VLOOKUP($A53,'RE Generation'!$A$4:$M$52,'Mass Equivalents - States, Opt1'!BL$7-2016,0)-VLOOKUP('Mass Equivalents - States, Opt1'!$A53,'EE Avoided Generation'!$A$4:$K$52,'Mass Equivalents - States, Opt1'!BL$7-2018,0)-VLOOKUP($A53,'Under Construction Nuclear'!$B$5:$D$53,3,0),0)+Y53+$T53+VLOOKUP('Mass Equivalents - States, Opt1'!$A53,'EE Avoided Generation'!$A$4:$K$52,'Mass Equivalents - States, Opt1'!BL$7-2018,0)</f>
        <v>21870360.456400376</v>
      </c>
      <c r="BM53" s="64">
        <f>MAX($BE53-VLOOKUP($A53,'RE Generation'!$A$4:$M$52,'Mass Equivalents - States, Opt1'!BM$7-2016,0)-VLOOKUP('Mass Equivalents - States, Opt1'!$A53,'EE Avoided Generation'!$A$4:$K$52,'Mass Equivalents - States, Opt1'!BM$7-2018,0)-VLOOKUP($A53,'Under Construction Nuclear'!$B$5:$D$53,3,0),0)+Z53+$T53+VLOOKUP('Mass Equivalents - States, Opt1'!$A53,'EE Avoided Generation'!$A$4:$K$52,'Mass Equivalents - States, Opt1'!BM$7-2018,0)</f>
        <v>23436530.098947294</v>
      </c>
      <c r="BN53" s="64">
        <f>MAX($BE53-VLOOKUP($A53,'RE Generation'!$A$4:$M$52,'Mass Equivalents - States, Opt1'!BN$7-2016,0)-VLOOKUP('Mass Equivalents - States, Opt1'!$A53,'EE Avoided Generation'!$A$4:$K$52,'Mass Equivalents - States, Opt1'!BN$7-2018,0)-VLOOKUP($A53,'Under Construction Nuclear'!$B$5:$D$53,3,0),0)+AA53+$T53+VLOOKUP('Mass Equivalents - States, Opt1'!$A53,'EE Avoided Generation'!$A$4:$K$52,'Mass Equivalents - States, Opt1'!BN$7-2018,0)</f>
        <v>24967404.269636028</v>
      </c>
      <c r="BO53" s="64">
        <f>MAX($BE53-VLOOKUP($A53,'RE Generation'!$A$4:$M$52,'Mass Equivalents - States, Opt1'!BO$7-2016,0)-VLOOKUP('Mass Equivalents - States, Opt1'!$A53,'EE Avoided Generation'!$A$4:$K$52,'Mass Equivalents - States, Opt1'!BO$7-2018,0)-VLOOKUP($A53,'Under Construction Nuclear'!$B$5:$D$53,3,0),0)+AB53+$T53+VLOOKUP('Mass Equivalents - States, Opt1'!$A53,'EE Avoided Generation'!$A$4:$K$52,'Mass Equivalents - States, Opt1'!BO$7-2018,0)</f>
        <v>26469256.811418425</v>
      </c>
      <c r="BP53" s="64">
        <f>MAX($BE53-VLOOKUP($A53,'RE Generation'!$A$4:$M$52,'Mass Equivalents - States, Opt1'!BP$7-2016,0)-VLOOKUP('Mass Equivalents - States, Opt1'!$A53,'EE Avoided Generation'!$A$4:$K$52,'Mass Equivalents - States, Opt1'!BP$7-2018,0)-VLOOKUP($A53,'Under Construction Nuclear'!$B$5:$D$53,3,0),0)+AC53+$T53+VLOOKUP('Mass Equivalents - States, Opt1'!$A53,'EE Avoided Generation'!$A$4:$K$52,'Mass Equivalents - States, Opt1'!BP$7-2018,0)</f>
        <v>27948385.897708863</v>
      </c>
      <c r="BQ53" s="65">
        <f>MAX($BE53-VLOOKUP($A53,'RE Generation'!$A$4:$M$52,'Mass Equivalents - States, Opt1'!BQ$7-2016,0)-VLOOKUP('Mass Equivalents - States, Opt1'!$A53,'EE Avoided Generation'!$A$4:$K$52,'Mass Equivalents - States, Opt1'!BQ$7-2018,0)-VLOOKUP($A53,'Under Construction Nuclear'!$B$5:$D$53,3,0),0)+AD53+$T53+VLOOKUP('Mass Equivalents - States, Opt1'!$A53,'EE Avoided Generation'!$A$4:$K$52,'Mass Equivalents - States, Opt1'!BQ$7-2018,0)</f>
        <v>29411132.274880111</v>
      </c>
      <c r="BR53" s="29"/>
      <c r="BS53" s="71">
        <f t="shared" si="42"/>
        <v>2921.663119446996</v>
      </c>
      <c r="BT53" s="72">
        <f t="shared" si="43"/>
        <v>2733.4527076859417</v>
      </c>
      <c r="BU53" s="72">
        <f t="shared" si="44"/>
        <v>2573.3462978021666</v>
      </c>
      <c r="BV53" s="72">
        <f t="shared" si="45"/>
        <v>2556.2054665861633</v>
      </c>
      <c r="BW53" s="72">
        <f t="shared" si="46"/>
        <v>2622.3435415258136</v>
      </c>
      <c r="BX53" s="72">
        <f t="shared" si="47"/>
        <v>2680.7608177785573</v>
      </c>
      <c r="BY53" s="72">
        <f t="shared" si="48"/>
        <v>2732.8870876192987</v>
      </c>
      <c r="BZ53" s="72">
        <f t="shared" si="49"/>
        <v>2779.8394730313084</v>
      </c>
      <c r="CA53" s="72">
        <f t="shared" si="50"/>
        <v>2822.5039052027396</v>
      </c>
      <c r="CB53" s="72">
        <f t="shared" si="51"/>
        <v>2861.5922207873614</v>
      </c>
      <c r="CC53" s="75">
        <f t="shared" si="33"/>
        <v>2728.4594637466348</v>
      </c>
      <c r="CD53" s="76">
        <f t="shared" si="34"/>
        <v>2861.5922207873614</v>
      </c>
      <c r="CG53" s="63">
        <f>BH53+VLOOKUP($A53,'Incremental Demand for New Gen'!$AG$5:$AQ$53,'Mass Equivalents - States, Opt1'!BH$7-2018,0)</f>
        <v>28108484.12200154</v>
      </c>
      <c r="CH53" s="64">
        <f>BI53+VLOOKUP($A53,'Incremental Demand for New Gen'!$AG$5:$AQ$53,'Mass Equivalents - States, Opt1'!BI$7-2018,0)</f>
        <v>29262134.941648111</v>
      </c>
      <c r="CI53" s="64">
        <f>BJ53+VLOOKUP($A53,'Incremental Demand for New Gen'!$AG$5:$AQ$53,'Mass Equivalents - States, Opt1'!BJ$7-2018,0)</f>
        <v>30427991.85472592</v>
      </c>
      <c r="CJ53" s="64">
        <f>BK53+VLOOKUP($A53,'Incremental Demand for New Gen'!$AG$5:$AQ$53,'Mass Equivalents - States, Opt1'!BK$7-2018,0)</f>
        <v>32565172.68514476</v>
      </c>
      <c r="CK53" s="64">
        <f>BL53+VLOOKUP($A53,'Incremental Demand for New Gen'!$AG$5:$AQ$53,'Mass Equivalents - States, Opt1'!BL$7-2018,0)</f>
        <v>35363563.164872698</v>
      </c>
      <c r="CL53" s="64">
        <f>BM53+VLOOKUP($A53,'Incremental Demand for New Gen'!$AG$5:$AQ$53,'Mass Equivalents - States, Opt1'!BM$7-2018,0)</f>
        <v>38132988.353397325</v>
      </c>
      <c r="CM53" s="64">
        <f>BN53+VLOOKUP($A53,'Incremental Demand for New Gen'!$AG$5:$AQ$53,'Mass Equivalents - States, Opt1'!BN$7-2018,0)</f>
        <v>40879849.001612313</v>
      </c>
      <c r="CN53" s="64">
        <f>BO53+VLOOKUP($A53,'Incremental Demand for New Gen'!$AG$5:$AQ$53,'Mass Equivalents - States, Opt1'!BO$7-2018,0)</f>
        <v>43610553.650887176</v>
      </c>
      <c r="CO53" s="64">
        <f>BP53+VLOOKUP($A53,'Incremental Demand for New Gen'!$AG$5:$AQ$53,'Mass Equivalents - States, Opt1'!BP$7-2018,0)</f>
        <v>46331536.59821783</v>
      </c>
      <c r="CP53" s="65">
        <f>BQ53+VLOOKUP($A53,'Incremental Demand for New Gen'!$AG$5:$AQ$53,'Mass Equivalents - States, Opt1'!BQ$7-2018,0)</f>
        <v>49049276.153801277</v>
      </c>
      <c r="CQ53" s="29"/>
      <c r="CR53" s="71">
        <f t="shared" si="52"/>
        <v>4254.3025461995549</v>
      </c>
      <c r="CS53" s="72">
        <f t="shared" si="53"/>
        <v>4143.6053148812689</v>
      </c>
      <c r="CT53" s="72">
        <f t="shared" si="54"/>
        <v>4056.3211617492734</v>
      </c>
      <c r="CU53" s="72">
        <f t="shared" si="55"/>
        <v>4108.2170059110022</v>
      </c>
      <c r="CV53" s="72">
        <f t="shared" si="56"/>
        <v>4240.2324212084486</v>
      </c>
      <c r="CW53" s="72">
        <f t="shared" si="57"/>
        <v>4361.7984663687612</v>
      </c>
      <c r="CX53" s="72">
        <f t="shared" si="58"/>
        <v>4474.6346185534658</v>
      </c>
      <c r="CY53" s="72">
        <f t="shared" si="59"/>
        <v>4580.0431550911144</v>
      </c>
      <c r="CZ53" s="72">
        <f t="shared" si="60"/>
        <v>4679.0159353436484</v>
      </c>
      <c r="DA53" s="72">
        <f t="shared" si="61"/>
        <v>4772.3095379380775</v>
      </c>
      <c r="DB53" s="75">
        <f t="shared" si="35"/>
        <v>4367.048016324462</v>
      </c>
      <c r="DC53" s="76">
        <f t="shared" si="36"/>
        <v>4772.3095379380775</v>
      </c>
    </row>
    <row r="54" spans="1:107" x14ac:dyDescent="0.25">
      <c r="A54" s="16" t="s">
        <v>88</v>
      </c>
      <c r="B54" s="17">
        <v>2056.1693873999998</v>
      </c>
      <c r="C54" s="17">
        <v>0</v>
      </c>
      <c r="D54" s="17">
        <v>0</v>
      </c>
      <c r="E54" s="17">
        <v>569069878.81547618</v>
      </c>
      <c r="F54" s="17">
        <v>70074636</v>
      </c>
      <c r="G54" s="17">
        <v>0</v>
      </c>
      <c r="H54" s="17">
        <v>0</v>
      </c>
      <c r="I54" s="17">
        <v>270212.83256560005</v>
      </c>
      <c r="J54" s="17">
        <v>0</v>
      </c>
      <c r="K54" s="17">
        <v>0</v>
      </c>
      <c r="L54" s="18">
        <f t="shared" si="24"/>
        <v>1932.7992241559996</v>
      </c>
      <c r="M54" s="19">
        <f t="shared" si="62"/>
        <v>70074636</v>
      </c>
      <c r="N54" s="19">
        <f t="shared" si="63"/>
        <v>0</v>
      </c>
      <c r="O54" s="19">
        <f t="shared" si="2"/>
        <v>0</v>
      </c>
      <c r="P54" s="19">
        <f t="shared" si="25"/>
        <v>569069878.81547618</v>
      </c>
      <c r="Q54" s="19">
        <f t="shared" si="26"/>
        <v>270212.83256560005</v>
      </c>
      <c r="R54" s="20"/>
      <c r="S54" s="20"/>
      <c r="T54" s="21"/>
      <c r="U54" s="22">
        <v>2451206.0983753526</v>
      </c>
      <c r="V54" s="22">
        <v>2874262.2020455897</v>
      </c>
      <c r="W54" s="22">
        <v>3370333.9803142487</v>
      </c>
      <c r="X54" s="22">
        <v>3952023.2812360222</v>
      </c>
      <c r="Y54" s="22">
        <v>4634106.9183818018</v>
      </c>
      <c r="Z54" s="22">
        <v>5433912.0503049381</v>
      </c>
      <c r="AA54" s="22">
        <v>6371756.3471237253</v>
      </c>
      <c r="AB54" s="22">
        <v>7471464.1258930843</v>
      </c>
      <c r="AC54" s="22">
        <v>8760971.5662944764</v>
      </c>
      <c r="AD54" s="22">
        <v>10273036.381104968</v>
      </c>
      <c r="AE54" s="23">
        <v>1.7726819280304597E-2</v>
      </c>
      <c r="AF54" s="23">
        <v>2.620262146234853E-2</v>
      </c>
      <c r="AG54" s="23">
        <v>3.6006145300687221E-2</v>
      </c>
      <c r="AH54" s="23">
        <v>4.6984718022848558E-2</v>
      </c>
      <c r="AI54" s="23">
        <v>5.828301504094046E-2</v>
      </c>
      <c r="AJ54" s="23">
        <v>6.8631576395172936E-2</v>
      </c>
      <c r="AK54" s="23">
        <v>7.8060267244325895E-2</v>
      </c>
      <c r="AL54" s="23">
        <v>8.6597593868983136E-2</v>
      </c>
      <c r="AM54" s="23">
        <v>9.4270756075843037E-2</v>
      </c>
      <c r="AN54" s="23">
        <v>0.10110569743482145</v>
      </c>
      <c r="AO54" s="23">
        <v>2.3330020830253368</v>
      </c>
      <c r="AP54" s="24">
        <v>33131615.799099997</v>
      </c>
      <c r="AQ54" s="25">
        <f t="shared" si="41"/>
        <v>1853.4071988412061</v>
      </c>
      <c r="AR54" s="25">
        <f t="shared" si="41"/>
        <v>1835.7987225681532</v>
      </c>
      <c r="AS54" s="25">
        <f t="shared" si="41"/>
        <v>1815.6811791168357</v>
      </c>
      <c r="AT54" s="25">
        <f t="shared" si="41"/>
        <v>1793.0508045192989</v>
      </c>
      <c r="AU54" s="25">
        <f t="shared" si="41"/>
        <v>1768.4219441227917</v>
      </c>
      <c r="AV54" s="25">
        <f t="shared" si="40"/>
        <v>1742.5327203615113</v>
      </c>
      <c r="AW54" s="25">
        <f t="shared" si="40"/>
        <v>1715.0612010115187</v>
      </c>
      <c r="AX54" s="25">
        <f t="shared" si="40"/>
        <v>1685.6732374649209</v>
      </c>
      <c r="AY54" s="25">
        <f t="shared" si="40"/>
        <v>1654.0271994162258</v>
      </c>
      <c r="AZ54" s="25">
        <f t="shared" si="40"/>
        <v>1619.7812233003181</v>
      </c>
      <c r="BA54" s="26">
        <f t="shared" si="29"/>
        <v>1748.3435430722777</v>
      </c>
      <c r="BB54" s="26">
        <f t="shared" si="30"/>
        <v>1619.7812233003181</v>
      </c>
      <c r="BC54" s="69"/>
      <c r="BD54" s="70"/>
      <c r="BE54" s="79">
        <f t="shared" si="31"/>
        <v>70344848.832565606</v>
      </c>
      <c r="BF54" s="79">
        <f t="shared" si="32"/>
        <v>65614.206192093639</v>
      </c>
      <c r="BG54" s="84"/>
      <c r="BH54" s="63">
        <f>MAX($BE54-VLOOKUP($A54,'RE Generation'!$A$4:$M$52,'Mass Equivalents - States, Opt1'!BH$7-2016,0)-VLOOKUP('Mass Equivalents - States, Opt1'!$A54,'EE Avoided Generation'!$A$4:$K$52,'Mass Equivalents - States, Opt1'!BH$7-2018,0)-VLOOKUP($A54,'Under Construction Nuclear'!$B$5:$D$53,3,0),0)+U54+$T54+VLOOKUP('Mass Equivalents - States, Opt1'!$A54,'EE Avoided Generation'!$A$4:$K$52,'Mass Equivalents - States, Opt1'!BH$7-2018,0)</f>
        <v>71641411.782565609</v>
      </c>
      <c r="BI54" s="64">
        <f>MAX($BE54-VLOOKUP($A54,'RE Generation'!$A$4:$M$52,'Mass Equivalents - States, Opt1'!BI$7-2016,0)-VLOOKUP('Mass Equivalents - States, Opt1'!$A54,'EE Avoided Generation'!$A$4:$K$52,'Mass Equivalents - States, Opt1'!BI$7-2018,0)-VLOOKUP($A54,'Under Construction Nuclear'!$B$5:$D$53,3,0),0)+V54+$T54+VLOOKUP('Mass Equivalents - States, Opt1'!$A54,'EE Avoided Generation'!$A$4:$K$52,'Mass Equivalents - States, Opt1'!BI$7-2018,0)</f>
        <v>71641411.782565609</v>
      </c>
      <c r="BJ54" s="64">
        <f>MAX($BE54-VLOOKUP($A54,'RE Generation'!$A$4:$M$52,'Mass Equivalents - States, Opt1'!BJ$7-2016,0)-VLOOKUP('Mass Equivalents - States, Opt1'!$A54,'EE Avoided Generation'!$A$4:$K$52,'Mass Equivalents - States, Opt1'!BJ$7-2018,0)-VLOOKUP($A54,'Under Construction Nuclear'!$B$5:$D$53,3,0),0)+W54+$T54+VLOOKUP('Mass Equivalents - States, Opt1'!$A54,'EE Avoided Generation'!$A$4:$K$52,'Mass Equivalents - States, Opt1'!BJ$7-2018,0)</f>
        <v>71641411.782565594</v>
      </c>
      <c r="BK54" s="64">
        <f>MAX($BE54-VLOOKUP($A54,'RE Generation'!$A$4:$M$52,'Mass Equivalents - States, Opt1'!BK$7-2016,0)-VLOOKUP('Mass Equivalents - States, Opt1'!$A54,'EE Avoided Generation'!$A$4:$K$52,'Mass Equivalents - States, Opt1'!BK$7-2018,0)-VLOOKUP($A54,'Under Construction Nuclear'!$B$5:$D$53,3,0),0)+X54+$T54+VLOOKUP('Mass Equivalents - States, Opt1'!$A54,'EE Avoided Generation'!$A$4:$K$52,'Mass Equivalents - States, Opt1'!BK$7-2018,0)</f>
        <v>71641411.782565594</v>
      </c>
      <c r="BL54" s="64">
        <f>MAX($BE54-VLOOKUP($A54,'RE Generation'!$A$4:$M$52,'Mass Equivalents - States, Opt1'!BL$7-2016,0)-VLOOKUP('Mass Equivalents - States, Opt1'!$A54,'EE Avoided Generation'!$A$4:$K$52,'Mass Equivalents - States, Opt1'!BL$7-2018,0)-VLOOKUP($A54,'Under Construction Nuclear'!$B$5:$D$53,3,0),0)+Y54+$T54+VLOOKUP('Mass Equivalents - States, Opt1'!$A54,'EE Avoided Generation'!$A$4:$K$52,'Mass Equivalents - States, Opt1'!BL$7-2018,0)</f>
        <v>71641411.782565594</v>
      </c>
      <c r="BM54" s="64">
        <f>MAX($BE54-VLOOKUP($A54,'RE Generation'!$A$4:$M$52,'Mass Equivalents - States, Opt1'!BM$7-2016,0)-VLOOKUP('Mass Equivalents - States, Opt1'!$A54,'EE Avoided Generation'!$A$4:$K$52,'Mass Equivalents - States, Opt1'!BM$7-2018,0)-VLOOKUP($A54,'Under Construction Nuclear'!$B$5:$D$53,3,0),0)+Z54+$T54+VLOOKUP('Mass Equivalents - States, Opt1'!$A54,'EE Avoided Generation'!$A$4:$K$52,'Mass Equivalents - States, Opt1'!BM$7-2018,0)</f>
        <v>71641411.782565609</v>
      </c>
      <c r="BN54" s="64">
        <f>MAX($BE54-VLOOKUP($A54,'RE Generation'!$A$4:$M$52,'Mass Equivalents - States, Opt1'!BN$7-2016,0)-VLOOKUP('Mass Equivalents - States, Opt1'!$A54,'EE Avoided Generation'!$A$4:$K$52,'Mass Equivalents - States, Opt1'!BN$7-2018,0)-VLOOKUP($A54,'Under Construction Nuclear'!$B$5:$D$53,3,0),0)+AA54+$T54+VLOOKUP('Mass Equivalents - States, Opt1'!$A54,'EE Avoided Generation'!$A$4:$K$52,'Mass Equivalents - States, Opt1'!BN$7-2018,0)</f>
        <v>71641411.782565609</v>
      </c>
      <c r="BO54" s="64">
        <f>MAX($BE54-VLOOKUP($A54,'RE Generation'!$A$4:$M$52,'Mass Equivalents - States, Opt1'!BO$7-2016,0)-VLOOKUP('Mass Equivalents - States, Opt1'!$A54,'EE Avoided Generation'!$A$4:$K$52,'Mass Equivalents - States, Opt1'!BO$7-2018,0)-VLOOKUP($A54,'Under Construction Nuclear'!$B$5:$D$53,3,0),0)+AB54+$T54+VLOOKUP('Mass Equivalents - States, Opt1'!$A54,'EE Avoided Generation'!$A$4:$K$52,'Mass Equivalents - States, Opt1'!BO$7-2018,0)</f>
        <v>71641411.782565609</v>
      </c>
      <c r="BP54" s="64">
        <f>MAX($BE54-VLOOKUP($A54,'RE Generation'!$A$4:$M$52,'Mass Equivalents - States, Opt1'!BP$7-2016,0)-VLOOKUP('Mass Equivalents - States, Opt1'!$A54,'EE Avoided Generation'!$A$4:$K$52,'Mass Equivalents - States, Opt1'!BP$7-2018,0)-VLOOKUP($A54,'Under Construction Nuclear'!$B$5:$D$53,3,0),0)+AC54+$T54+VLOOKUP('Mass Equivalents - States, Opt1'!$A54,'EE Avoided Generation'!$A$4:$K$52,'Mass Equivalents - States, Opt1'!BP$7-2018,0)</f>
        <v>71641411.782565609</v>
      </c>
      <c r="BQ54" s="65">
        <f>MAX($BE54-VLOOKUP($A54,'RE Generation'!$A$4:$M$52,'Mass Equivalents - States, Opt1'!BQ$7-2016,0)-VLOOKUP('Mass Equivalents - States, Opt1'!$A54,'EE Avoided Generation'!$A$4:$K$52,'Mass Equivalents - States, Opt1'!BQ$7-2018,0)-VLOOKUP($A54,'Under Construction Nuclear'!$B$5:$D$53,3,0),0)+AD54+$T54+VLOOKUP('Mass Equivalents - States, Opt1'!$A54,'EE Avoided Generation'!$A$4:$K$52,'Mass Equivalents - States, Opt1'!BQ$7-2018,0)</f>
        <v>71641411.782565594</v>
      </c>
      <c r="BR54" s="29"/>
      <c r="BS54" s="71">
        <f t="shared" si="42"/>
        <v>60228.387809669832</v>
      </c>
      <c r="BT54" s="72">
        <f t="shared" si="43"/>
        <v>59656.182123637176</v>
      </c>
      <c r="BU54" s="72">
        <f t="shared" si="44"/>
        <v>59002.441699233183</v>
      </c>
      <c r="BV54" s="72">
        <f t="shared" si="45"/>
        <v>58267.044222418212</v>
      </c>
      <c r="BW54" s="72">
        <f t="shared" si="46"/>
        <v>57466.703878321947</v>
      </c>
      <c r="BX54" s="72">
        <f t="shared" si="47"/>
        <v>56625.406720438572</v>
      </c>
      <c r="BY54" s="72">
        <f t="shared" si="48"/>
        <v>55732.691227498501</v>
      </c>
      <c r="BZ54" s="72">
        <f t="shared" si="49"/>
        <v>54777.698894174464</v>
      </c>
      <c r="CA54" s="72">
        <f t="shared" si="50"/>
        <v>53749.328089621609</v>
      </c>
      <c r="CB54" s="72">
        <f t="shared" si="51"/>
        <v>52636.469602981888</v>
      </c>
      <c r="CC54" s="75">
        <f t="shared" si="33"/>
        <v>56814.235426799547</v>
      </c>
      <c r="CD54" s="76">
        <f t="shared" si="34"/>
        <v>52636.469602981888</v>
      </c>
      <c r="CG54" s="63">
        <f>BH54+VLOOKUP($A54,'Incremental Demand for New Gen'!$AG$5:$AQ$53,'Mass Equivalents - States, Opt1'!BH$7-2018,0)</f>
        <v>72852463.53889437</v>
      </c>
      <c r="CH54" s="64">
        <f>BI54+VLOOKUP($A54,'Incremental Demand for New Gen'!$AG$5:$AQ$53,'Mass Equivalents - States, Opt1'!BI$7-2018,0)</f>
        <v>73006919.539436072</v>
      </c>
      <c r="CI54" s="64">
        <f>BJ54+VLOOKUP($A54,'Incremental Demand for New Gen'!$AG$5:$AQ$53,'Mass Equivalents - States, Opt1'!BJ$7-2018,0)</f>
        <v>73162069.021014705</v>
      </c>
      <c r="CJ54" s="64">
        <f>BK54+VLOOKUP($A54,'Incremental Demand for New Gen'!$AG$5:$AQ$53,'Mass Equivalents - States, Opt1'!BK$7-2018,0)</f>
        <v>73317915.09724161</v>
      </c>
      <c r="CK54" s="64">
        <f>BL54+VLOOKUP($A54,'Incremental Demand for New Gen'!$AG$5:$AQ$53,'Mass Equivalents - States, Opt1'!BL$7-2018,0)</f>
        <v>73474460.895707622</v>
      </c>
      <c r="CL54" s="64">
        <f>BM54+VLOOKUP($A54,'Incremental Demand for New Gen'!$AG$5:$AQ$53,'Mass Equivalents - States, Opt1'!BM$7-2018,0)</f>
        <v>73631709.558046028</v>
      </c>
      <c r="CM54" s="64">
        <f>BN54+VLOOKUP($A54,'Incremental Demand for New Gen'!$AG$5:$AQ$53,'Mass Equivalents - States, Opt1'!BN$7-2018,0)</f>
        <v>73789664.23999539</v>
      </c>
      <c r="CN54" s="64">
        <f>BO54+VLOOKUP($A54,'Incremental Demand for New Gen'!$AG$5:$AQ$53,'Mass Equivalents - States, Opt1'!BO$7-2018,0)</f>
        <v>73948328.111463085</v>
      </c>
      <c r="CO54" s="64">
        <f>BP54+VLOOKUP($A54,'Incremental Demand for New Gen'!$AG$5:$AQ$53,'Mass Equivalents - States, Opt1'!BP$7-2018,0)</f>
        <v>74107704.356588826</v>
      </c>
      <c r="CP54" s="65">
        <f>BQ54+VLOOKUP($A54,'Incremental Demand for New Gen'!$AG$5:$AQ$53,'Mass Equivalents - States, Opt1'!BQ$7-2018,0)</f>
        <v>74267796.173808515</v>
      </c>
      <c r="CQ54" s="29"/>
      <c r="CR54" s="71">
        <f t="shared" si="52"/>
        <v>61246.509773250407</v>
      </c>
      <c r="CS54" s="72">
        <f t="shared" si="53"/>
        <v>60793.247647727359</v>
      </c>
      <c r="CT54" s="72">
        <f t="shared" si="54"/>
        <v>60254.82475288408</v>
      </c>
      <c r="CU54" s="72">
        <f t="shared" si="55"/>
        <v>59630.569735730751</v>
      </c>
      <c r="CV54" s="72">
        <f t="shared" si="56"/>
        <v>58937.072593263838</v>
      </c>
      <c r="CW54" s="72">
        <f t="shared" si="57"/>
        <v>58198.539050290135</v>
      </c>
      <c r="CX54" s="72">
        <f t="shared" si="58"/>
        <v>57403.901884988445</v>
      </c>
      <c r="CY54" s="72">
        <f t="shared" si="59"/>
        <v>56541.588869178457</v>
      </c>
      <c r="CZ54" s="72">
        <f t="shared" si="60"/>
        <v>55599.676448591708</v>
      </c>
      <c r="DA54" s="72">
        <f t="shared" si="61"/>
        <v>54566.130098715541</v>
      </c>
      <c r="DB54" s="75">
        <f t="shared" si="35"/>
        <v>58317.206085462079</v>
      </c>
      <c r="DC54" s="76">
        <f t="shared" si="36"/>
        <v>54566.130098715541</v>
      </c>
    </row>
    <row r="55" spans="1:107" x14ac:dyDescent="0.25">
      <c r="A55" s="16" t="s">
        <v>89</v>
      </c>
      <c r="B55" s="17">
        <v>2362.8620348999998</v>
      </c>
      <c r="C55" s="17">
        <v>833.44731530000001</v>
      </c>
      <c r="D55" s="17">
        <v>1797.8866324999999</v>
      </c>
      <c r="E55" s="17">
        <v>133623054.35154198</v>
      </c>
      <c r="F55" s="17">
        <v>32112721</v>
      </c>
      <c r="G55" s="17">
        <v>10244272.9537</v>
      </c>
      <c r="H55" s="17">
        <v>47668</v>
      </c>
      <c r="I55" s="17">
        <v>160189.20979510003</v>
      </c>
      <c r="J55" s="17">
        <v>2977.3</v>
      </c>
      <c r="K55" s="17">
        <v>0</v>
      </c>
      <c r="L55" s="18">
        <f t="shared" si="24"/>
        <v>2221.0903128059995</v>
      </c>
      <c r="M55" s="19">
        <f t="shared" si="62"/>
        <v>24062121.992018439</v>
      </c>
      <c r="N55" s="19">
        <f t="shared" si="63"/>
        <v>35717.721681558382</v>
      </c>
      <c r="O55" s="19">
        <f t="shared" si="2"/>
        <v>18306822.240000002</v>
      </c>
      <c r="P55" s="19">
        <f t="shared" si="25"/>
        <v>133623054.35154198</v>
      </c>
      <c r="Q55" s="19">
        <f t="shared" si="26"/>
        <v>160189.20979510003</v>
      </c>
      <c r="R55" s="20">
        <f t="shared" si="27"/>
        <v>0.39171140537550769</v>
      </c>
      <c r="S55" s="20">
        <f t="shared" si="28"/>
        <v>0.7</v>
      </c>
      <c r="T55" s="21">
        <v>546885.33272974333</v>
      </c>
      <c r="U55" s="22">
        <v>4066361.6280125463</v>
      </c>
      <c r="V55" s="22">
        <v>4309594.7088892087</v>
      </c>
      <c r="W55" s="22">
        <v>4567376.9954305105</v>
      </c>
      <c r="X55" s="22">
        <v>4840578.7614688976</v>
      </c>
      <c r="Y55" s="22">
        <v>5130122.3370494274</v>
      </c>
      <c r="Z55" s="22">
        <v>5436985.2222189866</v>
      </c>
      <c r="AA55" s="22">
        <v>5762203.3870696044</v>
      </c>
      <c r="AB55" s="22">
        <v>6106874.7691768315</v>
      </c>
      <c r="AC55" s="22">
        <v>6472162.9802405462</v>
      </c>
      <c r="AD55" s="22">
        <v>6859301.2344418112</v>
      </c>
      <c r="AE55" s="23">
        <v>4.6755557578785641E-2</v>
      </c>
      <c r="AF55" s="23">
        <v>5.8199514903010917E-2</v>
      </c>
      <c r="AG55" s="23">
        <v>6.8694186368115542E-2</v>
      </c>
      <c r="AH55" s="23">
        <v>7.8268664247835837E-2</v>
      </c>
      <c r="AI55" s="23">
        <v>8.6950718853901834E-2</v>
      </c>
      <c r="AJ55" s="23">
        <v>9.4766848508720178E-2</v>
      </c>
      <c r="AK55" s="23">
        <v>0.10174232746921354</v>
      </c>
      <c r="AL55" s="23">
        <v>0.10790125188277862</v>
      </c>
      <c r="AM55" s="23">
        <v>0.11326658385307191</v>
      </c>
      <c r="AN55" s="23">
        <v>0.11786019369020941</v>
      </c>
      <c r="AO55" s="23">
        <v>0.83970464605670592</v>
      </c>
      <c r="AP55" s="24">
        <v>73988478.759000003</v>
      </c>
      <c r="AQ55" s="25">
        <f t="shared" si="41"/>
        <v>1375.7128577901383</v>
      </c>
      <c r="AR55" s="25">
        <f t="shared" si="41"/>
        <v>1349.9915179458387</v>
      </c>
      <c r="AS55" s="25">
        <f t="shared" si="41"/>
        <v>1326.3477460751305</v>
      </c>
      <c r="AT55" s="25">
        <f t="shared" si="41"/>
        <v>1304.548355882514</v>
      </c>
      <c r="AU55" s="25">
        <f t="shared" si="41"/>
        <v>1284.3895103456618</v>
      </c>
      <c r="AV55" s="25">
        <f t="shared" si="40"/>
        <v>1265.6918079002246</v>
      </c>
      <c r="AW55" s="25">
        <f t="shared" si="40"/>
        <v>1248.2962902292295</v>
      </c>
      <c r="AX55" s="25">
        <f t="shared" si="40"/>
        <v>1232.0611756206677</v>
      </c>
      <c r="AY55" s="25">
        <f t="shared" si="40"/>
        <v>1216.8591684848723</v>
      </c>
      <c r="AZ55" s="25">
        <f t="shared" si="40"/>
        <v>1202.5752302204498</v>
      </c>
      <c r="BA55" s="26">
        <f t="shared" si="29"/>
        <v>1280.6473660494726</v>
      </c>
      <c r="BB55" s="26">
        <f t="shared" si="30"/>
        <v>1202.5752302204498</v>
      </c>
      <c r="BC55" s="69"/>
      <c r="BD55" s="70"/>
      <c r="BE55" s="79">
        <f t="shared" si="31"/>
        <v>42564851.163495101</v>
      </c>
      <c r="BF55" s="79">
        <f t="shared" si="32"/>
        <v>38389.979131572429</v>
      </c>
      <c r="BG55" s="84"/>
      <c r="BH55" s="63">
        <f>MAX($BE55-VLOOKUP($A55,'RE Generation'!$A$4:$M$52,'Mass Equivalents - States, Opt1'!BH$7-2016,0)-VLOOKUP('Mass Equivalents - States, Opt1'!$A55,'EE Avoided Generation'!$A$4:$K$52,'Mass Equivalents - States, Opt1'!BH$7-2018,0)-VLOOKUP($A55,'Under Construction Nuclear'!$B$5:$D$53,3,0),0)+U55+$T55+VLOOKUP('Mass Equivalents - States, Opt1'!$A55,'EE Avoided Generation'!$A$4:$K$52,'Mass Equivalents - States, Opt1'!BH$7-2018,0)</f>
        <v>46334914.386224844</v>
      </c>
      <c r="BI55" s="64">
        <f>MAX($BE55-VLOOKUP($A55,'RE Generation'!$A$4:$M$52,'Mass Equivalents - States, Opt1'!BI$7-2016,0)-VLOOKUP('Mass Equivalents - States, Opt1'!$A55,'EE Avoided Generation'!$A$4:$K$52,'Mass Equivalents - States, Opt1'!BI$7-2018,0)-VLOOKUP($A55,'Under Construction Nuclear'!$B$5:$D$53,3,0),0)+V55+$T55+VLOOKUP('Mass Equivalents - States, Opt1'!$A55,'EE Avoided Generation'!$A$4:$K$52,'Mass Equivalents - States, Opt1'!BI$7-2018,0)</f>
        <v>46334914.386224844</v>
      </c>
      <c r="BJ55" s="64">
        <f>MAX($BE55-VLOOKUP($A55,'RE Generation'!$A$4:$M$52,'Mass Equivalents - States, Opt1'!BJ$7-2016,0)-VLOOKUP('Mass Equivalents - States, Opt1'!$A55,'EE Avoided Generation'!$A$4:$K$52,'Mass Equivalents - States, Opt1'!BJ$7-2018,0)-VLOOKUP($A55,'Under Construction Nuclear'!$B$5:$D$53,3,0),0)+W55+$T55+VLOOKUP('Mass Equivalents - States, Opt1'!$A55,'EE Avoided Generation'!$A$4:$K$52,'Mass Equivalents - States, Opt1'!BJ$7-2018,0)</f>
        <v>46334914.386224851</v>
      </c>
      <c r="BK55" s="64">
        <f>MAX($BE55-VLOOKUP($A55,'RE Generation'!$A$4:$M$52,'Mass Equivalents - States, Opt1'!BK$7-2016,0)-VLOOKUP('Mass Equivalents - States, Opt1'!$A55,'EE Avoided Generation'!$A$4:$K$52,'Mass Equivalents - States, Opt1'!BK$7-2018,0)-VLOOKUP($A55,'Under Construction Nuclear'!$B$5:$D$53,3,0),0)+X55+$T55+VLOOKUP('Mass Equivalents - States, Opt1'!$A55,'EE Avoided Generation'!$A$4:$K$52,'Mass Equivalents - States, Opt1'!BK$7-2018,0)</f>
        <v>46334914.386224851</v>
      </c>
      <c r="BL55" s="64">
        <f>MAX($BE55-VLOOKUP($A55,'RE Generation'!$A$4:$M$52,'Mass Equivalents - States, Opt1'!BL$7-2016,0)-VLOOKUP('Mass Equivalents - States, Opt1'!$A55,'EE Avoided Generation'!$A$4:$K$52,'Mass Equivalents - States, Opt1'!BL$7-2018,0)-VLOOKUP($A55,'Under Construction Nuclear'!$B$5:$D$53,3,0),0)+Y55+$T55+VLOOKUP('Mass Equivalents - States, Opt1'!$A55,'EE Avoided Generation'!$A$4:$K$52,'Mass Equivalents - States, Opt1'!BL$7-2018,0)</f>
        <v>46334914.386224844</v>
      </c>
      <c r="BM55" s="64">
        <f>MAX($BE55-VLOOKUP($A55,'RE Generation'!$A$4:$M$52,'Mass Equivalents - States, Opt1'!BM$7-2016,0)-VLOOKUP('Mass Equivalents - States, Opt1'!$A55,'EE Avoided Generation'!$A$4:$K$52,'Mass Equivalents - States, Opt1'!BM$7-2018,0)-VLOOKUP($A55,'Under Construction Nuclear'!$B$5:$D$53,3,0),0)+Z55+$T55+VLOOKUP('Mass Equivalents - States, Opt1'!$A55,'EE Avoided Generation'!$A$4:$K$52,'Mass Equivalents - States, Opt1'!BM$7-2018,0)</f>
        <v>46334914.386224851</v>
      </c>
      <c r="BN55" s="64">
        <f>MAX($BE55-VLOOKUP($A55,'RE Generation'!$A$4:$M$52,'Mass Equivalents - States, Opt1'!BN$7-2016,0)-VLOOKUP('Mass Equivalents - States, Opt1'!$A55,'EE Avoided Generation'!$A$4:$K$52,'Mass Equivalents - States, Opt1'!BN$7-2018,0)-VLOOKUP($A55,'Under Construction Nuclear'!$B$5:$D$53,3,0),0)+AA55+$T55+VLOOKUP('Mass Equivalents - States, Opt1'!$A55,'EE Avoided Generation'!$A$4:$K$52,'Mass Equivalents - States, Opt1'!BN$7-2018,0)</f>
        <v>46334914.386224844</v>
      </c>
      <c r="BO55" s="64">
        <f>MAX($BE55-VLOOKUP($A55,'RE Generation'!$A$4:$M$52,'Mass Equivalents - States, Opt1'!BO$7-2016,0)-VLOOKUP('Mass Equivalents - States, Opt1'!$A55,'EE Avoided Generation'!$A$4:$K$52,'Mass Equivalents - States, Opt1'!BO$7-2018,0)-VLOOKUP($A55,'Under Construction Nuclear'!$B$5:$D$53,3,0),0)+AB55+$T55+VLOOKUP('Mass Equivalents - States, Opt1'!$A55,'EE Avoided Generation'!$A$4:$K$52,'Mass Equivalents - States, Opt1'!BO$7-2018,0)</f>
        <v>46334914.386224844</v>
      </c>
      <c r="BP55" s="64">
        <f>MAX($BE55-VLOOKUP($A55,'RE Generation'!$A$4:$M$52,'Mass Equivalents - States, Opt1'!BP$7-2016,0)-VLOOKUP('Mass Equivalents - States, Opt1'!$A55,'EE Avoided Generation'!$A$4:$K$52,'Mass Equivalents - States, Opt1'!BP$7-2018,0)-VLOOKUP($A55,'Under Construction Nuclear'!$B$5:$D$53,3,0),0)+AC55+$T55+VLOOKUP('Mass Equivalents - States, Opt1'!$A55,'EE Avoided Generation'!$A$4:$K$52,'Mass Equivalents - States, Opt1'!BP$7-2018,0)</f>
        <v>46334914.386224844</v>
      </c>
      <c r="BQ55" s="65">
        <f>MAX($BE55-VLOOKUP($A55,'RE Generation'!$A$4:$M$52,'Mass Equivalents - States, Opt1'!BQ$7-2016,0)-VLOOKUP('Mass Equivalents - States, Opt1'!$A55,'EE Avoided Generation'!$A$4:$K$52,'Mass Equivalents - States, Opt1'!BQ$7-2018,0)-VLOOKUP($A55,'Under Construction Nuclear'!$B$5:$D$53,3,0),0)+AD55+$T55+VLOOKUP('Mass Equivalents - States, Opt1'!$A55,'EE Avoided Generation'!$A$4:$K$52,'Mass Equivalents - States, Opt1'!BQ$7-2018,0)</f>
        <v>46334914.386224844</v>
      </c>
      <c r="BR55" s="29"/>
      <c r="BS55" s="71">
        <f t="shared" si="42"/>
        <v>28913.616625874198</v>
      </c>
      <c r="BT55" s="72">
        <f t="shared" si="43"/>
        <v>28373.02637468142</v>
      </c>
      <c r="BU55" s="72">
        <f t="shared" si="44"/>
        <v>27876.100761470672</v>
      </c>
      <c r="BV55" s="72">
        <f t="shared" si="45"/>
        <v>27417.938865884676</v>
      </c>
      <c r="BW55" s="72">
        <f t="shared" si="46"/>
        <v>26994.256606776446</v>
      </c>
      <c r="BX55" s="72">
        <f t="shared" si="47"/>
        <v>26601.283467628466</v>
      </c>
      <c r="BY55" s="72">
        <f t="shared" si="48"/>
        <v>26235.67859150939</v>
      </c>
      <c r="BZ55" s="72">
        <f t="shared" si="49"/>
        <v>25894.462125434391</v>
      </c>
      <c r="CA55" s="72">
        <f t="shared" si="50"/>
        <v>25574.958673984318</v>
      </c>
      <c r="CB55" s="72">
        <f t="shared" si="51"/>
        <v>25274.750449174542</v>
      </c>
      <c r="CC55" s="75">
        <f t="shared" si="33"/>
        <v>26915.607254241848</v>
      </c>
      <c r="CD55" s="76">
        <f t="shared" si="34"/>
        <v>25274.750449174542</v>
      </c>
      <c r="CG55" s="63">
        <f>BH55+VLOOKUP($A55,'Incremental Demand for New Gen'!$AG$5:$AQ$53,'Mass Equivalents - States, Opt1'!BH$7-2018,0)</f>
        <v>48730871.95311337</v>
      </c>
      <c r="CH55" s="64">
        <f>BI55+VLOOKUP($A55,'Incremental Demand for New Gen'!$AG$5:$AQ$53,'Mass Equivalents - States, Opt1'!BI$7-2018,0)</f>
        <v>49035715.702290453</v>
      </c>
      <c r="CI55" s="64">
        <f>BJ55+VLOOKUP($A55,'Incremental Demand for New Gen'!$AG$5:$AQ$53,'Mass Equivalents - States, Opt1'!BJ$7-2018,0)</f>
        <v>49341763.819903314</v>
      </c>
      <c r="CJ55" s="64">
        <f>BK55+VLOOKUP($A55,'Incremental Demand for New Gen'!$AG$5:$AQ$53,'Mass Equivalents - States, Opt1'!BK$7-2018,0)</f>
        <v>49649021.064138159</v>
      </c>
      <c r="CK55" s="64">
        <f>BL55+VLOOKUP($A55,'Incremental Demand for New Gen'!$AG$5:$AQ$53,'Mass Equivalents - States, Opt1'!BL$7-2018,0)</f>
        <v>49957492.211979724</v>
      </c>
      <c r="CL55" s="64">
        <f>BM55+VLOOKUP($A55,'Incremental Demand for New Gen'!$AG$5:$AQ$53,'Mass Equivalents - States, Opt1'!BM$7-2018,0)</f>
        <v>50267182.059285559</v>
      </c>
      <c r="CM55" s="64">
        <f>BN55+VLOOKUP($A55,'Incremental Demand for New Gen'!$AG$5:$AQ$53,'Mass Equivalents - States, Opt1'!BN$7-2018,0)</f>
        <v>50578095.420860492</v>
      </c>
      <c r="CN55" s="64">
        <f>BO55+VLOOKUP($A55,'Incremental Demand for New Gen'!$AG$5:$AQ$53,'Mass Equivalents - States, Opt1'!BO$7-2018,0)</f>
        <v>50890237.130531631</v>
      </c>
      <c r="CO55" s="64">
        <f>BP55+VLOOKUP($A55,'Incremental Demand for New Gen'!$AG$5:$AQ$53,'Mass Equivalents - States, Opt1'!BP$7-2018,0)</f>
        <v>51203612.04122337</v>
      </c>
      <c r="CP55" s="65">
        <f>BQ55+VLOOKUP($A55,'Incremental Demand for New Gen'!$AG$5:$AQ$53,'Mass Equivalents - States, Opt1'!BQ$7-2018,0)</f>
        <v>51518225.025032952</v>
      </c>
      <c r="CQ55" s="29"/>
      <c r="CR55" s="71">
        <f t="shared" si="52"/>
        <v>30408.726727156107</v>
      </c>
      <c r="CS55" s="72">
        <f t="shared" si="53"/>
        <v>30026.85282474789</v>
      </c>
      <c r="CT55" s="72">
        <f t="shared" si="54"/>
        <v>29685.087330197581</v>
      </c>
      <c r="CU55" s="72">
        <f t="shared" si="55"/>
        <v>29379.008083206063</v>
      </c>
      <c r="CV55" s="72">
        <f t="shared" si="56"/>
        <v>29104.734131161767</v>
      </c>
      <c r="CW55" s="72">
        <f t="shared" si="57"/>
        <v>28858.833059060918</v>
      </c>
      <c r="CX55" s="72">
        <f t="shared" si="58"/>
        <v>28638.245539240383</v>
      </c>
      <c r="CY55" s="72">
        <f t="shared" si="59"/>
        <v>28440.223433815063</v>
      </c>
      <c r="CZ55" s="72">
        <f t="shared" si="60"/>
        <v>28262.278656596176</v>
      </c>
      <c r="DA55" s="72">
        <f t="shared" si="61"/>
        <v>28102.140650102036</v>
      </c>
      <c r="DB55" s="75">
        <f t="shared" si="35"/>
        <v>29090.613043528399</v>
      </c>
      <c r="DC55" s="76">
        <f t="shared" si="36"/>
        <v>28102.140650102036</v>
      </c>
    </row>
    <row r="56" spans="1:107" ht="15.75" thickBot="1" x14ac:dyDescent="0.3">
      <c r="A56" s="16" t="s">
        <v>90</v>
      </c>
      <c r="B56" s="17">
        <v>2330.5399379</v>
      </c>
      <c r="C56" s="17">
        <v>0</v>
      </c>
      <c r="D56" s="17">
        <v>0</v>
      </c>
      <c r="E56" s="17">
        <v>0</v>
      </c>
      <c r="F56" s="17">
        <v>42907427</v>
      </c>
      <c r="G56" s="17">
        <v>0</v>
      </c>
      <c r="H56" s="17">
        <v>0</v>
      </c>
      <c r="I56" s="17">
        <v>0</v>
      </c>
      <c r="J56" s="17">
        <v>0</v>
      </c>
      <c r="K56" s="17">
        <v>220</v>
      </c>
      <c r="L56" s="18">
        <f t="shared" si="24"/>
        <v>2190.707541626</v>
      </c>
      <c r="M56" s="19">
        <f t="shared" si="62"/>
        <v>42617555</v>
      </c>
      <c r="N56" s="19">
        <f t="shared" si="63"/>
        <v>0</v>
      </c>
      <c r="O56" s="19">
        <f t="shared" si="2"/>
        <v>289872</v>
      </c>
      <c r="P56" s="19">
        <f>0.55*8784*907*K56+E56</f>
        <v>964017648.00000012</v>
      </c>
      <c r="Q56" s="19">
        <f t="shared" si="26"/>
        <v>1062864</v>
      </c>
      <c r="R56" s="20"/>
      <c r="S56" s="20"/>
      <c r="T56" s="21"/>
      <c r="U56" s="22">
        <v>5535669.1312646288</v>
      </c>
      <c r="V56" s="22">
        <v>5873060.6424570326</v>
      </c>
      <c r="W56" s="22">
        <v>6231015.7077791048</v>
      </c>
      <c r="X56" s="22">
        <v>6610787.6479114676</v>
      </c>
      <c r="Y56" s="22">
        <v>7013706.1717271032</v>
      </c>
      <c r="Z56" s="22">
        <v>7441182.0320478771</v>
      </c>
      <c r="AA56" s="22">
        <v>7894711.9651630903</v>
      </c>
      <c r="AB56" s="22">
        <v>8375883.931404979</v>
      </c>
      <c r="AC56" s="22">
        <v>8886382.675130168</v>
      </c>
      <c r="AD56" s="22">
        <v>9427995.6235744376</v>
      </c>
      <c r="AE56" s="23">
        <v>1.6109767718954466E-2</v>
      </c>
      <c r="AF56" s="23">
        <v>2.4169111686105388E-2</v>
      </c>
      <c r="AG56" s="23">
        <v>3.3543356738429266E-2</v>
      </c>
      <c r="AH56" s="23">
        <v>4.4078154492566524E-2</v>
      </c>
      <c r="AI56" s="23">
        <v>5.5300439079744107E-2</v>
      </c>
      <c r="AJ56" s="23">
        <v>6.553219255481714E-2</v>
      </c>
      <c r="AK56" s="23">
        <v>7.4813278502671873E-2</v>
      </c>
      <c r="AL56" s="23">
        <v>8.3181666327165629E-2</v>
      </c>
      <c r="AM56" s="23">
        <v>9.0673517381413937E-2</v>
      </c>
      <c r="AN56" s="23">
        <v>9.732326713778354E-2</v>
      </c>
      <c r="AO56" s="23">
        <v>2.5615024889708833</v>
      </c>
      <c r="AP56" s="24">
        <v>18245902.685399998</v>
      </c>
      <c r="AQ56" s="25">
        <f>(($L56*$M56)+($N56*$D56)+(907*$O56)+$P56)/($M56+$N56+$O56+$Q56+$T56+U56+(MIN(AE56*$AP56,$AP56*$AO56*AE56)))</f>
        <v>1899.392080353738</v>
      </c>
      <c r="AR56" s="25">
        <f t="shared" ref="AR56:AZ56" si="64">(($L56*$M56)+($N56*$D56)+(907*$O56)+$P56)/($M56+$N56+$O56+$Q56+$T56+V56+(MIN(AF56*$AP56,$AP56*$AO56*AF56)))</f>
        <v>1881.093254104266</v>
      </c>
      <c r="AS56" s="25">
        <f t="shared" si="64"/>
        <v>1861.5099699419302</v>
      </c>
      <c r="AT56" s="25">
        <f t="shared" si="64"/>
        <v>1840.7888217977668</v>
      </c>
      <c r="AU56" s="25">
        <f t="shared" si="64"/>
        <v>1819.2742127555118</v>
      </c>
      <c r="AV56" s="25">
        <f t="shared" si="64"/>
        <v>1798.0350590622877</v>
      </c>
      <c r="AW56" s="25">
        <f t="shared" si="64"/>
        <v>1776.9953374447309</v>
      </c>
      <c r="AX56" s="25">
        <f t="shared" si="64"/>
        <v>1756.0839734654164</v>
      </c>
      <c r="AY56" s="25">
        <f t="shared" si="64"/>
        <v>1735.2345002920363</v>
      </c>
      <c r="AZ56" s="25">
        <f t="shared" si="64"/>
        <v>1714.3847905317243</v>
      </c>
      <c r="BA56" s="26">
        <f t="shared" si="29"/>
        <v>1808.2791999749406</v>
      </c>
      <c r="BB56" s="26">
        <f t="shared" si="30"/>
        <v>1714.3847905317243</v>
      </c>
      <c r="BC56" s="69"/>
      <c r="BD56" s="70"/>
      <c r="BE56" s="80">
        <f t="shared" si="31"/>
        <v>43970291</v>
      </c>
      <c r="BF56" s="80">
        <f t="shared" si="32"/>
        <v>45358.144376821758</v>
      </c>
      <c r="BG56" s="84"/>
      <c r="BH56" s="66">
        <f>MAX($BE56-VLOOKUP($A56,'RE Generation'!$A$4:$M$52,'Mass Equivalents - States, Opt1'!BH$7-2016,0)-VLOOKUP('Mass Equivalents - States, Opt1'!$A56,'EE Avoided Generation'!$A$4:$K$52,'Mass Equivalents - States, Opt1'!BH$7-2018,0)-VLOOKUP($A56,'Under Construction Nuclear'!$B$5:$D$53,3,0),0)+U56+$T56+VLOOKUP('Mass Equivalents - States, Opt1'!$A56,'EE Avoided Generation'!$A$4:$K$52,'Mass Equivalents - States, Opt1'!BH$7-2018,0)</f>
        <v>48339398</v>
      </c>
      <c r="BI56" s="67">
        <f>MAX($BE56-VLOOKUP($A56,'RE Generation'!$A$4:$M$52,'Mass Equivalents - States, Opt1'!BI$7-2016,0)-VLOOKUP('Mass Equivalents - States, Opt1'!$A56,'EE Avoided Generation'!$A$4:$K$52,'Mass Equivalents - States, Opt1'!BI$7-2018,0)-VLOOKUP($A56,'Under Construction Nuclear'!$B$5:$D$53,3,0),0)+V56+$T56+VLOOKUP('Mass Equivalents - States, Opt1'!$A56,'EE Avoided Generation'!$A$4:$K$52,'Mass Equivalents - States, Opt1'!BI$7-2018,0)</f>
        <v>48339398</v>
      </c>
      <c r="BJ56" s="67">
        <f>MAX($BE56-VLOOKUP($A56,'RE Generation'!$A$4:$M$52,'Mass Equivalents - States, Opt1'!BJ$7-2016,0)-VLOOKUP('Mass Equivalents - States, Opt1'!$A56,'EE Avoided Generation'!$A$4:$K$52,'Mass Equivalents - States, Opt1'!BJ$7-2018,0)-VLOOKUP($A56,'Under Construction Nuclear'!$B$5:$D$53,3,0),0)+W56+$T56+VLOOKUP('Mass Equivalents - States, Opt1'!$A56,'EE Avoided Generation'!$A$4:$K$52,'Mass Equivalents - States, Opt1'!BJ$7-2018,0)</f>
        <v>48339398</v>
      </c>
      <c r="BK56" s="67">
        <f>MAX($BE56-VLOOKUP($A56,'RE Generation'!$A$4:$M$52,'Mass Equivalents - States, Opt1'!BK$7-2016,0)-VLOOKUP('Mass Equivalents - States, Opt1'!$A56,'EE Avoided Generation'!$A$4:$K$52,'Mass Equivalents - States, Opt1'!BK$7-2018,0)-VLOOKUP($A56,'Under Construction Nuclear'!$B$5:$D$53,3,0),0)+X56+$T56+VLOOKUP('Mass Equivalents - States, Opt1'!$A56,'EE Avoided Generation'!$A$4:$K$52,'Mass Equivalents - States, Opt1'!BK$7-2018,0)</f>
        <v>48339398</v>
      </c>
      <c r="BL56" s="67">
        <f>MAX($BE56-VLOOKUP($A56,'RE Generation'!$A$4:$M$52,'Mass Equivalents - States, Opt1'!BL$7-2016,0)-VLOOKUP('Mass Equivalents - States, Opt1'!$A56,'EE Avoided Generation'!$A$4:$K$52,'Mass Equivalents - States, Opt1'!BL$7-2018,0)-VLOOKUP($A56,'Under Construction Nuclear'!$B$5:$D$53,3,0),0)+Y56+$T56+VLOOKUP('Mass Equivalents - States, Opt1'!$A56,'EE Avoided Generation'!$A$4:$K$52,'Mass Equivalents - States, Opt1'!BL$7-2018,0)</f>
        <v>48339398</v>
      </c>
      <c r="BM56" s="67">
        <f>MAX($BE56-VLOOKUP($A56,'RE Generation'!$A$4:$M$52,'Mass Equivalents - States, Opt1'!BM$7-2016,0)-VLOOKUP('Mass Equivalents - States, Opt1'!$A56,'EE Avoided Generation'!$A$4:$K$52,'Mass Equivalents - States, Opt1'!BM$7-2018,0)-VLOOKUP($A56,'Under Construction Nuclear'!$B$5:$D$53,3,0),0)+Z56+$T56+VLOOKUP('Mass Equivalents - States, Opt1'!$A56,'EE Avoided Generation'!$A$4:$K$52,'Mass Equivalents - States, Opt1'!BM$7-2018,0)</f>
        <v>48339398</v>
      </c>
      <c r="BN56" s="67">
        <f>MAX($BE56-VLOOKUP($A56,'RE Generation'!$A$4:$M$52,'Mass Equivalents - States, Opt1'!BN$7-2016,0)-VLOOKUP('Mass Equivalents - States, Opt1'!$A56,'EE Avoided Generation'!$A$4:$K$52,'Mass Equivalents - States, Opt1'!BN$7-2018,0)-VLOOKUP($A56,'Under Construction Nuclear'!$B$5:$D$53,3,0),0)+AA56+$T56+VLOOKUP('Mass Equivalents - States, Opt1'!$A56,'EE Avoided Generation'!$A$4:$K$52,'Mass Equivalents - States, Opt1'!BN$7-2018,0)</f>
        <v>48339398</v>
      </c>
      <c r="BO56" s="67">
        <f>MAX($BE56-VLOOKUP($A56,'RE Generation'!$A$4:$M$52,'Mass Equivalents - States, Opt1'!BO$7-2016,0)-VLOOKUP('Mass Equivalents - States, Opt1'!$A56,'EE Avoided Generation'!$A$4:$K$52,'Mass Equivalents - States, Opt1'!BO$7-2018,0)-VLOOKUP($A56,'Under Construction Nuclear'!$B$5:$D$53,3,0),0)+AB56+$T56+VLOOKUP('Mass Equivalents - States, Opt1'!$A56,'EE Avoided Generation'!$A$4:$K$52,'Mass Equivalents - States, Opt1'!BO$7-2018,0)</f>
        <v>48339398</v>
      </c>
      <c r="BP56" s="67">
        <f>MAX($BE56-VLOOKUP($A56,'RE Generation'!$A$4:$M$52,'Mass Equivalents - States, Opt1'!BP$7-2016,0)-VLOOKUP('Mass Equivalents - States, Opt1'!$A56,'EE Avoided Generation'!$A$4:$K$52,'Mass Equivalents - States, Opt1'!BP$7-2018,0)-VLOOKUP($A56,'Under Construction Nuclear'!$B$5:$D$53,3,0),0)+AC56+$T56+VLOOKUP('Mass Equivalents - States, Opt1'!$A56,'EE Avoided Generation'!$A$4:$K$52,'Mass Equivalents - States, Opt1'!BP$7-2018,0)</f>
        <v>48339398</v>
      </c>
      <c r="BQ56" s="68">
        <f>MAX($BE56-VLOOKUP($A56,'RE Generation'!$A$4:$M$52,'Mass Equivalents - States, Opt1'!BQ$7-2016,0)-VLOOKUP('Mass Equivalents - States, Opt1'!$A56,'EE Avoided Generation'!$A$4:$K$52,'Mass Equivalents - States, Opt1'!BQ$7-2018,0)-VLOOKUP($A56,'Under Construction Nuclear'!$B$5:$D$53,3,0),0)+AD56+$T56+VLOOKUP('Mass Equivalents - States, Opt1'!$A56,'EE Avoided Generation'!$A$4:$K$52,'Mass Equivalents - States, Opt1'!BQ$7-2018,0)</f>
        <v>48339398</v>
      </c>
      <c r="BR56" s="29"/>
      <c r="BS56" s="73">
        <f t="shared" si="42"/>
        <v>41646.846046151863</v>
      </c>
      <c r="BT56" s="74">
        <f t="shared" si="43"/>
        <v>41245.618512605914</v>
      </c>
      <c r="BU56" s="74">
        <f t="shared" si="44"/>
        <v>40816.227430573526</v>
      </c>
      <c r="BV56" s="74">
        <f t="shared" si="45"/>
        <v>40361.887078423191</v>
      </c>
      <c r="BW56" s="74">
        <f t="shared" si="46"/>
        <v>39890.148978747071</v>
      </c>
      <c r="BX56" s="74">
        <f t="shared" si="47"/>
        <v>39424.450625488942</v>
      </c>
      <c r="BY56" s="74">
        <f t="shared" si="48"/>
        <v>38963.125101325924</v>
      </c>
      <c r="BZ56" s="74">
        <f t="shared" si="49"/>
        <v>38504.613999131921</v>
      </c>
      <c r="CA56" s="74">
        <f t="shared" si="50"/>
        <v>38047.459940011366</v>
      </c>
      <c r="CB56" s="74">
        <f t="shared" si="51"/>
        <v>37590.300693389188</v>
      </c>
      <c r="CC56" s="77">
        <f t="shared" si="33"/>
        <v>39649.067840584896</v>
      </c>
      <c r="CD56" s="78">
        <f t="shared" si="34"/>
        <v>37590.300693389188</v>
      </c>
      <c r="CG56" s="66">
        <f>BH56+VLOOKUP($A56,'Incremental Demand for New Gen'!$AG$5:$AQ$53,'Mass Equivalents - States, Opt1'!BH$7-2018,0)</f>
        <v>48884477.08460746</v>
      </c>
      <c r="CH56" s="67">
        <f>BI56+VLOOKUP($A56,'Incremental Demand for New Gen'!$AG$5:$AQ$53,'Mass Equivalents - States, Opt1'!BI$7-2018,0)</f>
        <v>49094776.604030021</v>
      </c>
      <c r="CI56" s="67">
        <f>BJ56+VLOOKUP($A56,'Incremental Demand for New Gen'!$AG$5:$AQ$53,'Mass Equivalents - States, Opt1'!BJ$7-2018,0)</f>
        <v>49307301.177636132</v>
      </c>
      <c r="CJ56" s="67">
        <f>BK56+VLOOKUP($A56,'Incremental Demand for New Gen'!$AG$5:$AQ$53,'Mass Equivalents - States, Opt1'!BK$7-2018,0)</f>
        <v>49522074.347401232</v>
      </c>
      <c r="CK56" s="67">
        <f>BL56+VLOOKUP($A56,'Incremental Demand for New Gen'!$AG$5:$AQ$53,'Mass Equivalents - States, Opt1'!BL$7-2018,0)</f>
        <v>49739119.90438439</v>
      </c>
      <c r="CL56" s="67">
        <f>BM56+VLOOKUP($A56,'Incremental Demand for New Gen'!$AG$5:$AQ$53,'Mass Equivalents - States, Opt1'!BM$7-2018,0)</f>
        <v>49958461.891363747</v>
      </c>
      <c r="CM56" s="67">
        <f>BN56+VLOOKUP($A56,'Incremental Demand for New Gen'!$AG$5:$AQ$53,'Mass Equivalents - States, Opt1'!BN$7-2018,0)</f>
        <v>50180124.605499759</v>
      </c>
      <c r="CN56" s="67">
        <f>BO56+VLOOKUP($A56,'Incremental Demand for New Gen'!$AG$5:$AQ$53,'Mass Equivalents - States, Opt1'!BO$7-2018,0)</f>
        <v>50404132.601026721</v>
      </c>
      <c r="CO56" s="67">
        <f>BP56+VLOOKUP($A56,'Incremental Demand for New Gen'!$AG$5:$AQ$53,'Mass Equivalents - States, Opt1'!BP$7-2018,0)</f>
        <v>50630510.691972665</v>
      </c>
      <c r="CP56" s="68">
        <f>BQ56+VLOOKUP($A56,'Incremental Demand for New Gen'!$AG$5:$AQ$53,'Mass Equivalents - States, Opt1'!BQ$7-2018,0)</f>
        <v>50859283.954908088</v>
      </c>
      <c r="CQ56" s="29"/>
      <c r="CR56" s="73">
        <f t="shared" si="52"/>
        <v>42116.459356595333</v>
      </c>
      <c r="CS56" s="74">
        <f t="shared" si="53"/>
        <v>41890.145731054254</v>
      </c>
      <c r="CT56" s="74">
        <f t="shared" si="54"/>
        <v>41633.493632961305</v>
      </c>
      <c r="CU56" s="74">
        <f t="shared" si="55"/>
        <v>41349.3848785433</v>
      </c>
      <c r="CV56" s="74">
        <f t="shared" si="56"/>
        <v>41045.213328011596</v>
      </c>
      <c r="CW56" s="74">
        <f t="shared" si="57"/>
        <v>40744.920202801055</v>
      </c>
      <c r="CX56" s="74">
        <f t="shared" si="58"/>
        <v>40446.810541666448</v>
      </c>
      <c r="CY56" s="74">
        <f t="shared" si="59"/>
        <v>40149.272644305485</v>
      </c>
      <c r="CZ56" s="74">
        <f t="shared" si="60"/>
        <v>39850.771978896948</v>
      </c>
      <c r="DA56" s="74">
        <f t="shared" si="61"/>
        <v>39549.846626461069</v>
      </c>
      <c r="DB56" s="77">
        <f t="shared" si="35"/>
        <v>40877.631892129677</v>
      </c>
      <c r="DC56" s="78">
        <f t="shared" si="36"/>
        <v>39549.846626461069</v>
      </c>
    </row>
    <row r="57" spans="1:107" x14ac:dyDescent="0.25">
      <c r="A57" s="32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CC57" s="29"/>
      <c r="CD57" s="29"/>
      <c r="DB57" s="29"/>
      <c r="DC57" s="29"/>
    </row>
    <row r="58" spans="1:107" x14ac:dyDescent="0.25"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</row>
    <row r="59" spans="1:107" x14ac:dyDescent="0.25"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</row>
    <row r="60" spans="1:107" x14ac:dyDescent="0.25">
      <c r="E60" s="31"/>
      <c r="F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</row>
    <row r="61" spans="1:107" x14ac:dyDescent="0.25"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</row>
  </sheetData>
  <mergeCells count="12">
    <mergeCell ref="CR6:DC6"/>
    <mergeCell ref="BF6:BF7"/>
    <mergeCell ref="A5:BB5"/>
    <mergeCell ref="BH6:BQ6"/>
    <mergeCell ref="BS6:CD6"/>
    <mergeCell ref="BE6:BE7"/>
    <mergeCell ref="CG6:CP6"/>
    <mergeCell ref="B6:K6"/>
    <mergeCell ref="M6:S6"/>
    <mergeCell ref="U6:AD6"/>
    <mergeCell ref="AE6:AP6"/>
    <mergeCell ref="AQ6:BB6"/>
  </mergeCells>
  <printOptions gridLines="1"/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61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2" style="27" customWidth="1"/>
    <col min="13" max="13" width="11.140625" style="27" customWidth="1"/>
    <col min="14" max="14" width="10.5703125" style="27" customWidth="1"/>
    <col min="15" max="15" width="11.7109375" style="27" customWidth="1"/>
    <col min="16" max="16" width="13.85546875" style="27" bestFit="1" customWidth="1"/>
    <col min="17" max="17" width="11.7109375" style="27" customWidth="1"/>
    <col min="18" max="18" width="12" style="27" customWidth="1"/>
    <col min="19" max="19" width="14.7109375" style="27" customWidth="1"/>
    <col min="20" max="30" width="15.5703125" style="27" customWidth="1"/>
    <col min="31" max="34" width="13.42578125" style="33" customWidth="1"/>
    <col min="35" max="39" width="13.42578125" style="27" customWidth="1"/>
    <col min="40" max="40" width="11.5703125" style="27" bestFit="1" customWidth="1"/>
    <col min="41" max="41" width="11.140625" style="27" bestFit="1" customWidth="1"/>
    <col min="42" max="44" width="18.7109375" style="27" customWidth="1"/>
    <col min="45" max="45" width="14.140625" style="27" customWidth="1"/>
    <col min="46" max="49" width="14" style="27" bestFit="1" customWidth="1"/>
    <col min="50" max="50" width="9.140625" style="27"/>
    <col min="51" max="51" width="14.85546875" style="27" bestFit="1" customWidth="1"/>
    <col min="52" max="55" width="9.140625" style="27"/>
    <col min="56" max="57" width="14.85546875" style="27" customWidth="1"/>
    <col min="58" max="59" width="9.140625" style="27"/>
    <col min="60" max="70" width="12.85546875" style="27" customWidth="1"/>
    <col min="71" max="72" width="15.85546875" style="27" customWidth="1"/>
    <col min="73" max="16384" width="9.140625" style="27"/>
  </cols>
  <sheetData>
    <row r="1" spans="1:72" ht="23.25" x14ac:dyDescent="0.35">
      <c r="A1" s="89" t="s">
        <v>210</v>
      </c>
      <c r="AE1" s="27"/>
      <c r="AF1" s="27"/>
      <c r="AG1" s="27"/>
      <c r="AH1" s="27"/>
    </row>
    <row r="2" spans="1:72" x14ac:dyDescent="0.25">
      <c r="A2" s="90" t="s">
        <v>179</v>
      </c>
      <c r="AE2" s="27"/>
      <c r="AF2" s="27"/>
      <c r="AG2" s="27"/>
      <c r="AH2" s="27"/>
    </row>
    <row r="3" spans="1:72" x14ac:dyDescent="0.25">
      <c r="A3" s="90" t="s">
        <v>215</v>
      </c>
      <c r="AE3" s="27"/>
      <c r="AF3" s="92"/>
      <c r="AG3" s="27"/>
      <c r="AH3" s="27"/>
    </row>
    <row r="4" spans="1:72" x14ac:dyDescent="0.25">
      <c r="A4" s="90" t="s">
        <v>213</v>
      </c>
      <c r="AE4" s="27"/>
      <c r="AF4" s="27"/>
      <c r="AG4" s="27"/>
      <c r="AH4" s="27"/>
    </row>
    <row r="5" spans="1:72" ht="24" thickBot="1" x14ac:dyDescent="0.4">
      <c r="A5" s="203" t="s">
        <v>168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R5" s="35"/>
    </row>
    <row r="6" spans="1:72" s="4" customFormat="1" ht="47.25" customHeight="1" thickBot="1" x14ac:dyDescent="0.4">
      <c r="A6" s="1"/>
      <c r="B6" s="204" t="s">
        <v>92</v>
      </c>
      <c r="C6" s="204"/>
      <c r="D6" s="204"/>
      <c r="E6" s="204"/>
      <c r="F6" s="204"/>
      <c r="G6" s="204"/>
      <c r="H6" s="204"/>
      <c r="I6" s="204"/>
      <c r="J6" s="204"/>
      <c r="K6" s="205"/>
      <c r="L6" s="2" t="s">
        <v>0</v>
      </c>
      <c r="M6" s="206" t="s">
        <v>164</v>
      </c>
      <c r="N6" s="207"/>
      <c r="O6" s="207"/>
      <c r="P6" s="207"/>
      <c r="Q6" s="207"/>
      <c r="R6" s="207"/>
      <c r="S6" s="208"/>
      <c r="T6" s="3" t="s">
        <v>2</v>
      </c>
      <c r="U6" s="209" t="s">
        <v>165</v>
      </c>
      <c r="V6" s="210"/>
      <c r="W6" s="210"/>
      <c r="X6" s="210"/>
      <c r="Y6" s="210"/>
      <c r="Z6" s="212" t="s">
        <v>94</v>
      </c>
      <c r="AA6" s="213"/>
      <c r="AB6" s="213"/>
      <c r="AC6" s="213"/>
      <c r="AD6" s="213"/>
      <c r="AE6" s="213"/>
      <c r="AF6" s="213"/>
      <c r="AG6" s="214" t="s">
        <v>163</v>
      </c>
      <c r="AH6" s="215"/>
      <c r="AI6" s="215"/>
      <c r="AJ6" s="215"/>
      <c r="AK6" s="215"/>
      <c r="AL6" s="215"/>
      <c r="AM6" s="216"/>
      <c r="AP6" s="276" t="s">
        <v>152</v>
      </c>
      <c r="AQ6" s="276" t="s">
        <v>198</v>
      </c>
      <c r="AR6" s="83"/>
      <c r="AS6" s="306" t="s">
        <v>150</v>
      </c>
      <c r="AT6" s="307"/>
      <c r="AU6" s="307"/>
      <c r="AV6" s="307"/>
      <c r="AW6" s="308"/>
      <c r="AY6" s="306" t="s">
        <v>207</v>
      </c>
      <c r="AZ6" s="307"/>
      <c r="BA6" s="307"/>
      <c r="BB6" s="307"/>
      <c r="BC6" s="307"/>
      <c r="BD6" s="307"/>
      <c r="BE6" s="308"/>
      <c r="BH6" s="303" t="s">
        <v>151</v>
      </c>
      <c r="BI6" s="304"/>
      <c r="BJ6" s="304"/>
      <c r="BK6" s="304"/>
      <c r="BL6" s="305"/>
      <c r="BN6" s="303" t="s">
        <v>206</v>
      </c>
      <c r="BO6" s="304"/>
      <c r="BP6" s="304"/>
      <c r="BQ6" s="304"/>
      <c r="BR6" s="304"/>
      <c r="BS6" s="304"/>
      <c r="BT6" s="305"/>
    </row>
    <row r="7" spans="1:72" s="15" customFormat="1" ht="90" customHeight="1" x14ac:dyDescent="0.25">
      <c r="A7" s="5" t="s">
        <v>5</v>
      </c>
      <c r="B7" s="6" t="s">
        <v>6</v>
      </c>
      <c r="C7" s="6" t="s">
        <v>7</v>
      </c>
      <c r="D7" s="6" t="s">
        <v>95</v>
      </c>
      <c r="E7" s="6" t="s">
        <v>8</v>
      </c>
      <c r="F7" s="6" t="s">
        <v>156</v>
      </c>
      <c r="G7" s="6" t="s">
        <v>157</v>
      </c>
      <c r="H7" s="6" t="s">
        <v>11</v>
      </c>
      <c r="I7" s="6" t="s">
        <v>12</v>
      </c>
      <c r="J7" s="6" t="s">
        <v>13</v>
      </c>
      <c r="K7" s="6" t="s">
        <v>14</v>
      </c>
      <c r="L7" s="7" t="s">
        <v>15</v>
      </c>
      <c r="M7" s="8" t="s">
        <v>16</v>
      </c>
      <c r="N7" s="8" t="s">
        <v>96</v>
      </c>
      <c r="O7" s="8" t="s">
        <v>17</v>
      </c>
      <c r="P7" s="8" t="s">
        <v>8</v>
      </c>
      <c r="Q7" s="8" t="s">
        <v>12</v>
      </c>
      <c r="R7" s="8" t="s">
        <v>18</v>
      </c>
      <c r="S7" s="8" t="s">
        <v>158</v>
      </c>
      <c r="T7" s="9" t="s">
        <v>159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1" t="s">
        <v>31</v>
      </c>
      <c r="AA7" s="11" t="s">
        <v>32</v>
      </c>
      <c r="AB7" s="11" t="s">
        <v>33</v>
      </c>
      <c r="AC7" s="11" t="s">
        <v>34</v>
      </c>
      <c r="AD7" s="11" t="s">
        <v>35</v>
      </c>
      <c r="AE7" s="11" t="s">
        <v>41</v>
      </c>
      <c r="AF7" s="12" t="s">
        <v>160</v>
      </c>
      <c r="AG7" s="13">
        <v>2020</v>
      </c>
      <c r="AH7" s="13">
        <v>2021</v>
      </c>
      <c r="AI7" s="13">
        <v>2022</v>
      </c>
      <c r="AJ7" s="13">
        <v>2023</v>
      </c>
      <c r="AK7" s="13">
        <v>2024</v>
      </c>
      <c r="AL7" s="14" t="s">
        <v>161</v>
      </c>
      <c r="AM7" s="14" t="s">
        <v>162</v>
      </c>
      <c r="AP7" s="277"/>
      <c r="AQ7" s="277"/>
      <c r="AR7" s="83"/>
      <c r="AS7" s="290">
        <v>2020</v>
      </c>
      <c r="AT7" s="291">
        <v>2021</v>
      </c>
      <c r="AU7" s="291">
        <v>2022</v>
      </c>
      <c r="AV7" s="291">
        <v>2023</v>
      </c>
      <c r="AW7" s="292">
        <v>2024</v>
      </c>
      <c r="AY7" s="290">
        <v>2020</v>
      </c>
      <c r="AZ7" s="291">
        <v>2021</v>
      </c>
      <c r="BA7" s="291">
        <v>2022</v>
      </c>
      <c r="BB7" s="291">
        <v>2023</v>
      </c>
      <c r="BC7" s="291">
        <v>2024</v>
      </c>
      <c r="BD7" s="293" t="s">
        <v>166</v>
      </c>
      <c r="BE7" s="294" t="s">
        <v>167</v>
      </c>
      <c r="BH7" s="298">
        <v>2020</v>
      </c>
      <c r="BI7" s="299">
        <v>2021</v>
      </c>
      <c r="BJ7" s="299">
        <v>2022</v>
      </c>
      <c r="BK7" s="299">
        <v>2023</v>
      </c>
      <c r="BL7" s="300">
        <v>2024</v>
      </c>
      <c r="BN7" s="298">
        <v>2020</v>
      </c>
      <c r="BO7" s="299">
        <v>2021</v>
      </c>
      <c r="BP7" s="299">
        <v>2022</v>
      </c>
      <c r="BQ7" s="299">
        <v>2023</v>
      </c>
      <c r="BR7" s="299">
        <v>2024</v>
      </c>
      <c r="BS7" s="301" t="s">
        <v>166</v>
      </c>
      <c r="BT7" s="302" t="s">
        <v>167</v>
      </c>
    </row>
    <row r="8" spans="1:72" ht="15" customHeight="1" x14ac:dyDescent="0.25">
      <c r="A8" s="16" t="s">
        <v>42</v>
      </c>
      <c r="B8" s="17">
        <v>2264.0354115</v>
      </c>
      <c r="C8" s="17">
        <v>876.68376069999999</v>
      </c>
      <c r="D8" s="17">
        <v>0</v>
      </c>
      <c r="E8" s="17">
        <v>0</v>
      </c>
      <c r="F8" s="17">
        <v>46045176</v>
      </c>
      <c r="G8" s="17">
        <v>53492095.964400001</v>
      </c>
      <c r="H8" s="17">
        <v>0</v>
      </c>
      <c r="I8" s="17">
        <v>0</v>
      </c>
      <c r="J8" s="17">
        <v>10333.1</v>
      </c>
      <c r="K8" s="17">
        <v>0</v>
      </c>
      <c r="L8" s="18">
        <f>B8*0.96</f>
        <v>2173.4739950399999</v>
      </c>
      <c r="M8" s="19">
        <f t="shared" ref="M8:M18" si="0">MAX(F8-((O8-G8)*(F8/(F8+H8))), 0)</f>
        <v>40539404.204399996</v>
      </c>
      <c r="N8" s="19">
        <f t="shared" ref="N8:N18" si="1">MAX(H8-((O8-G8)*(H8/(H8+F8))),0)</f>
        <v>0</v>
      </c>
      <c r="O8" s="19">
        <f>MIN(((J8*8784*0.65)+(0.1*K8*8784)), SUM(F8:H8))</f>
        <v>58997867.760000005</v>
      </c>
      <c r="P8" s="19">
        <f>0.55*8784*C8*K8+E8</f>
        <v>0</v>
      </c>
      <c r="Q8" s="19">
        <f>K8*8784*0.55+I8</f>
        <v>0</v>
      </c>
      <c r="R8" s="20">
        <f>G8/(8784*J8)</f>
        <v>0.5893409998866711</v>
      </c>
      <c r="S8" s="20">
        <f>(O8-(0.1*K8*8784))/(8784*J8)</f>
        <v>0.65</v>
      </c>
      <c r="T8" s="21">
        <v>2329528.2830145163</v>
      </c>
      <c r="U8" s="22">
        <v>4596882.7422880698</v>
      </c>
      <c r="V8" s="22">
        <v>5214380.8872008417</v>
      </c>
      <c r="W8" s="22">
        <v>5914827.408295366</v>
      </c>
      <c r="X8" s="22">
        <v>6709364.7408451298</v>
      </c>
      <c r="Y8" s="22">
        <v>7610632.0807540147</v>
      </c>
      <c r="Z8" s="23">
        <v>1.074199265092114E-2</v>
      </c>
      <c r="AA8" s="23">
        <v>1.6533562846708469E-2</v>
      </c>
      <c r="AB8" s="23">
        <v>2.335660621955165E-2</v>
      </c>
      <c r="AC8" s="23">
        <v>3.1102900681908418E-2</v>
      </c>
      <c r="AD8" s="23">
        <v>3.8586172491681683E-2</v>
      </c>
      <c r="AE8" s="23">
        <v>1.5062729353312405</v>
      </c>
      <c r="AF8" s="24">
        <v>92654857.354800001</v>
      </c>
      <c r="AG8" s="25">
        <f t="shared" ref="AG8:AK39" si="2">(($L8*$M8)+($N8*$D8)+($C8*$O8)+$P8)/($M8+$N8+$O8+$Q8+$T8+U8+(MIN(Z8*$AF8,$AF8*$AE8*Z8)))</f>
        <v>1301.2761927422816</v>
      </c>
      <c r="AH8" s="25">
        <f t="shared" si="2"/>
        <v>1287.4489218137539</v>
      </c>
      <c r="AI8" s="25">
        <f t="shared" si="2"/>
        <v>1271.8439591741887</v>
      </c>
      <c r="AJ8" s="25">
        <f t="shared" si="2"/>
        <v>1254.5875004649356</v>
      </c>
      <c r="AK8" s="25">
        <f t="shared" si="2"/>
        <v>1236.8913052319392</v>
      </c>
      <c r="AL8" s="26">
        <f t="shared" ref="AL8:AL56" si="3">AVERAGE(AG8:AK8)</f>
        <v>1270.4095758854198</v>
      </c>
      <c r="AM8" s="26">
        <f>AK8</f>
        <v>1236.8913052319392</v>
      </c>
      <c r="AN8" s="69"/>
      <c r="AO8" s="70"/>
      <c r="AP8" s="79">
        <f t="shared" ref="AP8:AP39" si="4">M8+N8+O8+Q8</f>
        <v>99537271.964399993</v>
      </c>
      <c r="AQ8" s="79">
        <f t="shared" ref="AQ8:AQ39" si="5">((B8*F8)+(C8*G8)+(D8*H8)+E8)/2204.62*10^-3</f>
        <v>68557.647508661554</v>
      </c>
      <c r="AR8" s="84"/>
      <c r="AS8" s="63">
        <f>MAX($AP8-VLOOKUP($A8,'RE Generation'!$A$4:$M$52,'Mass Equivalents - States, Opt2'!AS$7-2016,0)-VLOOKUP('Mass Equivalents - States, Opt2'!$A8,'EE Avoided Generation'!$N$4:$S$52,'Mass Equivalents - States, Opt2'!AS$7-2018,0)-VLOOKUP($A8,'Under Construction Nuclear'!$B$5:$D$53,3,0),0)+U8+$T8+VLOOKUP('Mass Equivalents - States, Opt2'!$A8,'EE Avoided Generation'!$N$4:$S$52,'Mass Equivalents - States, Opt2'!AS$7-2018,0)</f>
        <v>104643354.24741451</v>
      </c>
      <c r="AT8" s="64">
        <f>MAX($AP8-VLOOKUP($A8,'RE Generation'!$A$4:$M$52,'Mass Equivalents - States, Opt2'!AT$7-2016,0)-VLOOKUP('Mass Equivalents - States, Opt2'!$A8,'EE Avoided Generation'!$N$4:$S$52,'Mass Equivalents - States, Opt2'!AT$7-2018,0)-VLOOKUP($A8,'Under Construction Nuclear'!$B$5:$D$53,3,0),0)+V8+$T8+VLOOKUP('Mass Equivalents - States, Opt2'!$A8,'EE Avoided Generation'!$N$4:$S$52,'Mass Equivalents - States, Opt2'!AT$7-2018,0)</f>
        <v>104643354.24741451</v>
      </c>
      <c r="AU8" s="64">
        <f>MAX($AP8-VLOOKUP($A8,'RE Generation'!$A$4:$M$52,'Mass Equivalents - States, Opt2'!AU$7-2016,0)-VLOOKUP('Mass Equivalents - States, Opt2'!$A8,'EE Avoided Generation'!$N$4:$S$52,'Mass Equivalents - States, Opt2'!AU$7-2018,0)-VLOOKUP($A8,'Under Construction Nuclear'!$B$5:$D$53,3,0),0)+W8+$T8+VLOOKUP('Mass Equivalents - States, Opt2'!$A8,'EE Avoided Generation'!$N$4:$S$52,'Mass Equivalents - States, Opt2'!AU$7-2018,0)</f>
        <v>104643354.24741451</v>
      </c>
      <c r="AV8" s="64">
        <f>MAX($AP8-VLOOKUP($A8,'RE Generation'!$A$4:$M$52,'Mass Equivalents - States, Opt2'!AV$7-2016,0)-VLOOKUP('Mass Equivalents - States, Opt2'!$A8,'EE Avoided Generation'!$N$4:$S$52,'Mass Equivalents - States, Opt2'!AV$7-2018,0)-VLOOKUP($A8,'Under Construction Nuclear'!$B$5:$D$53,3,0),0)+X8+$T8+VLOOKUP('Mass Equivalents - States, Opt2'!$A8,'EE Avoided Generation'!$N$4:$S$52,'Mass Equivalents - States, Opt2'!AV$7-2018,0)</f>
        <v>104643354.24741451</v>
      </c>
      <c r="AW8" s="65">
        <f>MAX($AP8-VLOOKUP($A8,'RE Generation'!$A$4:$M$52,'Mass Equivalents - States, Opt2'!AW$7-2016,0)-VLOOKUP('Mass Equivalents - States, Opt2'!$A8,'EE Avoided Generation'!$N$4:$S$52,'Mass Equivalents - States, Opt2'!AW$7-2018,0)-VLOOKUP($A8,'Under Construction Nuclear'!$B$5:$D$53,3,0),0)+Y8+$T8+VLOOKUP('Mass Equivalents - States, Opt2'!$A8,'EE Avoided Generation'!$N$4:$S$52,'Mass Equivalents - States, Opt2'!AW$7-2018,0)</f>
        <v>104643354.24741451</v>
      </c>
      <c r="AX8" s="29"/>
      <c r="AY8" s="71">
        <f>AS8*AG8/2204.62*10^-3</f>
        <v>61765.703663605258</v>
      </c>
      <c r="AZ8" s="72">
        <f t="shared" ref="AZ8:BC8" si="6">AT8*AH8/2204.62*10^-3</f>
        <v>61109.385563411626</v>
      </c>
      <c r="BA8" s="72">
        <f t="shared" si="6"/>
        <v>60368.688466628642</v>
      </c>
      <c r="BB8" s="72">
        <f t="shared" si="6"/>
        <v>59549.602310389353</v>
      </c>
      <c r="BC8" s="72">
        <f t="shared" si="6"/>
        <v>58709.643847435269</v>
      </c>
      <c r="BD8" s="75">
        <f t="shared" ref="BD8:BD39" si="7">AVERAGE(AY8:BC8)</f>
        <v>60300.604770294027</v>
      </c>
      <c r="BE8" s="76">
        <f>BC8</f>
        <v>58709.643847435269</v>
      </c>
      <c r="BH8" s="63">
        <f>AS8+VLOOKUP($A8,'Incremental Demand for New Gen'!$AG$66:$AL$114,'Mass Equivalents - States, Opt2'!AS$7-2018,0)</f>
        <v>113520308.47300038</v>
      </c>
      <c r="BI8" s="64">
        <f>AT8+VLOOKUP($A8,'Incremental Demand for New Gen'!$AG$66:$AL$114,'Mass Equivalents - States, Opt2'!AT$7-2018,0)</f>
        <v>114688089.85697654</v>
      </c>
      <c r="BJ8" s="64">
        <f>AU8+VLOOKUP($A8,'Incremental Demand for New Gen'!$AG$66:$AL$114,'Mass Equivalents - States, Opt2'!AU$7-2018,0)</f>
        <v>115869294.66485146</v>
      </c>
      <c r="BK8" s="64">
        <f>AV8+VLOOKUP($A8,'Incremental Demand for New Gen'!$AG$66:$AL$114,'Mass Equivalents - States, Opt2'!AV$7-2018,0)</f>
        <v>117064077.19631824</v>
      </c>
      <c r="BL8" s="65">
        <f>AW8+VLOOKUP($A8,'Incremental Demand for New Gen'!$AG$66:$AL$114,'Mass Equivalents - States, Opt2'!AW$7-2018,0)</f>
        <v>118272593.52471551</v>
      </c>
      <c r="BM8" s="29"/>
      <c r="BN8" s="71">
        <f>BH8*AG8/2204.62*10^-3</f>
        <v>67005.322826008705</v>
      </c>
      <c r="BO8" s="72">
        <f t="shared" ref="BO8:BR8" si="8">BI8*AH8/2204.62*10^-3</f>
        <v>66975.287183842738</v>
      </c>
      <c r="BP8" s="72">
        <f t="shared" si="8"/>
        <v>66844.926777977787</v>
      </c>
      <c r="BQ8" s="72">
        <f t="shared" si="8"/>
        <v>66617.887891774168</v>
      </c>
      <c r="BR8" s="72">
        <f t="shared" si="8"/>
        <v>66356.262112269673</v>
      </c>
      <c r="BS8" s="75">
        <f t="shared" ref="BS8:BS39" si="9">AVERAGE(BN8:BR8)</f>
        <v>66759.93735837462</v>
      </c>
      <c r="BT8" s="76">
        <f>BR8</f>
        <v>66356.262112269673</v>
      </c>
    </row>
    <row r="9" spans="1:72" x14ac:dyDescent="0.25">
      <c r="A9" s="16" t="s">
        <v>43</v>
      </c>
      <c r="B9" s="17">
        <v>2851.8639784000002</v>
      </c>
      <c r="C9" s="17">
        <v>1149.0343319000001</v>
      </c>
      <c r="D9" s="17">
        <v>0</v>
      </c>
      <c r="E9" s="17">
        <v>1179006933.8139415</v>
      </c>
      <c r="F9" s="17">
        <v>215407</v>
      </c>
      <c r="G9" s="17">
        <v>2204942.0011</v>
      </c>
      <c r="H9" s="17">
        <v>0</v>
      </c>
      <c r="I9" s="17">
        <v>741852.83059999999</v>
      </c>
      <c r="J9" s="17">
        <v>589</v>
      </c>
      <c r="K9" s="17">
        <v>0</v>
      </c>
      <c r="L9" s="18">
        <f t="shared" ref="L9:L56" si="10">B9*0.96</f>
        <v>2737.7894192640001</v>
      </c>
      <c r="M9" s="19">
        <f t="shared" si="0"/>
        <v>0</v>
      </c>
      <c r="N9" s="19">
        <f t="shared" si="1"/>
        <v>0</v>
      </c>
      <c r="O9" s="19">
        <f t="shared" ref="O9:O56" si="11">MIN(((J9*8784*0.65)+(0.1*K9*8784)), SUM(F9:H9))</f>
        <v>2420349.0011</v>
      </c>
      <c r="P9" s="19">
        <f t="shared" ref="P9:P55" si="12">0.55*8784*C9*K9+E9</f>
        <v>1179006933.8139415</v>
      </c>
      <c r="Q9" s="19">
        <f t="shared" ref="Q9:Q56" si="13">K9*8784*0.55+I9</f>
        <v>741852.83059999999</v>
      </c>
      <c r="R9" s="20">
        <f t="shared" ref="R9:R55" si="14">G9/(8784*J9)</f>
        <v>0.42617654902338253</v>
      </c>
      <c r="S9" s="20">
        <f t="shared" ref="S9:S55" si="15">(O9-(0.1*K9*8784))/(8784*J9)</f>
        <v>0.46781093752416031</v>
      </c>
      <c r="T9" s="21">
        <v>0</v>
      </c>
      <c r="U9" s="22">
        <v>61595</v>
      </c>
      <c r="V9" s="22">
        <v>68633</v>
      </c>
      <c r="W9" s="22">
        <v>76475</v>
      </c>
      <c r="X9" s="22">
        <v>85213</v>
      </c>
      <c r="Y9" s="22">
        <v>94950</v>
      </c>
      <c r="Z9" s="23">
        <v>9.3742991748030826E-3</v>
      </c>
      <c r="AA9" s="23">
        <v>1.4916056726227239E-2</v>
      </c>
      <c r="AB9" s="23">
        <v>2.15313007494373E-2</v>
      </c>
      <c r="AC9" s="23">
        <v>2.9113085330953383E-2</v>
      </c>
      <c r="AD9" s="23">
        <v>3.6851060853078939E-2</v>
      </c>
      <c r="AE9" s="23">
        <v>0.95575594451088541</v>
      </c>
      <c r="AF9" s="24">
        <v>6898283.4660999998</v>
      </c>
      <c r="AG9" s="25">
        <f t="shared" si="2"/>
        <v>1205.280091075492</v>
      </c>
      <c r="AH9" s="25">
        <f t="shared" si="2"/>
        <v>1189.5043171727693</v>
      </c>
      <c r="AI9" s="25">
        <f t="shared" si="2"/>
        <v>1171.3988129119141</v>
      </c>
      <c r="AJ9" s="25">
        <f t="shared" si="2"/>
        <v>1151.3977869864248</v>
      </c>
      <c r="AK9" s="25">
        <f t="shared" si="2"/>
        <v>1131.4121257060697</v>
      </c>
      <c r="AL9" s="26">
        <f t="shared" si="3"/>
        <v>1169.7986267705342</v>
      </c>
      <c r="AM9" s="26">
        <f t="shared" ref="AM9:AM56" si="16">AK9</f>
        <v>1131.4121257060697</v>
      </c>
      <c r="AN9" s="69"/>
      <c r="AO9" s="70"/>
      <c r="AP9" s="79">
        <f t="shared" si="4"/>
        <v>3162201.8317</v>
      </c>
      <c r="AQ9" s="79">
        <f t="shared" si="5"/>
        <v>1962.6386664918846</v>
      </c>
      <c r="AR9" s="84"/>
      <c r="AS9" s="63">
        <f>MAX($AP9-VLOOKUP($A9,'RE Generation'!$A$4:$M$52,'Mass Equivalents - States, Opt2'!AS$7-2016,0)-VLOOKUP('Mass Equivalents - States, Opt2'!$A9,'EE Avoided Generation'!$N$4:$S$52,'Mass Equivalents - States, Opt2'!AS$7-2018,0)-VLOOKUP($A9,'Under Construction Nuclear'!$B$5:$D$53,3,0),0)+U9+$T9+VLOOKUP('Mass Equivalents - States, Opt2'!$A9,'EE Avoided Generation'!$N$4:$S$52,'Mass Equivalents - States, Opt2'!AS$7-2018,0)</f>
        <v>3202159.8217000002</v>
      </c>
      <c r="AT9" s="64">
        <f>MAX($AP9-VLOOKUP($A9,'RE Generation'!$A$4:$M$52,'Mass Equivalents - States, Opt2'!AT$7-2016,0)-VLOOKUP('Mass Equivalents - States, Opt2'!$A9,'EE Avoided Generation'!$N$4:$S$52,'Mass Equivalents - States, Opt2'!AT$7-2018,0)-VLOOKUP($A9,'Under Construction Nuclear'!$B$5:$D$53,3,0),0)+V9+$T9+VLOOKUP('Mass Equivalents - States, Opt2'!$A9,'EE Avoided Generation'!$N$4:$S$52,'Mass Equivalents - States, Opt2'!AT$7-2018,0)</f>
        <v>3202159.8217000002</v>
      </c>
      <c r="AU9" s="64">
        <f>MAX($AP9-VLOOKUP($A9,'RE Generation'!$A$4:$M$52,'Mass Equivalents - States, Opt2'!AU$7-2016,0)-VLOOKUP('Mass Equivalents - States, Opt2'!$A9,'EE Avoided Generation'!$N$4:$S$52,'Mass Equivalents - States, Opt2'!AU$7-2018,0)-VLOOKUP($A9,'Under Construction Nuclear'!$B$5:$D$53,3,0),0)+W9+$T9+VLOOKUP('Mass Equivalents - States, Opt2'!$A9,'EE Avoided Generation'!$N$4:$S$52,'Mass Equivalents - States, Opt2'!AU$7-2018,0)</f>
        <v>3202159.8217000002</v>
      </c>
      <c r="AV9" s="64">
        <f>MAX($AP9-VLOOKUP($A9,'RE Generation'!$A$4:$M$52,'Mass Equivalents - States, Opt2'!AV$7-2016,0)-VLOOKUP('Mass Equivalents - States, Opt2'!$A9,'EE Avoided Generation'!$N$4:$S$52,'Mass Equivalents - States, Opt2'!AV$7-2018,0)-VLOOKUP($A9,'Under Construction Nuclear'!$B$5:$D$53,3,0),0)+X9+$T9+VLOOKUP('Mass Equivalents - States, Opt2'!$A9,'EE Avoided Generation'!$N$4:$S$52,'Mass Equivalents - States, Opt2'!AV$7-2018,0)</f>
        <v>3202159.8217000002</v>
      </c>
      <c r="AW9" s="65">
        <f>MAX($AP9-VLOOKUP($A9,'RE Generation'!$A$4:$M$52,'Mass Equivalents - States, Opt2'!AW$7-2016,0)-VLOOKUP('Mass Equivalents - States, Opt2'!$A9,'EE Avoided Generation'!$N$4:$S$52,'Mass Equivalents - States, Opt2'!AW$7-2018,0)-VLOOKUP($A9,'Under Construction Nuclear'!$B$5:$D$53,3,0),0)+Y9+$T9+VLOOKUP('Mass Equivalents - States, Opt2'!$A9,'EE Avoided Generation'!$N$4:$S$52,'Mass Equivalents - States, Opt2'!AW$7-2018,0)</f>
        <v>3202159.8217000002</v>
      </c>
      <c r="AX9" s="29"/>
      <c r="AY9" s="71">
        <f t="shared" ref="AY9:AY56" si="17">AS9*AG9/2204.62*10^-3</f>
        <v>1750.6415987956464</v>
      </c>
      <c r="AZ9" s="72">
        <f t="shared" ref="AZ9:AZ56" si="18">AT9*AH9/2204.62*10^-3</f>
        <v>1727.7276502024545</v>
      </c>
      <c r="BA9" s="72">
        <f t="shared" ref="BA9:BA56" si="19">AU9*AI9/2204.62*10^-3</f>
        <v>1701.4298218711644</v>
      </c>
      <c r="BB9" s="72">
        <f t="shared" ref="BB9:BB56" si="20">AV9*AJ9/2204.62*10^-3</f>
        <v>1672.3787919379417</v>
      </c>
      <c r="BC9" s="72">
        <f t="shared" ref="BC9:BC56" si="21">AW9*AK9/2204.62*10^-3</f>
        <v>1643.3500787982357</v>
      </c>
      <c r="BD9" s="75">
        <f t="shared" si="7"/>
        <v>1699.1055883210888</v>
      </c>
      <c r="BE9" s="76">
        <f t="shared" ref="BE9:BE56" si="22">BC9</f>
        <v>1643.3500787982357</v>
      </c>
      <c r="BH9" s="63">
        <f>AS9+VLOOKUP($A9,'Incremental Demand for New Gen'!$AG$66:$AL$114,'Mass Equivalents - States, Opt2'!AS$7-2018,0)</f>
        <v>3684288.4904941749</v>
      </c>
      <c r="BI9" s="64">
        <f>AT9+VLOOKUP($A9,'Incremental Demand for New Gen'!$AG$66:$AL$114,'Mass Equivalents - States, Opt2'!AT$7-2018,0)</f>
        <v>3746876.5452270946</v>
      </c>
      <c r="BJ9" s="64">
        <f>AU9+VLOOKUP($A9,'Incremental Demand for New Gen'!$AG$66:$AL$114,'Mass Equivalents - States, Opt2'!AU$7-2018,0)</f>
        <v>3809995.2477173577</v>
      </c>
      <c r="BK9" s="64">
        <f>AV9+VLOOKUP($A9,'Incremental Demand for New Gen'!$AG$66:$AL$114,'Mass Equivalents - States, Opt2'!AV$7-2018,0)</f>
        <v>3873649.0970190344</v>
      </c>
      <c r="BL9" s="65">
        <f>AW9+VLOOKUP($A9,'Incremental Demand for New Gen'!$AG$66:$AL$114,'Mass Equivalents - States, Opt2'!AW$7-2018,0)</f>
        <v>3937842.6303310608</v>
      </c>
      <c r="BM9" s="29"/>
      <c r="BN9" s="71">
        <f t="shared" ref="BN9:BN56" si="23">BH9*AG9/2204.62*10^-3</f>
        <v>2014.2244774025485</v>
      </c>
      <c r="BO9" s="72">
        <f t="shared" ref="BO9:BO56" si="24">BI9*AH9/2204.62*10^-3</f>
        <v>2021.6299527632973</v>
      </c>
      <c r="BP9" s="72">
        <f t="shared" ref="BP9:BP56" si="25">BJ9*AI9/2204.62*10^-3</f>
        <v>2024.3960003883424</v>
      </c>
      <c r="BQ9" s="72">
        <f t="shared" ref="BQ9:BQ56" si="26">BK9*AJ9/2204.62*10^-3</f>
        <v>2023.0747239296018</v>
      </c>
      <c r="BR9" s="72">
        <f t="shared" ref="BR9:BR56" si="27">BL9*AK9/2204.62*10^-3</f>
        <v>2020.9028771755886</v>
      </c>
      <c r="BS9" s="75">
        <f t="shared" si="9"/>
        <v>2020.8456063318758</v>
      </c>
      <c r="BT9" s="76">
        <f t="shared" ref="BT9:BT56" si="28">BR9</f>
        <v>2020.9028771755886</v>
      </c>
    </row>
    <row r="10" spans="1:72" x14ac:dyDescent="0.25">
      <c r="A10" s="16" t="s">
        <v>44</v>
      </c>
      <c r="B10" s="17">
        <v>2268.1042771000002</v>
      </c>
      <c r="C10" s="17">
        <v>899.86091399999998</v>
      </c>
      <c r="D10" s="17">
        <v>1562.9144492</v>
      </c>
      <c r="E10" s="17">
        <v>17227768.092891555</v>
      </c>
      <c r="F10" s="17">
        <v>24335930</v>
      </c>
      <c r="G10" s="17">
        <v>26782325.404100001</v>
      </c>
      <c r="H10" s="17">
        <v>1033871.4028</v>
      </c>
      <c r="I10" s="17">
        <v>19361.3842611</v>
      </c>
      <c r="J10" s="17">
        <v>11201.5</v>
      </c>
      <c r="K10" s="17">
        <v>0</v>
      </c>
      <c r="L10" s="18">
        <f t="shared" si="10"/>
        <v>2177.3801060160004</v>
      </c>
      <c r="M10" s="19">
        <f t="shared" si="0"/>
        <v>0</v>
      </c>
      <c r="N10" s="19">
        <f t="shared" si="1"/>
        <v>0</v>
      </c>
      <c r="O10" s="19">
        <f t="shared" si="11"/>
        <v>52152126.806900002</v>
      </c>
      <c r="P10" s="19">
        <f t="shared" si="12"/>
        <v>17227768.092891555</v>
      </c>
      <c r="Q10" s="19">
        <f t="shared" si="13"/>
        <v>19361.3842611</v>
      </c>
      <c r="R10" s="20">
        <f t="shared" si="14"/>
        <v>0.27219476733108133</v>
      </c>
      <c r="S10" s="20">
        <f t="shared" si="15"/>
        <v>0.53003373709484003</v>
      </c>
      <c r="T10" s="21">
        <v>1818486.110605574</v>
      </c>
      <c r="U10" s="22">
        <v>2150929.7962148427</v>
      </c>
      <c r="V10" s="22">
        <v>2282026.0444199638</v>
      </c>
      <c r="W10" s="22">
        <v>2421112.4308079784</v>
      </c>
      <c r="X10" s="22">
        <v>2568675.943443425</v>
      </c>
      <c r="Y10" s="22">
        <v>2725233.2516516135</v>
      </c>
      <c r="Z10" s="23">
        <v>3.5174871195163757E-2</v>
      </c>
      <c r="AA10" s="23">
        <v>4.2263231878044032E-2</v>
      </c>
      <c r="AB10" s="23">
        <v>4.8721162676135688E-2</v>
      </c>
      <c r="AC10" s="23">
        <v>5.4572661042498305E-2</v>
      </c>
      <c r="AD10" s="23">
        <v>5.9840731383995482E-2</v>
      </c>
      <c r="AE10" s="23">
        <v>1.4251222105415922</v>
      </c>
      <c r="AF10" s="24">
        <v>80700600.059299991</v>
      </c>
      <c r="AG10" s="25">
        <f t="shared" si="2"/>
        <v>795.98603862366804</v>
      </c>
      <c r="AH10" s="25">
        <f t="shared" si="2"/>
        <v>786.60839785504413</v>
      </c>
      <c r="AI10" s="25">
        <f t="shared" si="2"/>
        <v>778.00167923956189</v>
      </c>
      <c r="AJ10" s="25">
        <f t="shared" si="2"/>
        <v>770.0920526075987</v>
      </c>
      <c r="AK10" s="25">
        <f t="shared" si="2"/>
        <v>762.81344074285778</v>
      </c>
      <c r="AL10" s="26">
        <f t="shared" si="3"/>
        <v>778.7003218137462</v>
      </c>
      <c r="AM10" s="26">
        <f t="shared" si="16"/>
        <v>762.81344074285778</v>
      </c>
      <c r="AN10" s="69"/>
      <c r="AO10" s="70"/>
      <c r="AP10" s="79">
        <f t="shared" si="4"/>
        <v>52171488.191161104</v>
      </c>
      <c r="AQ10" s="79">
        <f t="shared" si="5"/>
        <v>36709.217488514463</v>
      </c>
      <c r="AR10" s="84"/>
      <c r="AS10" s="63">
        <f>MAX($AP10-VLOOKUP($A10,'RE Generation'!$A$4:$M$52,'Mass Equivalents - States, Opt2'!AS$7-2016,0)-VLOOKUP('Mass Equivalents - States, Opt2'!$A10,'EE Avoided Generation'!$N$4:$S$52,'Mass Equivalents - States, Opt2'!AS$7-2018,0)-VLOOKUP($A10,'Under Construction Nuclear'!$B$5:$D$53,3,0),0)+U10+$T10+VLOOKUP('Mass Equivalents - States, Opt2'!$A10,'EE Avoided Generation'!$N$4:$S$52,'Mass Equivalents - States, Opt2'!AS$7-2018,0)</f>
        <v>55687626.781766675</v>
      </c>
      <c r="AT10" s="64">
        <f>MAX($AP10-VLOOKUP($A10,'RE Generation'!$A$4:$M$52,'Mass Equivalents - States, Opt2'!AT$7-2016,0)-VLOOKUP('Mass Equivalents - States, Opt2'!$A10,'EE Avoided Generation'!$N$4:$S$52,'Mass Equivalents - States, Opt2'!AT$7-2018,0)-VLOOKUP($A10,'Under Construction Nuclear'!$B$5:$D$53,3,0),0)+V10+$T10+VLOOKUP('Mass Equivalents - States, Opt2'!$A10,'EE Avoided Generation'!$N$4:$S$52,'Mass Equivalents - States, Opt2'!AT$7-2018,0)</f>
        <v>55687626.781766683</v>
      </c>
      <c r="AU10" s="64">
        <f>MAX($AP10-VLOOKUP($A10,'RE Generation'!$A$4:$M$52,'Mass Equivalents - States, Opt2'!AU$7-2016,0)-VLOOKUP('Mass Equivalents - States, Opt2'!$A10,'EE Avoided Generation'!$N$4:$S$52,'Mass Equivalents - States, Opt2'!AU$7-2018,0)-VLOOKUP($A10,'Under Construction Nuclear'!$B$5:$D$53,3,0),0)+W10+$T10+VLOOKUP('Mass Equivalents - States, Opt2'!$A10,'EE Avoided Generation'!$N$4:$S$52,'Mass Equivalents - States, Opt2'!AU$7-2018,0)</f>
        <v>55687626.781766675</v>
      </c>
      <c r="AV10" s="64">
        <f>MAX($AP10-VLOOKUP($A10,'RE Generation'!$A$4:$M$52,'Mass Equivalents - States, Opt2'!AV$7-2016,0)-VLOOKUP('Mass Equivalents - States, Opt2'!$A10,'EE Avoided Generation'!$N$4:$S$52,'Mass Equivalents - States, Opt2'!AV$7-2018,0)-VLOOKUP($A10,'Under Construction Nuclear'!$B$5:$D$53,3,0),0)+X10+$T10+VLOOKUP('Mass Equivalents - States, Opt2'!$A10,'EE Avoided Generation'!$N$4:$S$52,'Mass Equivalents - States, Opt2'!AV$7-2018,0)</f>
        <v>55687626.781766675</v>
      </c>
      <c r="AW10" s="65">
        <f>MAX($AP10-VLOOKUP($A10,'RE Generation'!$A$4:$M$52,'Mass Equivalents - States, Opt2'!AW$7-2016,0)-VLOOKUP('Mass Equivalents - States, Opt2'!$A10,'EE Avoided Generation'!$N$4:$S$52,'Mass Equivalents - States, Opt2'!AW$7-2018,0)-VLOOKUP($A10,'Under Construction Nuclear'!$B$5:$D$53,3,0),0)+Y10+$T10+VLOOKUP('Mass Equivalents - States, Opt2'!$A10,'EE Avoided Generation'!$N$4:$S$52,'Mass Equivalents - States, Opt2'!AW$7-2018,0)</f>
        <v>55687626.781766683</v>
      </c>
      <c r="AX10" s="29"/>
      <c r="AY10" s="71">
        <f t="shared" si="17"/>
        <v>20106.219413037961</v>
      </c>
      <c r="AZ10" s="72">
        <f t="shared" si="18"/>
        <v>19869.344777401613</v>
      </c>
      <c r="BA10" s="72">
        <f t="shared" si="19"/>
        <v>19651.943259645868</v>
      </c>
      <c r="BB10" s="72">
        <f t="shared" si="20"/>
        <v>19452.149945667094</v>
      </c>
      <c r="BC10" s="72">
        <f t="shared" si="21"/>
        <v>19268.29575718426</v>
      </c>
      <c r="BD10" s="75">
        <f t="shared" si="7"/>
        <v>19669.590630587358</v>
      </c>
      <c r="BE10" s="76">
        <f t="shared" si="22"/>
        <v>19268.29575718426</v>
      </c>
      <c r="BH10" s="63">
        <f>AS10+VLOOKUP($A10,'Incremental Demand for New Gen'!$AG$66:$AL$114,'Mass Equivalents - States, Opt2'!AS$7-2018,0)</f>
        <v>64792021.691725366</v>
      </c>
      <c r="BI10" s="64">
        <f>AT10+VLOOKUP($A10,'Incremental Demand for New Gen'!$AG$66:$AL$114,'Mass Equivalents - States, Opt2'!AT$7-2018,0)</f>
        <v>65998955.457616106</v>
      </c>
      <c r="BJ10" s="64">
        <f>AU10+VLOOKUP($A10,'Incremental Demand for New Gen'!$AG$66:$AL$114,'Mass Equivalents - States, Opt2'!AU$7-2018,0)</f>
        <v>67221877.974295139</v>
      </c>
      <c r="BK10" s="64">
        <f>AV10+VLOOKUP($A10,'Incremental Demand for New Gen'!$AG$66:$AL$114,'Mass Equivalents - States, Opt2'!AV$7-2018,0)</f>
        <v>68461001.05135718</v>
      </c>
      <c r="BL10" s="65">
        <f>AW10+VLOOKUP($A10,'Incremental Demand for New Gen'!$AG$66:$AL$114,'Mass Equivalents - States, Opt2'!AW$7-2018,0)</f>
        <v>69716539.304326236</v>
      </c>
      <c r="BM10" s="29"/>
      <c r="BN10" s="71">
        <f t="shared" si="23"/>
        <v>23393.394181679949</v>
      </c>
      <c r="BO10" s="72">
        <f t="shared" si="24"/>
        <v>23548.426764078085</v>
      </c>
      <c r="BP10" s="72">
        <f t="shared" si="25"/>
        <v>23722.334890202637</v>
      </c>
      <c r="BQ10" s="72">
        <f t="shared" si="26"/>
        <v>23913.995529030231</v>
      </c>
      <c r="BR10" s="72">
        <f t="shared" si="27"/>
        <v>24122.39443687247</v>
      </c>
      <c r="BS10" s="75">
        <f t="shared" si="9"/>
        <v>23740.109160372675</v>
      </c>
      <c r="BT10" s="76">
        <f t="shared" si="28"/>
        <v>24122.39443687247</v>
      </c>
    </row>
    <row r="11" spans="1:72" x14ac:dyDescent="0.25">
      <c r="A11" s="16" t="s">
        <v>45</v>
      </c>
      <c r="B11" s="17">
        <v>2276.1671658999999</v>
      </c>
      <c r="C11" s="17">
        <v>827.20611759999997</v>
      </c>
      <c r="D11" s="17">
        <v>1446.3626015</v>
      </c>
      <c r="E11" s="17">
        <v>789080955.25707102</v>
      </c>
      <c r="F11" s="17">
        <v>28378831</v>
      </c>
      <c r="G11" s="17">
        <v>15651184.9989</v>
      </c>
      <c r="H11" s="17">
        <v>860469.77339999995</v>
      </c>
      <c r="I11" s="17">
        <v>1310917.1879999998</v>
      </c>
      <c r="J11" s="17">
        <v>5588.4</v>
      </c>
      <c r="K11" s="17">
        <v>0</v>
      </c>
      <c r="L11" s="18">
        <f t="shared" si="10"/>
        <v>2185.1204792639996</v>
      </c>
      <c r="M11" s="19">
        <f t="shared" si="0"/>
        <v>12600887.729605697</v>
      </c>
      <c r="N11" s="19">
        <f t="shared" si="1"/>
        <v>382069.40269430599</v>
      </c>
      <c r="O11" s="19">
        <f t="shared" si="11"/>
        <v>31907528.639999997</v>
      </c>
      <c r="P11" s="19">
        <f t="shared" si="12"/>
        <v>789080955.25707102</v>
      </c>
      <c r="Q11" s="19">
        <f t="shared" si="13"/>
        <v>1310917.1879999998</v>
      </c>
      <c r="R11" s="20">
        <f t="shared" si="14"/>
        <v>0.31883604537555943</v>
      </c>
      <c r="S11" s="20">
        <f t="shared" si="15"/>
        <v>0.65</v>
      </c>
      <c r="T11" s="21">
        <v>842037.12970128574</v>
      </c>
      <c r="U11" s="22">
        <v>2288229.0213397061</v>
      </c>
      <c r="V11" s="22">
        <v>2479266.0746687674</v>
      </c>
      <c r="W11" s="22">
        <v>2686252.2115048999</v>
      </c>
      <c r="X11" s="22">
        <v>2910518.9707317012</v>
      </c>
      <c r="Y11" s="22">
        <v>3153509.0572316013</v>
      </c>
      <c r="Z11" s="23">
        <v>1.2410675581398984E-2</v>
      </c>
      <c r="AA11" s="23">
        <v>1.8557780922620993E-2</v>
      </c>
      <c r="AB11" s="23">
        <v>2.5712673828303237E-2</v>
      </c>
      <c r="AC11" s="23">
        <v>3.3688245780596641E-2</v>
      </c>
      <c r="AD11" s="23">
        <v>4.1024977369042086E-2</v>
      </c>
      <c r="AE11" s="23">
        <v>1.1398795462238362</v>
      </c>
      <c r="AF11" s="24">
        <v>50378720.481699996</v>
      </c>
      <c r="AG11" s="25">
        <f t="shared" si="2"/>
        <v>1106.3586647724312</v>
      </c>
      <c r="AH11" s="25">
        <f t="shared" si="2"/>
        <v>1095.3796240269253</v>
      </c>
      <c r="AI11" s="25">
        <f t="shared" si="2"/>
        <v>1083.1981057835549</v>
      </c>
      <c r="AJ11" s="25">
        <f t="shared" si="2"/>
        <v>1070.0686085852733</v>
      </c>
      <c r="AK11" s="25">
        <f t="shared" si="2"/>
        <v>1057.5258840213571</v>
      </c>
      <c r="AL11" s="26">
        <f t="shared" si="3"/>
        <v>1082.5061774379083</v>
      </c>
      <c r="AM11" s="26">
        <f t="shared" si="16"/>
        <v>1057.5258840213571</v>
      </c>
      <c r="AN11" s="69"/>
      <c r="AO11" s="70"/>
      <c r="AP11" s="79">
        <f t="shared" si="4"/>
        <v>46201402.960299999</v>
      </c>
      <c r="AQ11" s="79">
        <f t="shared" si="5"/>
        <v>36094.815234747257</v>
      </c>
      <c r="AR11" s="84"/>
      <c r="AS11" s="63">
        <f>MAX($AP11-VLOOKUP($A11,'RE Generation'!$A$4:$M$52,'Mass Equivalents - States, Opt2'!AS$7-2016,0)-VLOOKUP('Mass Equivalents - States, Opt2'!$A11,'EE Avoided Generation'!$N$4:$S$52,'Mass Equivalents - States, Opt2'!AS$7-2018,0)-VLOOKUP($A11,'Under Construction Nuclear'!$B$5:$D$53,3,0),0)+U11+$T11+VLOOKUP('Mass Equivalents - States, Opt2'!$A11,'EE Avoided Generation'!$N$4:$S$52,'Mass Equivalents - States, Opt2'!AS$7-2018,0)</f>
        <v>48703810.160001285</v>
      </c>
      <c r="AT11" s="64">
        <f>MAX($AP11-VLOOKUP($A11,'RE Generation'!$A$4:$M$52,'Mass Equivalents - States, Opt2'!AT$7-2016,0)-VLOOKUP('Mass Equivalents - States, Opt2'!$A11,'EE Avoided Generation'!$N$4:$S$52,'Mass Equivalents - States, Opt2'!AT$7-2018,0)-VLOOKUP($A11,'Under Construction Nuclear'!$B$5:$D$53,3,0),0)+V11+$T11+VLOOKUP('Mass Equivalents - States, Opt2'!$A11,'EE Avoided Generation'!$N$4:$S$52,'Mass Equivalents - States, Opt2'!AT$7-2018,0)</f>
        <v>48703810.160001285</v>
      </c>
      <c r="AU11" s="64">
        <f>MAX($AP11-VLOOKUP($A11,'RE Generation'!$A$4:$M$52,'Mass Equivalents - States, Opt2'!AU$7-2016,0)-VLOOKUP('Mass Equivalents - States, Opt2'!$A11,'EE Avoided Generation'!$N$4:$S$52,'Mass Equivalents - States, Opt2'!AU$7-2018,0)-VLOOKUP($A11,'Under Construction Nuclear'!$B$5:$D$53,3,0),0)+W11+$T11+VLOOKUP('Mass Equivalents - States, Opt2'!$A11,'EE Avoided Generation'!$N$4:$S$52,'Mass Equivalents - States, Opt2'!AU$7-2018,0)</f>
        <v>48703810.160001285</v>
      </c>
      <c r="AV11" s="64">
        <f>MAX($AP11-VLOOKUP($A11,'RE Generation'!$A$4:$M$52,'Mass Equivalents - States, Opt2'!AV$7-2016,0)-VLOOKUP('Mass Equivalents - States, Opt2'!$A11,'EE Avoided Generation'!$N$4:$S$52,'Mass Equivalents - States, Opt2'!AV$7-2018,0)-VLOOKUP($A11,'Under Construction Nuclear'!$B$5:$D$53,3,0),0)+X11+$T11+VLOOKUP('Mass Equivalents - States, Opt2'!$A11,'EE Avoided Generation'!$N$4:$S$52,'Mass Equivalents - States, Opt2'!AV$7-2018,0)</f>
        <v>48703810.160001285</v>
      </c>
      <c r="AW11" s="65">
        <f>MAX($AP11-VLOOKUP($A11,'RE Generation'!$A$4:$M$52,'Mass Equivalents - States, Opt2'!AW$7-2016,0)-VLOOKUP('Mass Equivalents - States, Opt2'!$A11,'EE Avoided Generation'!$N$4:$S$52,'Mass Equivalents - States, Opt2'!AW$7-2018,0)-VLOOKUP($A11,'Under Construction Nuclear'!$B$5:$D$53,3,0),0)+Y11+$T11+VLOOKUP('Mass Equivalents - States, Opt2'!$A11,'EE Avoided Generation'!$N$4:$S$52,'Mass Equivalents - States, Opt2'!AW$7-2018,0)</f>
        <v>48703810.160001285</v>
      </c>
      <c r="AX11" s="29"/>
      <c r="AY11" s="71">
        <f t="shared" si="17"/>
        <v>24441.346979501679</v>
      </c>
      <c r="AZ11" s="72">
        <f t="shared" si="18"/>
        <v>24198.801272664205</v>
      </c>
      <c r="BA11" s="72">
        <f t="shared" si="19"/>
        <v>23929.690790138549</v>
      </c>
      <c r="BB11" s="72">
        <f t="shared" si="20"/>
        <v>23639.637838137129</v>
      </c>
      <c r="BC11" s="72">
        <f t="shared" si="21"/>
        <v>23362.547692873926</v>
      </c>
      <c r="BD11" s="75">
        <f t="shared" si="7"/>
        <v>23914.404914663097</v>
      </c>
      <c r="BE11" s="76">
        <f t="shared" si="22"/>
        <v>23362.547692873926</v>
      </c>
      <c r="BH11" s="63">
        <f>AS11+VLOOKUP($A11,'Incremental Demand for New Gen'!$AG$66:$AL$114,'Mass Equivalents - States, Opt2'!AS$7-2018,0)</f>
        <v>52911057.771809205</v>
      </c>
      <c r="BI11" s="64">
        <f>AT11+VLOOKUP($A11,'Incremental Demand for New Gen'!$AG$66:$AL$114,'Mass Equivalents - States, Opt2'!AT$7-2018,0)</f>
        <v>53461062.869565152</v>
      </c>
      <c r="BJ11" s="64">
        <f>AU11+VLOOKUP($A11,'Incremental Demand for New Gen'!$AG$66:$AL$114,'Mass Equivalents - States, Opt2'!AU$7-2018,0)</f>
        <v>54016604.05884175</v>
      </c>
      <c r="BK11" s="64">
        <f>AV11+VLOOKUP($A11,'Incremental Demand for New Gen'!$AG$66:$AL$114,'Mass Equivalents - States, Opt2'!AV$7-2018,0)</f>
        <v>54577737.063321292</v>
      </c>
      <c r="BL11" s="65">
        <f>AW11+VLOOKUP($A11,'Incremental Demand for New Gen'!$AG$66:$AL$114,'Mass Equivalents - States, Opt2'!AW$7-2018,0)</f>
        <v>55144518.167574346</v>
      </c>
      <c r="BM11" s="29"/>
      <c r="BN11" s="71">
        <f t="shared" si="23"/>
        <v>26552.697166911214</v>
      </c>
      <c r="BO11" s="72">
        <f t="shared" si="24"/>
        <v>26562.472873395003</v>
      </c>
      <c r="BP11" s="72">
        <f t="shared" si="25"/>
        <v>26540.031024574608</v>
      </c>
      <c r="BQ11" s="72">
        <f t="shared" si="26"/>
        <v>26490.698242364273</v>
      </c>
      <c r="BR11" s="72">
        <f t="shared" si="27"/>
        <v>26452.066716302968</v>
      </c>
      <c r="BS11" s="75">
        <f t="shared" si="9"/>
        <v>26519.593204709614</v>
      </c>
      <c r="BT11" s="76">
        <f t="shared" si="28"/>
        <v>26452.066716302968</v>
      </c>
    </row>
    <row r="12" spans="1:72" x14ac:dyDescent="0.25">
      <c r="A12" s="16" t="s">
        <v>46</v>
      </c>
      <c r="B12" s="17">
        <v>2184.3824657999999</v>
      </c>
      <c r="C12" s="17">
        <v>866.62532759999999</v>
      </c>
      <c r="D12" s="17">
        <v>1405.0881457</v>
      </c>
      <c r="E12" s="17">
        <v>9203690697.6602497</v>
      </c>
      <c r="F12" s="17">
        <v>933157</v>
      </c>
      <c r="G12" s="17">
        <v>81298989.272799999</v>
      </c>
      <c r="H12" s="17">
        <v>10403921</v>
      </c>
      <c r="I12" s="17">
        <v>14405899.252831599</v>
      </c>
      <c r="J12" s="17">
        <v>20765.3</v>
      </c>
      <c r="K12" s="17">
        <v>1855.2</v>
      </c>
      <c r="L12" s="18">
        <f t="shared" si="10"/>
        <v>2097.0071671679998</v>
      </c>
      <c r="M12" s="19">
        <f t="shared" si="0"/>
        <v>0</v>
      </c>
      <c r="N12" s="19">
        <f t="shared" si="1"/>
        <v>0</v>
      </c>
      <c r="O12" s="19">
        <f t="shared" si="11"/>
        <v>92636067.272799999</v>
      </c>
      <c r="P12" s="19">
        <f t="shared" si="12"/>
        <v>16971116790.127369</v>
      </c>
      <c r="Q12" s="19">
        <f t="shared" si="13"/>
        <v>23368741.492831599</v>
      </c>
      <c r="R12" s="20">
        <f t="shared" si="14"/>
        <v>0.44571229003685803</v>
      </c>
      <c r="S12" s="20">
        <f t="shared" si="15"/>
        <v>0.49893237143631541</v>
      </c>
      <c r="T12" s="21">
        <v>1034647.9267860011</v>
      </c>
      <c r="U12" s="22">
        <v>37968065.870375805</v>
      </c>
      <c r="V12" s="22">
        <v>40282167.89079991</v>
      </c>
      <c r="W12" s="22">
        <v>41150704.3839375</v>
      </c>
      <c r="X12" s="22">
        <v>41150704.3839375</v>
      </c>
      <c r="Y12" s="22">
        <v>41150704.3839375</v>
      </c>
      <c r="Z12" s="23">
        <v>3.5517039908893128E-2</v>
      </c>
      <c r="AA12" s="23">
        <v>4.2749706892985899E-2</v>
      </c>
      <c r="AB12" s="23">
        <v>4.9365723403308727E-2</v>
      </c>
      <c r="AC12" s="23">
        <v>5.538467448688833E-2</v>
      </c>
      <c r="AD12" s="23">
        <v>6.0825387560107601E-2</v>
      </c>
      <c r="AE12" s="23">
        <v>0.71065789075174424</v>
      </c>
      <c r="AF12" s="24">
        <v>279029344.65380001</v>
      </c>
      <c r="AG12" s="25">
        <f t="shared" si="2"/>
        <v>600.13370665963612</v>
      </c>
      <c r="AH12" s="25">
        <f t="shared" si="2"/>
        <v>586.56616076181638</v>
      </c>
      <c r="AI12" s="25">
        <f t="shared" si="2"/>
        <v>578.95222912835254</v>
      </c>
      <c r="AJ12" s="25">
        <f t="shared" si="2"/>
        <v>574.86768211414721</v>
      </c>
      <c r="AK12" s="25">
        <f t="shared" si="2"/>
        <v>571.22481571110268</v>
      </c>
      <c r="AL12" s="26">
        <f t="shared" si="3"/>
        <v>582.3489188750109</v>
      </c>
      <c r="AM12" s="26">
        <f t="shared" si="16"/>
        <v>571.22481571110268</v>
      </c>
      <c r="AN12" s="69"/>
      <c r="AO12" s="70"/>
      <c r="AP12" s="79">
        <f t="shared" si="4"/>
        <v>116004808.7656316</v>
      </c>
      <c r="AQ12" s="79">
        <f t="shared" si="5"/>
        <v>43688.368863698626</v>
      </c>
      <c r="AR12" s="84"/>
      <c r="AS12" s="63">
        <f>MAX($AP12-VLOOKUP($A12,'RE Generation'!$A$4:$M$52,'Mass Equivalents - States, Opt2'!AS$7-2016,0)-VLOOKUP('Mass Equivalents - States, Opt2'!$A12,'EE Avoided Generation'!$N$4:$S$52,'Mass Equivalents - States, Opt2'!AS$7-2018,0)-VLOOKUP($A12,'Under Construction Nuclear'!$B$5:$D$53,3,0),0)+U12+$T12+VLOOKUP('Mass Equivalents - States, Opt2'!$A12,'EE Avoided Generation'!$N$4:$S$52,'Mass Equivalents - States, Opt2'!AS$7-2018,0)</f>
        <v>147006302.33241761</v>
      </c>
      <c r="AT12" s="64">
        <f>MAX($AP12-VLOOKUP($A12,'RE Generation'!$A$4:$M$52,'Mass Equivalents - States, Opt2'!AT$7-2016,0)-VLOOKUP('Mass Equivalents - States, Opt2'!$A12,'EE Avoided Generation'!$N$4:$S$52,'Mass Equivalents - States, Opt2'!AT$7-2018,0)-VLOOKUP($A12,'Under Construction Nuclear'!$B$5:$D$53,3,0),0)+V12+$T12+VLOOKUP('Mass Equivalents - States, Opt2'!$A12,'EE Avoided Generation'!$N$4:$S$52,'Mass Equivalents - States, Opt2'!AT$7-2018,0)</f>
        <v>147006302.33241761</v>
      </c>
      <c r="AU12" s="64">
        <f>MAX($AP12-VLOOKUP($A12,'RE Generation'!$A$4:$M$52,'Mass Equivalents - States, Opt2'!AU$7-2016,0)-VLOOKUP('Mass Equivalents - States, Opt2'!$A12,'EE Avoided Generation'!$N$4:$S$52,'Mass Equivalents - States, Opt2'!AU$7-2018,0)-VLOOKUP($A12,'Under Construction Nuclear'!$B$5:$D$53,3,0),0)+W12+$T12+VLOOKUP('Mass Equivalents - States, Opt2'!$A12,'EE Avoided Generation'!$N$4:$S$52,'Mass Equivalents - States, Opt2'!AU$7-2018,0)</f>
        <v>147006302.33241761</v>
      </c>
      <c r="AV12" s="64">
        <f>MAX($AP12-VLOOKUP($A12,'RE Generation'!$A$4:$M$52,'Mass Equivalents - States, Opt2'!AV$7-2016,0)-VLOOKUP('Mass Equivalents - States, Opt2'!$A12,'EE Avoided Generation'!$N$4:$S$52,'Mass Equivalents - States, Opt2'!AV$7-2018,0)-VLOOKUP($A12,'Under Construction Nuclear'!$B$5:$D$53,3,0),0)+X12+$T12+VLOOKUP('Mass Equivalents - States, Opt2'!$A12,'EE Avoided Generation'!$N$4:$S$52,'Mass Equivalents - States, Opt2'!AV$7-2018,0)</f>
        <v>147006302.33241761</v>
      </c>
      <c r="AW12" s="65">
        <f>MAX($AP12-VLOOKUP($A12,'RE Generation'!$A$4:$M$52,'Mass Equivalents - States, Opt2'!AW$7-2016,0)-VLOOKUP('Mass Equivalents - States, Opt2'!$A12,'EE Avoided Generation'!$N$4:$S$52,'Mass Equivalents - States, Opt2'!AW$7-2018,0)-VLOOKUP($A12,'Under Construction Nuclear'!$B$5:$D$53,3,0),0)+Y12+$T12+VLOOKUP('Mass Equivalents - States, Opt2'!$A12,'EE Avoided Generation'!$N$4:$S$52,'Mass Equivalents - States, Opt2'!AW$7-2018,0)</f>
        <v>147006302.33241758</v>
      </c>
      <c r="AX12" s="29"/>
      <c r="AY12" s="71">
        <f t="shared" si="17"/>
        <v>40017.525524163299</v>
      </c>
      <c r="AZ12" s="72">
        <f t="shared" si="18"/>
        <v>39112.827773909812</v>
      </c>
      <c r="BA12" s="72">
        <f t="shared" si="19"/>
        <v>38605.123073940049</v>
      </c>
      <c r="BB12" s="72">
        <f t="shared" si="20"/>
        <v>38332.761327579574</v>
      </c>
      <c r="BC12" s="72">
        <f t="shared" si="21"/>
        <v>38089.851293286774</v>
      </c>
      <c r="BD12" s="75">
        <f t="shared" si="7"/>
        <v>38831.617798575899</v>
      </c>
      <c r="BE12" s="76">
        <f t="shared" si="22"/>
        <v>38089.851293286774</v>
      </c>
      <c r="BH12" s="63">
        <f>AS12+VLOOKUP($A12,'Incremental Demand for New Gen'!$AG$66:$AL$114,'Mass Equivalents - States, Opt2'!AS$7-2018,0)</f>
        <v>159477040.58519828</v>
      </c>
      <c r="BI12" s="64">
        <f>AT12+VLOOKUP($A12,'Incremental Demand for New Gen'!$AG$66:$AL$114,'Mass Equivalents - States, Opt2'!AT$7-2018,0)</f>
        <v>162264797.67658293</v>
      </c>
      <c r="BJ12" s="64">
        <f>AU12+VLOOKUP($A12,'Incremental Demand for New Gen'!$AG$66:$AL$114,'Mass Equivalents - States, Opt2'!AU$7-2018,0)</f>
        <v>165078121.65189749</v>
      </c>
      <c r="BK12" s="64">
        <f>AV12+VLOOKUP($A12,'Incremental Demand for New Gen'!$AG$66:$AL$114,'Mass Equivalents - States, Opt2'!AV$7-2018,0)</f>
        <v>167917246.98836949</v>
      </c>
      <c r="BL12" s="65">
        <f>AW12+VLOOKUP($A12,'Incremental Demand for New Gen'!$AG$66:$AL$114,'Mass Equivalents - States, Opt2'!AW$7-2018,0)</f>
        <v>170782410.31364775</v>
      </c>
      <c r="BM12" s="29"/>
      <c r="BN12" s="71">
        <f t="shared" si="23"/>
        <v>43412.264922528273</v>
      </c>
      <c r="BO12" s="72">
        <f t="shared" si="24"/>
        <v>43172.537398710956</v>
      </c>
      <c r="BP12" s="72">
        <f t="shared" si="25"/>
        <v>43350.938715373813</v>
      </c>
      <c r="BQ12" s="72">
        <f t="shared" si="26"/>
        <v>43785.413614678597</v>
      </c>
      <c r="BR12" s="72">
        <f t="shared" si="27"/>
        <v>44250.324708163476</v>
      </c>
      <c r="BS12" s="75">
        <f t="shared" si="9"/>
        <v>43594.295871891023</v>
      </c>
      <c r="BT12" s="76">
        <f t="shared" si="28"/>
        <v>44250.324708163476</v>
      </c>
    </row>
    <row r="13" spans="1:72" x14ac:dyDescent="0.25">
      <c r="A13" s="16" t="s">
        <v>47</v>
      </c>
      <c r="B13" s="17">
        <v>2225.5359119</v>
      </c>
      <c r="C13" s="17">
        <v>927.72581000000002</v>
      </c>
      <c r="D13" s="17">
        <v>5177.3097086999996</v>
      </c>
      <c r="E13" s="17">
        <v>45518965.42301061</v>
      </c>
      <c r="F13" s="17">
        <v>34385542</v>
      </c>
      <c r="G13" s="17">
        <v>8811705.9947999995</v>
      </c>
      <c r="H13" s="17">
        <v>618</v>
      </c>
      <c r="I13" s="17">
        <v>62201.513267400005</v>
      </c>
      <c r="J13" s="17">
        <v>3315.3</v>
      </c>
      <c r="K13" s="17">
        <v>200</v>
      </c>
      <c r="L13" s="18">
        <f t="shared" si="10"/>
        <v>2136.514475424</v>
      </c>
      <c r="M13" s="19">
        <f t="shared" si="0"/>
        <v>24092716.104363445</v>
      </c>
      <c r="N13" s="19">
        <f t="shared" si="1"/>
        <v>433.01043655198481</v>
      </c>
      <c r="O13" s="19">
        <f t="shared" si="11"/>
        <v>19104716.880000003</v>
      </c>
      <c r="P13" s="19">
        <f t="shared" si="12"/>
        <v>941924752.0774107</v>
      </c>
      <c r="Q13" s="19">
        <f t="shared" si="13"/>
        <v>1028441.5132674001</v>
      </c>
      <c r="R13" s="20">
        <f t="shared" si="14"/>
        <v>0.30258321820227757</v>
      </c>
      <c r="S13" s="20">
        <f t="shared" si="15"/>
        <v>0.65</v>
      </c>
      <c r="T13" s="21">
        <v>0</v>
      </c>
      <c r="U13" s="22">
        <v>7845382.6098847017</v>
      </c>
      <c r="V13" s="22">
        <v>8323548.0189554757</v>
      </c>
      <c r="W13" s="22">
        <v>8830856.9599355459</v>
      </c>
      <c r="X13" s="22">
        <v>9369085.6914919708</v>
      </c>
      <c r="Y13" s="22">
        <v>9940118.7328438237</v>
      </c>
      <c r="Z13" s="23">
        <v>3.3223332139751531E-2</v>
      </c>
      <c r="AA13" s="23">
        <v>4.0508398729088346E-2</v>
      </c>
      <c r="AB13" s="23">
        <v>4.7159533846534575E-2</v>
      </c>
      <c r="AC13" s="23">
        <v>5.3200098868307531E-2</v>
      </c>
      <c r="AD13" s="23">
        <v>5.8652503141838105E-2</v>
      </c>
      <c r="AE13" s="23">
        <v>0.89077328426401414</v>
      </c>
      <c r="AF13" s="24">
        <v>57717062.804699995</v>
      </c>
      <c r="AG13" s="25">
        <f t="shared" si="2"/>
        <v>1304.2545425991566</v>
      </c>
      <c r="AH13" s="25">
        <f t="shared" si="2"/>
        <v>1283.8975694341382</v>
      </c>
      <c r="AI13" s="25">
        <f t="shared" si="2"/>
        <v>1264.2448776069216</v>
      </c>
      <c r="AJ13" s="25">
        <f t="shared" si="2"/>
        <v>1245.1951837584033</v>
      </c>
      <c r="AK13" s="25">
        <f t="shared" si="2"/>
        <v>1226.6560181533864</v>
      </c>
      <c r="AL13" s="26">
        <f t="shared" si="3"/>
        <v>1264.8496383104011</v>
      </c>
      <c r="AM13" s="26">
        <f t="shared" si="16"/>
        <v>1226.6560181533864</v>
      </c>
      <c r="AN13" s="69"/>
      <c r="AO13" s="70"/>
      <c r="AP13" s="79">
        <f t="shared" si="4"/>
        <v>44226307.508067399</v>
      </c>
      <c r="AQ13" s="79">
        <f t="shared" si="5"/>
        <v>38441.919330985133</v>
      </c>
      <c r="AR13" s="84"/>
      <c r="AS13" s="63">
        <f>MAX($AP13-VLOOKUP($A13,'RE Generation'!$A$4:$M$52,'Mass Equivalents - States, Opt2'!AS$7-2016,0)-VLOOKUP('Mass Equivalents - States, Opt2'!$A13,'EE Avoided Generation'!$N$4:$S$52,'Mass Equivalents - States, Opt2'!AS$7-2018,0)-VLOOKUP($A13,'Under Construction Nuclear'!$B$5:$D$53,3,0),0)+U13+$T13+VLOOKUP('Mass Equivalents - States, Opt2'!$A13,'EE Avoided Generation'!$N$4:$S$52,'Mass Equivalents - States, Opt2'!AS$7-2018,0)</f>
        <v>50418389.308067396</v>
      </c>
      <c r="AT13" s="64">
        <f>MAX($AP13-VLOOKUP($A13,'RE Generation'!$A$4:$M$52,'Mass Equivalents - States, Opt2'!AT$7-2016,0)-VLOOKUP('Mass Equivalents - States, Opt2'!$A13,'EE Avoided Generation'!$N$4:$S$52,'Mass Equivalents - States, Opt2'!AT$7-2018,0)-VLOOKUP($A13,'Under Construction Nuclear'!$B$5:$D$53,3,0),0)+V13+$T13+VLOOKUP('Mass Equivalents - States, Opt2'!$A13,'EE Avoided Generation'!$N$4:$S$52,'Mass Equivalents - States, Opt2'!AT$7-2018,0)</f>
        <v>50418389.308067404</v>
      </c>
      <c r="AU13" s="64">
        <f>MAX($AP13-VLOOKUP($A13,'RE Generation'!$A$4:$M$52,'Mass Equivalents - States, Opt2'!AU$7-2016,0)-VLOOKUP('Mass Equivalents - States, Opt2'!$A13,'EE Avoided Generation'!$N$4:$S$52,'Mass Equivalents - States, Opt2'!AU$7-2018,0)-VLOOKUP($A13,'Under Construction Nuclear'!$B$5:$D$53,3,0),0)+W13+$T13+VLOOKUP('Mass Equivalents - States, Opt2'!$A13,'EE Avoided Generation'!$N$4:$S$52,'Mass Equivalents - States, Opt2'!AU$7-2018,0)</f>
        <v>50418389.308067396</v>
      </c>
      <c r="AV13" s="64">
        <f>MAX($AP13-VLOOKUP($A13,'RE Generation'!$A$4:$M$52,'Mass Equivalents - States, Opt2'!AV$7-2016,0)-VLOOKUP('Mass Equivalents - States, Opt2'!$A13,'EE Avoided Generation'!$N$4:$S$52,'Mass Equivalents - States, Opt2'!AV$7-2018,0)-VLOOKUP($A13,'Under Construction Nuclear'!$B$5:$D$53,3,0),0)+X13+$T13+VLOOKUP('Mass Equivalents - States, Opt2'!$A13,'EE Avoided Generation'!$N$4:$S$52,'Mass Equivalents - States, Opt2'!AV$7-2018,0)</f>
        <v>50418389.308067396</v>
      </c>
      <c r="AW13" s="65">
        <f>MAX($AP13-VLOOKUP($A13,'RE Generation'!$A$4:$M$52,'Mass Equivalents - States, Opt2'!AW$7-2016,0)-VLOOKUP('Mass Equivalents - States, Opt2'!$A13,'EE Avoided Generation'!$N$4:$S$52,'Mass Equivalents - States, Opt2'!AW$7-2018,0)-VLOOKUP($A13,'Under Construction Nuclear'!$B$5:$D$53,3,0),0)+Y13+$T13+VLOOKUP('Mass Equivalents - States, Opt2'!$A13,'EE Avoided Generation'!$N$4:$S$52,'Mass Equivalents - States, Opt2'!AW$7-2018,0)</f>
        <v>50418389.308067396</v>
      </c>
      <c r="AX13" s="29"/>
      <c r="AY13" s="71">
        <f t="shared" si="17"/>
        <v>29827.5500020773</v>
      </c>
      <c r="AZ13" s="72">
        <f t="shared" si="18"/>
        <v>29361.997753541145</v>
      </c>
      <c r="BA13" s="72">
        <f t="shared" si="19"/>
        <v>28912.552013460729</v>
      </c>
      <c r="BB13" s="72">
        <f t="shared" si="20"/>
        <v>28476.896489763181</v>
      </c>
      <c r="BC13" s="72">
        <f t="shared" si="21"/>
        <v>28052.916452876791</v>
      </c>
      <c r="BD13" s="75">
        <f t="shared" si="7"/>
        <v>28926.382542343832</v>
      </c>
      <c r="BE13" s="76">
        <f t="shared" si="22"/>
        <v>28052.916452876791</v>
      </c>
      <c r="BH13" s="63">
        <f>AS13+VLOOKUP($A13,'Incremental Demand for New Gen'!$AG$66:$AL$114,'Mass Equivalents - States, Opt2'!AS$7-2018,0)</f>
        <v>56138160.438658506</v>
      </c>
      <c r="BI13" s="64">
        <f>AT13+VLOOKUP($A13,'Incremental Demand for New Gen'!$AG$66:$AL$114,'Mass Equivalents - States, Opt2'!AT$7-2018,0)</f>
        <v>57025819.7891353</v>
      </c>
      <c r="BJ13" s="64">
        <f>AU13+VLOOKUP($A13,'Incremental Demand for New Gen'!$AG$66:$AL$114,'Mass Equivalents - States, Opt2'!AU$7-2018,0)</f>
        <v>57925621.025247209</v>
      </c>
      <c r="BK13" s="64">
        <f>AV13+VLOOKUP($A13,'Incremental Demand for New Gen'!$AG$66:$AL$114,'Mass Equivalents - States, Opt2'!AV$7-2018,0)</f>
        <v>58837730.230285883</v>
      </c>
      <c r="BL13" s="65">
        <f>AW13+VLOOKUP($A13,'Incremental Demand for New Gen'!$AG$66:$AL$114,'Mass Equivalents - States, Opt2'!AW$7-2018,0)</f>
        <v>59762315.759320229</v>
      </c>
      <c r="BM13" s="29"/>
      <c r="BN13" s="71">
        <f t="shared" si="23"/>
        <v>33211.370106993782</v>
      </c>
      <c r="BO13" s="72">
        <f t="shared" si="24"/>
        <v>33209.946123259338</v>
      </c>
      <c r="BP13" s="72">
        <f t="shared" si="25"/>
        <v>33217.592901891745</v>
      </c>
      <c r="BQ13" s="72">
        <f t="shared" si="26"/>
        <v>33232.238801257452</v>
      </c>
      <c r="BR13" s="72">
        <f t="shared" si="27"/>
        <v>33251.900229950348</v>
      </c>
      <c r="BS13" s="75">
        <f t="shared" si="9"/>
        <v>33224.60963267053</v>
      </c>
      <c r="BT13" s="76">
        <f t="shared" si="28"/>
        <v>33251.900229950348</v>
      </c>
    </row>
    <row r="14" spans="1:72" x14ac:dyDescent="0.25">
      <c r="A14" s="16" t="s">
        <v>48</v>
      </c>
      <c r="B14" s="17">
        <v>3146.0400358000002</v>
      </c>
      <c r="C14" s="17">
        <v>809.89153940000006</v>
      </c>
      <c r="D14" s="17">
        <v>1763.5710523</v>
      </c>
      <c r="E14" s="17">
        <v>16456559.380894523</v>
      </c>
      <c r="F14" s="17">
        <v>99461</v>
      </c>
      <c r="G14" s="17">
        <v>15299704.404100001</v>
      </c>
      <c r="H14" s="17">
        <v>335267</v>
      </c>
      <c r="I14" s="17">
        <v>30041.165594800012</v>
      </c>
      <c r="J14" s="17">
        <v>2749.2</v>
      </c>
      <c r="K14" s="17">
        <v>0</v>
      </c>
      <c r="L14" s="18">
        <f t="shared" si="10"/>
        <v>3020.1984343680001</v>
      </c>
      <c r="M14" s="19">
        <f t="shared" si="0"/>
        <v>8602.4869911078567</v>
      </c>
      <c r="N14" s="19">
        <f t="shared" si="1"/>
        <v>28997.597108894552</v>
      </c>
      <c r="O14" s="19">
        <f t="shared" si="11"/>
        <v>15696832.319999998</v>
      </c>
      <c r="P14" s="19">
        <f t="shared" si="12"/>
        <v>16456559.380894523</v>
      </c>
      <c r="Q14" s="19">
        <f t="shared" si="13"/>
        <v>30041.165594800012</v>
      </c>
      <c r="R14" s="20">
        <f t="shared" si="14"/>
        <v>0.63355508040905173</v>
      </c>
      <c r="S14" s="20">
        <f t="shared" si="15"/>
        <v>0.65</v>
      </c>
      <c r="T14" s="21">
        <v>971137.17235159245</v>
      </c>
      <c r="U14" s="22">
        <v>1071107.7030567238</v>
      </c>
      <c r="V14" s="22">
        <v>1205972.2984790099</v>
      </c>
      <c r="W14" s="22">
        <v>1357817.8744754349</v>
      </c>
      <c r="X14" s="22">
        <v>1528782.5288941138</v>
      </c>
      <c r="Y14" s="22">
        <v>1721273.5703268026</v>
      </c>
      <c r="Z14" s="23">
        <v>3.6096338984595612E-2</v>
      </c>
      <c r="AA14" s="23">
        <v>4.3576068587835776E-2</v>
      </c>
      <c r="AB14" s="23">
        <v>5.0464201126653049E-2</v>
      </c>
      <c r="AC14" s="23">
        <v>5.6772949624148847E-2</v>
      </c>
      <c r="AD14" s="23">
        <v>6.2514057527199032E-2</v>
      </c>
      <c r="AE14" s="23">
        <v>1.0615943486491424</v>
      </c>
      <c r="AF14" s="24">
        <v>31707212.583799999</v>
      </c>
      <c r="AG14" s="25">
        <f t="shared" si="2"/>
        <v>675.75070011727348</v>
      </c>
      <c r="AH14" s="25">
        <f t="shared" si="2"/>
        <v>662.74063722789174</v>
      </c>
      <c r="AI14" s="25">
        <f t="shared" si="2"/>
        <v>650.2807392770361</v>
      </c>
      <c r="AJ14" s="25">
        <f t="shared" si="2"/>
        <v>638.25689342469764</v>
      </c>
      <c r="AK14" s="25">
        <f t="shared" si="2"/>
        <v>626.56145008435647</v>
      </c>
      <c r="AL14" s="26">
        <f t="shared" si="3"/>
        <v>650.71808402625118</v>
      </c>
      <c r="AM14" s="26">
        <f t="shared" si="16"/>
        <v>626.56145008435647</v>
      </c>
      <c r="AN14" s="69"/>
      <c r="AO14" s="70"/>
      <c r="AP14" s="79">
        <f t="shared" si="4"/>
        <v>15764473.5696948</v>
      </c>
      <c r="AQ14" s="79">
        <f t="shared" si="5"/>
        <v>6038.1077807397978</v>
      </c>
      <c r="AR14" s="84"/>
      <c r="AS14" s="63">
        <f>MAX($AP14-VLOOKUP($A14,'RE Generation'!$A$4:$M$52,'Mass Equivalents - States, Opt2'!AS$7-2016,0)-VLOOKUP('Mass Equivalents - States, Opt2'!$A14,'EE Avoided Generation'!$N$4:$S$52,'Mass Equivalents - States, Opt2'!AS$7-2018,0)-VLOOKUP($A14,'Under Construction Nuclear'!$B$5:$D$53,3,0),0)+U14+$T14+VLOOKUP('Mass Equivalents - States, Opt2'!$A14,'EE Avoided Generation'!$N$4:$S$52,'Mass Equivalents - States, Opt2'!AS$7-2018,0)</f>
        <v>17402135.652046394</v>
      </c>
      <c r="AT14" s="64">
        <f>MAX($AP14-VLOOKUP($A14,'RE Generation'!$A$4:$M$52,'Mass Equivalents - States, Opt2'!AT$7-2016,0)-VLOOKUP('Mass Equivalents - States, Opt2'!$A14,'EE Avoided Generation'!$N$4:$S$52,'Mass Equivalents - States, Opt2'!AT$7-2018,0)-VLOOKUP($A14,'Under Construction Nuclear'!$B$5:$D$53,3,0),0)+V14+$T14+VLOOKUP('Mass Equivalents - States, Opt2'!$A14,'EE Avoided Generation'!$N$4:$S$52,'Mass Equivalents - States, Opt2'!AT$7-2018,0)</f>
        <v>17402135.652046394</v>
      </c>
      <c r="AU14" s="64">
        <f>MAX($AP14-VLOOKUP($A14,'RE Generation'!$A$4:$M$52,'Mass Equivalents - States, Opt2'!AU$7-2016,0)-VLOOKUP('Mass Equivalents - States, Opt2'!$A14,'EE Avoided Generation'!$N$4:$S$52,'Mass Equivalents - States, Opt2'!AU$7-2018,0)-VLOOKUP($A14,'Under Construction Nuclear'!$B$5:$D$53,3,0),0)+W14+$T14+VLOOKUP('Mass Equivalents - States, Opt2'!$A14,'EE Avoided Generation'!$N$4:$S$52,'Mass Equivalents - States, Opt2'!AU$7-2018,0)</f>
        <v>17402135.652046394</v>
      </c>
      <c r="AV14" s="64">
        <f>MAX($AP14-VLOOKUP($A14,'RE Generation'!$A$4:$M$52,'Mass Equivalents - States, Opt2'!AV$7-2016,0)-VLOOKUP('Mass Equivalents - States, Opt2'!$A14,'EE Avoided Generation'!$N$4:$S$52,'Mass Equivalents - States, Opt2'!AV$7-2018,0)-VLOOKUP($A14,'Under Construction Nuclear'!$B$5:$D$53,3,0),0)+X14+$T14+VLOOKUP('Mass Equivalents - States, Opt2'!$A14,'EE Avoided Generation'!$N$4:$S$52,'Mass Equivalents - States, Opt2'!AV$7-2018,0)</f>
        <v>17402135.652046394</v>
      </c>
      <c r="AW14" s="65">
        <f>MAX($AP14-VLOOKUP($A14,'RE Generation'!$A$4:$M$52,'Mass Equivalents - States, Opt2'!AW$7-2016,0)-VLOOKUP('Mass Equivalents - States, Opt2'!$A14,'EE Avoided Generation'!$N$4:$S$52,'Mass Equivalents - States, Opt2'!AW$7-2018,0)-VLOOKUP($A14,'Under Construction Nuclear'!$B$5:$D$53,3,0),0)+Y14+$T14+VLOOKUP('Mass Equivalents - States, Opt2'!$A14,'EE Avoided Generation'!$N$4:$S$52,'Mass Equivalents - States, Opt2'!AW$7-2018,0)</f>
        <v>17402135.652046394</v>
      </c>
      <c r="AX14" s="29"/>
      <c r="AY14" s="71">
        <f t="shared" si="17"/>
        <v>5334.0282454146827</v>
      </c>
      <c r="AZ14" s="72">
        <f t="shared" si="18"/>
        <v>5231.333504714391</v>
      </c>
      <c r="BA14" s="72">
        <f t="shared" si="19"/>
        <v>5132.9814828913823</v>
      </c>
      <c r="BB14" s="72">
        <f t="shared" si="20"/>
        <v>5038.0714319158442</v>
      </c>
      <c r="BC14" s="72">
        <f t="shared" si="21"/>
        <v>4945.7536213546409</v>
      </c>
      <c r="BD14" s="75">
        <f t="shared" si="7"/>
        <v>5136.4336572581878</v>
      </c>
      <c r="BE14" s="76">
        <f t="shared" si="22"/>
        <v>4945.7536213546409</v>
      </c>
      <c r="BH14" s="63">
        <f>AS14+VLOOKUP($A14,'Incremental Demand for New Gen'!$AG$66:$AL$114,'Mass Equivalents - States, Opt2'!AS$7-2018,0)</f>
        <v>18467923.666021276</v>
      </c>
      <c r="BI14" s="64">
        <f>AT14+VLOOKUP($A14,'Incremental Demand for New Gen'!$AG$66:$AL$114,'Mass Equivalents - States, Opt2'!AT$7-2018,0)</f>
        <v>18603612.683645535</v>
      </c>
      <c r="BJ14" s="64">
        <f>AU14+VLOOKUP($A14,'Incremental Demand for New Gen'!$AG$66:$AL$114,'Mass Equivalents - States, Opt2'!AU$7-2018,0)</f>
        <v>18739857.086674154</v>
      </c>
      <c r="BK14" s="64">
        <f>AV14+VLOOKUP($A14,'Incremental Demand for New Gen'!$AG$66:$AL$114,'Mass Equivalents - States, Opt2'!AV$7-2018,0)</f>
        <v>18876659.148341574</v>
      </c>
      <c r="BL14" s="65">
        <f>AW14+VLOOKUP($A14,'Incremental Demand for New Gen'!$AG$66:$AL$114,'Mass Equivalents - States, Opt2'!AW$7-2018,0)</f>
        <v>19014021.151186749</v>
      </c>
      <c r="BM14" s="29"/>
      <c r="BN14" s="71">
        <f t="shared" si="23"/>
        <v>5660.7090324075089</v>
      </c>
      <c r="BO14" s="72">
        <f t="shared" si="24"/>
        <v>5592.5148663715891</v>
      </c>
      <c r="BP14" s="72">
        <f t="shared" si="25"/>
        <v>5527.5594525444176</v>
      </c>
      <c r="BQ14" s="72">
        <f t="shared" si="26"/>
        <v>5464.9589617518623</v>
      </c>
      <c r="BR14" s="72">
        <f t="shared" si="27"/>
        <v>5403.857655479037</v>
      </c>
      <c r="BS14" s="75">
        <f t="shared" si="9"/>
        <v>5529.9199937108833</v>
      </c>
      <c r="BT14" s="76">
        <f t="shared" si="28"/>
        <v>5403.857655479037</v>
      </c>
    </row>
    <row r="15" spans="1:72" x14ac:dyDescent="0.25">
      <c r="A15" s="16" t="s">
        <v>49</v>
      </c>
      <c r="B15" s="17">
        <v>2136.9024003999998</v>
      </c>
      <c r="C15" s="17">
        <v>979.35543659999996</v>
      </c>
      <c r="D15" s="17">
        <v>1429.8429154999999</v>
      </c>
      <c r="E15" s="17">
        <v>2008472.8334976812</v>
      </c>
      <c r="F15" s="17">
        <v>1406502</v>
      </c>
      <c r="G15" s="17">
        <v>5179270.0000999998</v>
      </c>
      <c r="H15" s="17">
        <v>1076070</v>
      </c>
      <c r="I15" s="17">
        <v>1432.3572751999891</v>
      </c>
      <c r="J15" s="17">
        <v>1193</v>
      </c>
      <c r="K15" s="17">
        <v>0</v>
      </c>
      <c r="L15" s="18">
        <f t="shared" si="10"/>
        <v>2051.4263043839996</v>
      </c>
      <c r="M15" s="19">
        <f t="shared" si="0"/>
        <v>481731.63175893796</v>
      </c>
      <c r="N15" s="19">
        <f t="shared" si="1"/>
        <v>368557.56834106194</v>
      </c>
      <c r="O15" s="19">
        <f t="shared" si="11"/>
        <v>6811552.7999999998</v>
      </c>
      <c r="P15" s="19">
        <f t="shared" si="12"/>
        <v>2008472.8334976812</v>
      </c>
      <c r="Q15" s="19">
        <f t="shared" si="13"/>
        <v>1432.3572751999891</v>
      </c>
      <c r="R15" s="20">
        <f t="shared" si="14"/>
        <v>0.49423759881373891</v>
      </c>
      <c r="S15" s="20">
        <f t="shared" si="15"/>
        <v>0.65</v>
      </c>
      <c r="T15" s="21">
        <v>0</v>
      </c>
      <c r="U15" s="22">
        <v>247756.63915112716</v>
      </c>
      <c r="V15" s="22">
        <v>290517.20444475126</v>
      </c>
      <c r="W15" s="22">
        <v>340657.85832245945</v>
      </c>
      <c r="X15" s="22">
        <v>399452.33762881707</v>
      </c>
      <c r="Y15" s="22">
        <v>468394.2147199444</v>
      </c>
      <c r="Z15" s="23">
        <v>8.5888486066409662E-3</v>
      </c>
      <c r="AA15" s="23">
        <v>1.3997891092707212E-2</v>
      </c>
      <c r="AB15" s="23">
        <v>2.0511320003863284E-2</v>
      </c>
      <c r="AC15" s="23">
        <v>2.8023712806235057E-2</v>
      </c>
      <c r="AD15" s="23">
        <v>3.594453504186023E-2</v>
      </c>
      <c r="AE15" s="23">
        <v>0.45088760824127661</v>
      </c>
      <c r="AF15" s="24">
        <v>12384432.758099999</v>
      </c>
      <c r="AG15" s="25">
        <f t="shared" si="2"/>
        <v>1028.7932339673641</v>
      </c>
      <c r="AH15" s="25">
        <f t="shared" si="2"/>
        <v>1019.4473809988244</v>
      </c>
      <c r="AI15" s="25">
        <f t="shared" si="2"/>
        <v>1008.5840025548773</v>
      </c>
      <c r="AJ15" s="25">
        <f t="shared" si="2"/>
        <v>996.22170022119076</v>
      </c>
      <c r="AK15" s="25">
        <f t="shared" si="2"/>
        <v>982.69087004657263</v>
      </c>
      <c r="AL15" s="26">
        <f t="shared" si="3"/>
        <v>1007.1474375577658</v>
      </c>
      <c r="AM15" s="26">
        <f t="shared" si="16"/>
        <v>982.69087004657263</v>
      </c>
      <c r="AN15" s="69"/>
      <c r="AO15" s="70"/>
      <c r="AP15" s="79">
        <f t="shared" si="4"/>
        <v>7663274.3573751999</v>
      </c>
      <c r="AQ15" s="79">
        <f t="shared" si="5"/>
        <v>4362.8939550127461</v>
      </c>
      <c r="AR15" s="84"/>
      <c r="AS15" s="63">
        <f>MAX($AP15-VLOOKUP($A15,'RE Generation'!$A$4:$M$52,'Mass Equivalents - States, Opt2'!AS$7-2016,0)-VLOOKUP('Mass Equivalents - States, Opt2'!$A15,'EE Avoided Generation'!$N$4:$S$52,'Mass Equivalents - States, Opt2'!AS$7-2018,0)-VLOOKUP($A15,'Under Construction Nuclear'!$B$5:$D$53,3,0),0)+U15+$T15+VLOOKUP('Mass Equivalents - States, Opt2'!$A15,'EE Avoided Generation'!$N$4:$S$52,'Mass Equivalents - States, Opt2'!AS$7-2018,0)</f>
        <v>7794324.9773752</v>
      </c>
      <c r="AT15" s="64">
        <f>MAX($AP15-VLOOKUP($A15,'RE Generation'!$A$4:$M$52,'Mass Equivalents - States, Opt2'!AT$7-2016,0)-VLOOKUP('Mass Equivalents - States, Opt2'!$A15,'EE Avoided Generation'!$N$4:$S$52,'Mass Equivalents - States, Opt2'!AT$7-2018,0)-VLOOKUP($A15,'Under Construction Nuclear'!$B$5:$D$53,3,0),0)+V15+$T15+VLOOKUP('Mass Equivalents - States, Opt2'!$A15,'EE Avoided Generation'!$N$4:$S$52,'Mass Equivalents - States, Opt2'!AT$7-2018,0)</f>
        <v>7794324.9773752</v>
      </c>
      <c r="AU15" s="64">
        <f>MAX($AP15-VLOOKUP($A15,'RE Generation'!$A$4:$M$52,'Mass Equivalents - States, Opt2'!AU$7-2016,0)-VLOOKUP('Mass Equivalents - States, Opt2'!$A15,'EE Avoided Generation'!$N$4:$S$52,'Mass Equivalents - States, Opt2'!AU$7-2018,0)-VLOOKUP($A15,'Under Construction Nuclear'!$B$5:$D$53,3,0),0)+W15+$T15+VLOOKUP('Mass Equivalents - States, Opt2'!$A15,'EE Avoided Generation'!$N$4:$S$52,'Mass Equivalents - States, Opt2'!AU$7-2018,0)</f>
        <v>7794324.9773752</v>
      </c>
      <c r="AV15" s="64">
        <f>MAX($AP15-VLOOKUP($A15,'RE Generation'!$A$4:$M$52,'Mass Equivalents - States, Opt2'!AV$7-2016,0)-VLOOKUP('Mass Equivalents - States, Opt2'!$A15,'EE Avoided Generation'!$N$4:$S$52,'Mass Equivalents - States, Opt2'!AV$7-2018,0)-VLOOKUP($A15,'Under Construction Nuclear'!$B$5:$D$53,3,0),0)+X15+$T15+VLOOKUP('Mass Equivalents - States, Opt2'!$A15,'EE Avoided Generation'!$N$4:$S$52,'Mass Equivalents - States, Opt2'!AV$7-2018,0)</f>
        <v>7794324.9773752</v>
      </c>
      <c r="AW15" s="65">
        <f>MAX($AP15-VLOOKUP($A15,'RE Generation'!$A$4:$M$52,'Mass Equivalents - States, Opt2'!AW$7-2016,0)-VLOOKUP('Mass Equivalents - States, Opt2'!$A15,'EE Avoided Generation'!$N$4:$S$52,'Mass Equivalents - States, Opt2'!AW$7-2018,0)-VLOOKUP($A15,'Under Construction Nuclear'!$B$5:$D$53,3,0),0)+Y15+$T15+VLOOKUP('Mass Equivalents - States, Opt2'!$A15,'EE Avoided Generation'!$N$4:$S$52,'Mass Equivalents - States, Opt2'!AW$7-2018,0)</f>
        <v>7794324.9773752</v>
      </c>
      <c r="AX15" s="29"/>
      <c r="AY15" s="71">
        <f t="shared" si="17"/>
        <v>3637.2475982556784</v>
      </c>
      <c r="AZ15" s="72">
        <f t="shared" si="18"/>
        <v>3604.2057972978882</v>
      </c>
      <c r="BA15" s="72">
        <f t="shared" si="19"/>
        <v>3565.7988600731801</v>
      </c>
      <c r="BB15" s="72">
        <f t="shared" si="20"/>
        <v>3522.0925515677154</v>
      </c>
      <c r="BC15" s="72">
        <f t="shared" si="21"/>
        <v>3474.2549706718473</v>
      </c>
      <c r="BD15" s="75">
        <f t="shared" si="7"/>
        <v>3560.7199555732614</v>
      </c>
      <c r="BE15" s="76">
        <f t="shared" si="22"/>
        <v>3474.2549706718473</v>
      </c>
      <c r="BH15" s="63">
        <f>AS15+VLOOKUP($A15,'Incremental Demand for New Gen'!$AG$66:$AL$114,'Mass Equivalents - States, Opt2'!AS$7-2018,0)</f>
        <v>8375667.3811227158</v>
      </c>
      <c r="BI15" s="64">
        <f>AT15+VLOOKUP($A15,'Incremental Demand for New Gen'!$AG$66:$AL$114,'Mass Equivalents - States, Opt2'!AT$7-2018,0)</f>
        <v>8450226.490124274</v>
      </c>
      <c r="BJ15" s="64">
        <f>AU15+VLOOKUP($A15,'Incremental Demand for New Gen'!$AG$66:$AL$114,'Mass Equivalents - States, Opt2'!AU$7-2018,0)</f>
        <v>8525213.9657516703</v>
      </c>
      <c r="BK15" s="64">
        <f>AV15+VLOOKUP($A15,'Incremental Demand for New Gen'!$AG$66:$AL$114,'Mass Equivalents - States, Opt2'!AV$7-2018,0)</f>
        <v>8600632.2691121809</v>
      </c>
      <c r="BL15" s="65">
        <f>AW15+VLOOKUP($A15,'Incremental Demand for New Gen'!$AG$66:$AL$114,'Mass Equivalents - States, Opt2'!AW$7-2018,0)</f>
        <v>8676483.8754529655</v>
      </c>
      <c r="BM15" s="29"/>
      <c r="BN15" s="71">
        <f t="shared" si="23"/>
        <v>3908.5329588138557</v>
      </c>
      <c r="BO15" s="72">
        <f t="shared" si="24"/>
        <v>3907.5039073418916</v>
      </c>
      <c r="BP15" s="72">
        <f t="shared" si="25"/>
        <v>3900.1707433546635</v>
      </c>
      <c r="BQ15" s="72">
        <f t="shared" si="26"/>
        <v>3886.4459644347667</v>
      </c>
      <c r="BR15" s="72">
        <f t="shared" si="27"/>
        <v>3867.4698989004605</v>
      </c>
      <c r="BS15" s="75">
        <f t="shared" si="9"/>
        <v>3894.0246945691274</v>
      </c>
      <c r="BT15" s="76">
        <f t="shared" si="28"/>
        <v>3867.4698989004605</v>
      </c>
    </row>
    <row r="16" spans="1:72" x14ac:dyDescent="0.25">
      <c r="A16" s="16" t="s">
        <v>50</v>
      </c>
      <c r="B16" s="17">
        <v>2250.7272351000001</v>
      </c>
      <c r="C16" s="17">
        <v>864.2511733</v>
      </c>
      <c r="D16" s="17">
        <v>1528.8799706</v>
      </c>
      <c r="E16" s="17">
        <v>6223480133.8529482</v>
      </c>
      <c r="F16" s="17">
        <v>44537196</v>
      </c>
      <c r="G16" s="17">
        <v>133320419.2579</v>
      </c>
      <c r="H16" s="17">
        <v>10025973</v>
      </c>
      <c r="I16" s="17">
        <v>3567382.7075262</v>
      </c>
      <c r="J16" s="17">
        <v>29485.1</v>
      </c>
      <c r="K16" s="17">
        <v>1157</v>
      </c>
      <c r="L16" s="18">
        <f t="shared" si="10"/>
        <v>2160.6981456960002</v>
      </c>
      <c r="M16" s="19">
        <f t="shared" si="0"/>
        <v>15116261.384174045</v>
      </c>
      <c r="N16" s="19">
        <f t="shared" si="1"/>
        <v>3402891.1137259649</v>
      </c>
      <c r="O16" s="19">
        <f t="shared" si="11"/>
        <v>169364435.75999999</v>
      </c>
      <c r="P16" s="19">
        <f t="shared" si="12"/>
        <v>11054383534.446081</v>
      </c>
      <c r="Q16" s="19">
        <f t="shared" si="13"/>
        <v>9157081.1075261999</v>
      </c>
      <c r="R16" s="20">
        <f t="shared" si="14"/>
        <v>0.51475638061732198</v>
      </c>
      <c r="S16" s="20">
        <f t="shared" si="15"/>
        <v>0.65</v>
      </c>
      <c r="T16" s="21">
        <v>1623103.9351455392</v>
      </c>
      <c r="U16" s="22">
        <v>7489632.440006014</v>
      </c>
      <c r="V16" s="22">
        <v>8495712.9508785289</v>
      </c>
      <c r="W16" s="22">
        <v>9636940.0129957795</v>
      </c>
      <c r="X16" s="22">
        <v>10931467.829839459</v>
      </c>
      <c r="Y16" s="22">
        <v>12399889.254646057</v>
      </c>
      <c r="Z16" s="23">
        <v>1.7461888157549114E-2</v>
      </c>
      <c r="AA16" s="23">
        <v>2.4577254196632588E-2</v>
      </c>
      <c r="AB16" s="23">
        <v>3.254561396370001E-2</v>
      </c>
      <c r="AC16" s="23">
        <v>3.9856658557826441E-2</v>
      </c>
      <c r="AD16" s="23">
        <v>4.6534365612860666E-2</v>
      </c>
      <c r="AE16" s="23">
        <v>0.90200148188543927</v>
      </c>
      <c r="AF16" s="24">
        <v>237246975.40829998</v>
      </c>
      <c r="AG16" s="25">
        <f t="shared" si="2"/>
        <v>930.44880732428931</v>
      </c>
      <c r="AH16" s="25">
        <f t="shared" si="2"/>
        <v>919.37224879526809</v>
      </c>
      <c r="AI16" s="25">
        <f t="shared" si="2"/>
        <v>907.21547925333709</v>
      </c>
      <c r="AJ16" s="25">
        <f t="shared" si="2"/>
        <v>895.32413538082585</v>
      </c>
      <c r="AK16" s="25">
        <f t="shared" si="2"/>
        <v>883.58710581215826</v>
      </c>
      <c r="AL16" s="26">
        <f t="shared" si="3"/>
        <v>907.18955531317567</v>
      </c>
      <c r="AM16" s="26">
        <f t="shared" si="16"/>
        <v>883.58710581215826</v>
      </c>
      <c r="AN16" s="69"/>
      <c r="AO16" s="70"/>
      <c r="AP16" s="79">
        <f t="shared" si="4"/>
        <v>197040669.36542621</v>
      </c>
      <c r="AQ16" s="79">
        <f t="shared" si="5"/>
        <v>107508.5040596584</v>
      </c>
      <c r="AR16" s="84"/>
      <c r="AS16" s="63">
        <f>MAX($AP16-VLOOKUP($A16,'RE Generation'!$A$4:$M$52,'Mass Equivalents - States, Opt2'!AS$7-2016,0)-VLOOKUP('Mass Equivalents - States, Opt2'!$A16,'EE Avoided Generation'!$N$4:$S$52,'Mass Equivalents - States, Opt2'!AS$7-2018,0)-VLOOKUP($A16,'Under Construction Nuclear'!$B$5:$D$53,3,0),0)+U16+$T16+VLOOKUP('Mass Equivalents - States, Opt2'!$A16,'EE Avoided Generation'!$N$4:$S$52,'Mass Equivalents - States, Opt2'!AS$7-2018,0)</f>
        <v>203187571.29057175</v>
      </c>
      <c r="AT16" s="64">
        <f>MAX($AP16-VLOOKUP($A16,'RE Generation'!$A$4:$M$52,'Mass Equivalents - States, Opt2'!AT$7-2016,0)-VLOOKUP('Mass Equivalents - States, Opt2'!$A16,'EE Avoided Generation'!$N$4:$S$52,'Mass Equivalents - States, Opt2'!AT$7-2018,0)-VLOOKUP($A16,'Under Construction Nuclear'!$B$5:$D$53,3,0),0)+V16+$T16+VLOOKUP('Mass Equivalents - States, Opt2'!$A16,'EE Avoided Generation'!$N$4:$S$52,'Mass Equivalents - States, Opt2'!AT$7-2018,0)</f>
        <v>203187571.29057175</v>
      </c>
      <c r="AU16" s="64">
        <f>MAX($AP16-VLOOKUP($A16,'RE Generation'!$A$4:$M$52,'Mass Equivalents - States, Opt2'!AU$7-2016,0)-VLOOKUP('Mass Equivalents - States, Opt2'!$A16,'EE Avoided Generation'!$N$4:$S$52,'Mass Equivalents - States, Opt2'!AU$7-2018,0)-VLOOKUP($A16,'Under Construction Nuclear'!$B$5:$D$53,3,0),0)+W16+$T16+VLOOKUP('Mass Equivalents - States, Opt2'!$A16,'EE Avoided Generation'!$N$4:$S$52,'Mass Equivalents - States, Opt2'!AU$7-2018,0)</f>
        <v>203187571.29057175</v>
      </c>
      <c r="AV16" s="64">
        <f>MAX($AP16-VLOOKUP($A16,'RE Generation'!$A$4:$M$52,'Mass Equivalents - States, Opt2'!AV$7-2016,0)-VLOOKUP('Mass Equivalents - States, Opt2'!$A16,'EE Avoided Generation'!$N$4:$S$52,'Mass Equivalents - States, Opt2'!AV$7-2018,0)-VLOOKUP($A16,'Under Construction Nuclear'!$B$5:$D$53,3,0),0)+X16+$T16+VLOOKUP('Mass Equivalents - States, Opt2'!$A16,'EE Avoided Generation'!$N$4:$S$52,'Mass Equivalents - States, Opt2'!AV$7-2018,0)</f>
        <v>203187571.29057175</v>
      </c>
      <c r="AW16" s="65">
        <f>MAX($AP16-VLOOKUP($A16,'RE Generation'!$A$4:$M$52,'Mass Equivalents - States, Opt2'!AW$7-2016,0)-VLOOKUP('Mass Equivalents - States, Opt2'!$A16,'EE Avoided Generation'!$N$4:$S$52,'Mass Equivalents - States, Opt2'!AW$7-2018,0)-VLOOKUP($A16,'Under Construction Nuclear'!$B$5:$D$53,3,0),0)+Y16+$T16+VLOOKUP('Mass Equivalents - States, Opt2'!$A16,'EE Avoided Generation'!$N$4:$S$52,'Mass Equivalents - States, Opt2'!AW$7-2018,0)</f>
        <v>203187571.29057175</v>
      </c>
      <c r="AX16" s="29"/>
      <c r="AY16" s="71">
        <f t="shared" si="17"/>
        <v>85754.294785691629</v>
      </c>
      <c r="AZ16" s="72">
        <f t="shared" si="18"/>
        <v>84733.429953761559</v>
      </c>
      <c r="BA16" s="72">
        <f t="shared" si="19"/>
        <v>83613.008076991799</v>
      </c>
      <c r="BB16" s="72">
        <f t="shared" si="20"/>
        <v>82517.049008836475</v>
      </c>
      <c r="BC16" s="72">
        <f t="shared" si="21"/>
        <v>81435.312232329321</v>
      </c>
      <c r="BD16" s="75">
        <f t="shared" si="7"/>
        <v>83610.618811522159</v>
      </c>
      <c r="BE16" s="76">
        <f t="shared" si="22"/>
        <v>81435.312232329321</v>
      </c>
      <c r="BH16" s="63">
        <f>AS16+VLOOKUP($A16,'Incremental Demand for New Gen'!$AG$66:$AL$114,'Mass Equivalents - States, Opt2'!AS$7-2018,0)</f>
        <v>218235376.75598347</v>
      </c>
      <c r="BI16" s="64">
        <f>AT16+VLOOKUP($A16,'Incremental Demand for New Gen'!$AG$66:$AL$114,'Mass Equivalents - States, Opt2'!AT$7-2018,0)</f>
        <v>220935804.35067567</v>
      </c>
      <c r="BJ16" s="64">
        <f>AU16+VLOOKUP($A16,'Incremental Demand for New Gen'!$AG$66:$AL$114,'Mass Equivalents - States, Opt2'!AU$7-2018,0)</f>
        <v>223664441.99751413</v>
      </c>
      <c r="BK16" s="64">
        <f>AV16+VLOOKUP($A16,'Incremental Demand for New Gen'!$AG$66:$AL$114,'Mass Equivalents - States, Opt2'!AV$7-2018,0)</f>
        <v>226421584.39317709</v>
      </c>
      <c r="BL16" s="65">
        <f>AW16+VLOOKUP($A16,'Incremental Demand for New Gen'!$AG$66:$AL$114,'Mass Equivalents - States, Opt2'!AW$7-2018,0)</f>
        <v>229207529.31289551</v>
      </c>
      <c r="BM16" s="29"/>
      <c r="BN16" s="71">
        <f t="shared" si="23"/>
        <v>92105.145566388659</v>
      </c>
      <c r="BO16" s="72">
        <f t="shared" si="24"/>
        <v>92134.81111723202</v>
      </c>
      <c r="BP16" s="72">
        <f t="shared" si="25"/>
        <v>92039.373651107671</v>
      </c>
      <c r="BQ16" s="72">
        <f t="shared" si="26"/>
        <v>91952.676324435946</v>
      </c>
      <c r="BR16" s="72">
        <f t="shared" si="27"/>
        <v>91863.821182760192</v>
      </c>
      <c r="BS16" s="75">
        <f t="shared" si="9"/>
        <v>92019.165568384895</v>
      </c>
      <c r="BT16" s="76">
        <f t="shared" si="28"/>
        <v>91863.821182760192</v>
      </c>
    </row>
    <row r="17" spans="1:72" x14ac:dyDescent="0.25">
      <c r="A17" s="16" t="s">
        <v>51</v>
      </c>
      <c r="B17" s="17">
        <v>2294.5501021999999</v>
      </c>
      <c r="C17" s="17">
        <v>841.16901270000005</v>
      </c>
      <c r="D17" s="17">
        <v>0</v>
      </c>
      <c r="E17" s="17">
        <v>68345446.737178013</v>
      </c>
      <c r="F17" s="17">
        <v>40972090</v>
      </c>
      <c r="G17" s="17">
        <v>37591123.001900002</v>
      </c>
      <c r="H17" s="17">
        <v>0</v>
      </c>
      <c r="I17" s="17">
        <v>83815.36127129996</v>
      </c>
      <c r="J17" s="17">
        <v>8354.9</v>
      </c>
      <c r="K17" s="17">
        <v>0</v>
      </c>
      <c r="L17" s="18">
        <f t="shared" si="10"/>
        <v>2202.7680981119997</v>
      </c>
      <c r="M17" s="19">
        <f t="shared" si="0"/>
        <v>30860075.961900003</v>
      </c>
      <c r="N17" s="19">
        <f t="shared" si="1"/>
        <v>0</v>
      </c>
      <c r="O17" s="19">
        <f t="shared" si="11"/>
        <v>47703137.039999999</v>
      </c>
      <c r="P17" s="19">
        <f t="shared" si="12"/>
        <v>68345446.737178013</v>
      </c>
      <c r="Q17" s="19">
        <f t="shared" si="13"/>
        <v>83815.36127129996</v>
      </c>
      <c r="R17" s="20">
        <f t="shared" si="14"/>
        <v>0.51221432105704978</v>
      </c>
      <c r="S17" s="20">
        <f t="shared" si="15"/>
        <v>0.65</v>
      </c>
      <c r="T17" s="21">
        <v>19220561.263695512</v>
      </c>
      <c r="U17" s="22">
        <v>5427968.0941611556</v>
      </c>
      <c r="V17" s="22">
        <v>6157105.7330128942</v>
      </c>
      <c r="W17" s="22">
        <v>6984188.254216129</v>
      </c>
      <c r="X17" s="22">
        <v>7922372.5700843642</v>
      </c>
      <c r="Y17" s="22">
        <v>8986582.9577741623</v>
      </c>
      <c r="Z17" s="23">
        <v>1.480082382373472E-2</v>
      </c>
      <c r="AA17" s="23">
        <v>2.1407885870977868E-2</v>
      </c>
      <c r="AB17" s="23">
        <v>2.8963833738141584E-2</v>
      </c>
      <c r="AC17" s="23">
        <v>3.662482376974377E-2</v>
      </c>
      <c r="AD17" s="23">
        <v>4.3648268614303501E-2</v>
      </c>
      <c r="AE17" s="23">
        <v>0.87749338804973098</v>
      </c>
      <c r="AF17" s="24">
        <v>140815385.2872</v>
      </c>
      <c r="AG17" s="25">
        <f t="shared" si="2"/>
        <v>1028.9934723338124</v>
      </c>
      <c r="AH17" s="25">
        <f t="shared" si="2"/>
        <v>1014.0844294347382</v>
      </c>
      <c r="AI17" s="25">
        <f t="shared" si="2"/>
        <v>997.61742195529666</v>
      </c>
      <c r="AJ17" s="25">
        <f t="shared" si="2"/>
        <v>980.57248570953971</v>
      </c>
      <c r="AK17" s="25">
        <f t="shared" si="2"/>
        <v>963.6943963368733</v>
      </c>
      <c r="AL17" s="26">
        <f t="shared" si="3"/>
        <v>996.99244115405202</v>
      </c>
      <c r="AM17" s="26">
        <f t="shared" si="16"/>
        <v>963.6943963368733</v>
      </c>
      <c r="AN17" s="69"/>
      <c r="AO17" s="70"/>
      <c r="AP17" s="79">
        <f t="shared" si="4"/>
        <v>78647028.363171309</v>
      </c>
      <c r="AQ17" s="79">
        <f t="shared" si="5"/>
        <v>57017.239508567131</v>
      </c>
      <c r="AR17" s="84"/>
      <c r="AS17" s="63">
        <f>MAX($AP17-VLOOKUP($A17,'RE Generation'!$A$4:$M$52,'Mass Equivalents - States, Opt2'!AS$7-2016,0)-VLOOKUP('Mass Equivalents - States, Opt2'!$A17,'EE Avoided Generation'!$N$4:$S$52,'Mass Equivalents - States, Opt2'!AS$7-2018,0)-VLOOKUP($A17,'Under Construction Nuclear'!$B$5:$D$53,3,0),0)+U17+$T17+VLOOKUP('Mass Equivalents - States, Opt2'!$A17,'EE Avoided Generation'!$N$4:$S$52,'Mass Equivalents - States, Opt2'!AS$7-2018,0)</f>
        <v>83753805.836866811</v>
      </c>
      <c r="AT17" s="64">
        <f>MAX($AP17-VLOOKUP($A17,'RE Generation'!$A$4:$M$52,'Mass Equivalents - States, Opt2'!AT$7-2016,0)-VLOOKUP('Mass Equivalents - States, Opt2'!$A17,'EE Avoided Generation'!$N$4:$S$52,'Mass Equivalents - States, Opt2'!AT$7-2018,0)-VLOOKUP($A17,'Under Construction Nuclear'!$B$5:$D$53,3,0),0)+V17+$T17+VLOOKUP('Mass Equivalents - States, Opt2'!$A17,'EE Avoided Generation'!$N$4:$S$52,'Mass Equivalents - States, Opt2'!AT$7-2018,0)</f>
        <v>83753805.836866826</v>
      </c>
      <c r="AU17" s="64">
        <f>MAX($AP17-VLOOKUP($A17,'RE Generation'!$A$4:$M$52,'Mass Equivalents - States, Opt2'!AU$7-2016,0)-VLOOKUP('Mass Equivalents - States, Opt2'!$A17,'EE Avoided Generation'!$N$4:$S$52,'Mass Equivalents - States, Opt2'!AU$7-2018,0)-VLOOKUP($A17,'Under Construction Nuclear'!$B$5:$D$53,3,0),0)+W17+$T17+VLOOKUP('Mass Equivalents - States, Opt2'!$A17,'EE Avoided Generation'!$N$4:$S$52,'Mass Equivalents - States, Opt2'!AU$7-2018,0)</f>
        <v>83753805.836866826</v>
      </c>
      <c r="AV17" s="64">
        <f>MAX($AP17-VLOOKUP($A17,'RE Generation'!$A$4:$M$52,'Mass Equivalents - States, Opt2'!AV$7-2016,0)-VLOOKUP('Mass Equivalents - States, Opt2'!$A17,'EE Avoided Generation'!$N$4:$S$52,'Mass Equivalents - States, Opt2'!AV$7-2018,0)-VLOOKUP($A17,'Under Construction Nuclear'!$B$5:$D$53,3,0),0)+X17+$T17+VLOOKUP('Mass Equivalents - States, Opt2'!$A17,'EE Avoided Generation'!$N$4:$S$52,'Mass Equivalents - States, Opt2'!AV$7-2018,0)</f>
        <v>83753805.836866811</v>
      </c>
      <c r="AW17" s="65">
        <f>MAX($AP17-VLOOKUP($A17,'RE Generation'!$A$4:$M$52,'Mass Equivalents - States, Opt2'!AW$7-2016,0)-VLOOKUP('Mass Equivalents - States, Opt2'!$A17,'EE Avoided Generation'!$N$4:$S$52,'Mass Equivalents - States, Opt2'!AW$7-2018,0)-VLOOKUP($A17,'Under Construction Nuclear'!$B$5:$D$53,3,0),0)+Y17+$T17+VLOOKUP('Mass Equivalents - States, Opt2'!$A17,'EE Avoided Generation'!$N$4:$S$52,'Mass Equivalents - States, Opt2'!AW$7-2018,0)</f>
        <v>83753805.836866796</v>
      </c>
      <c r="AX17" s="29"/>
      <c r="AY17" s="71">
        <f t="shared" si="17"/>
        <v>39091.598320458637</v>
      </c>
      <c r="AZ17" s="72">
        <f t="shared" si="18"/>
        <v>38525.201805783741</v>
      </c>
      <c r="BA17" s="72">
        <f t="shared" si="19"/>
        <v>37899.618010323575</v>
      </c>
      <c r="BB17" s="72">
        <f t="shared" si="20"/>
        <v>37252.07862447526</v>
      </c>
      <c r="BC17" s="72">
        <f t="shared" si="21"/>
        <v>36610.877773437169</v>
      </c>
      <c r="BD17" s="75">
        <f t="shared" si="7"/>
        <v>37875.874906895668</v>
      </c>
      <c r="BE17" s="76">
        <f t="shared" si="22"/>
        <v>36610.877773437169</v>
      </c>
      <c r="BH17" s="63">
        <f>AS17+VLOOKUP($A17,'Incremental Demand for New Gen'!$AG$66:$AL$114,'Mass Equivalents - States, Opt2'!AS$7-2018,0)</f>
        <v>97260926.878559694</v>
      </c>
      <c r="BI17" s="64">
        <f>AT17+VLOOKUP($A17,'Incremental Demand for New Gen'!$AG$66:$AL$114,'Mass Equivalents - States, Opt2'!AT$7-2018,0)</f>
        <v>99037816.124889076</v>
      </c>
      <c r="BJ17" s="64">
        <f>AU17+VLOOKUP($A17,'Incremental Demand for New Gen'!$AG$66:$AL$114,'Mass Equivalents - States, Opt2'!AU$7-2018,0)</f>
        <v>100835130.3736221</v>
      </c>
      <c r="BK17" s="64">
        <f>AV17+VLOOKUP($A17,'Incremental Demand for New Gen'!$AG$66:$AL$114,'Mass Equivalents - States, Opt2'!AV$7-2018,0)</f>
        <v>102653104.40625907</v>
      </c>
      <c r="BL17" s="65">
        <f>AW17+VLOOKUP($A17,'Incremental Demand for New Gen'!$AG$66:$AL$114,'Mass Equivalents - States, Opt2'!AW$7-2018,0)</f>
        <v>104491975.70306885</v>
      </c>
      <c r="BM17" s="29"/>
      <c r="BN17" s="71">
        <f t="shared" si="23"/>
        <v>45395.96795419354</v>
      </c>
      <c r="BO17" s="72">
        <f t="shared" si="24"/>
        <v>45555.563887413999</v>
      </c>
      <c r="BP17" s="72">
        <f t="shared" si="25"/>
        <v>45629.125566246847</v>
      </c>
      <c r="BQ17" s="72">
        <f t="shared" si="26"/>
        <v>45658.122376394291</v>
      </c>
      <c r="BR17" s="72">
        <f t="shared" si="27"/>
        <v>45676.049136457164</v>
      </c>
      <c r="BS17" s="75">
        <f t="shared" si="9"/>
        <v>45582.965784141168</v>
      </c>
      <c r="BT17" s="76">
        <f t="shared" si="28"/>
        <v>45676.049136457164</v>
      </c>
    </row>
    <row r="18" spans="1:72" x14ac:dyDescent="0.25">
      <c r="A18" s="16" t="s">
        <v>52</v>
      </c>
      <c r="B18" s="17">
        <v>2077.0173885999998</v>
      </c>
      <c r="C18" s="17">
        <v>0</v>
      </c>
      <c r="D18" s="17">
        <v>1694.9226693999999</v>
      </c>
      <c r="E18" s="17">
        <v>366833182.50428218</v>
      </c>
      <c r="F18" s="17">
        <v>1502308</v>
      </c>
      <c r="G18" s="17">
        <v>0</v>
      </c>
      <c r="H18" s="17">
        <v>4093831</v>
      </c>
      <c r="I18" s="17">
        <v>250089.58781180004</v>
      </c>
      <c r="J18" s="17">
        <v>0</v>
      </c>
      <c r="K18" s="17">
        <v>0</v>
      </c>
      <c r="L18" s="18">
        <f t="shared" si="10"/>
        <v>1993.9366930559997</v>
      </c>
      <c r="M18" s="19">
        <f t="shared" si="0"/>
        <v>1502308</v>
      </c>
      <c r="N18" s="19">
        <f t="shared" si="1"/>
        <v>4093831</v>
      </c>
      <c r="O18" s="19">
        <f t="shared" si="11"/>
        <v>0</v>
      </c>
      <c r="P18" s="19">
        <f t="shared" si="12"/>
        <v>366833182.50428218</v>
      </c>
      <c r="Q18" s="19">
        <f t="shared" si="13"/>
        <v>250089.58781180004</v>
      </c>
      <c r="R18" s="20"/>
      <c r="S18" s="20"/>
      <c r="T18" s="21">
        <v>0</v>
      </c>
      <c r="U18" s="22">
        <v>1046926.8679999999</v>
      </c>
      <c r="V18" s="22">
        <v>1046926.8679999999</v>
      </c>
      <c r="W18" s="22">
        <v>1046926.8679999999</v>
      </c>
      <c r="X18" s="22">
        <v>1046926.8679999999</v>
      </c>
      <c r="Y18" s="22">
        <v>1046926.8679999999</v>
      </c>
      <c r="Z18" s="23">
        <v>1.0099499643200912E-2</v>
      </c>
      <c r="AA18" s="23">
        <v>1.5788646997110363E-2</v>
      </c>
      <c r="AB18" s="23">
        <v>2.2536975652808638E-2</v>
      </c>
      <c r="AC18" s="23">
        <v>3.023738009662004E-2</v>
      </c>
      <c r="AD18" s="23">
        <v>3.7885748799589683E-2</v>
      </c>
      <c r="AE18" s="23">
        <v>0.96236732407479131</v>
      </c>
      <c r="AF18" s="24">
        <v>10363057.6907</v>
      </c>
      <c r="AG18" s="25">
        <f t="shared" si="2"/>
        <v>1472.8690615697551</v>
      </c>
      <c r="AH18" s="25">
        <f t="shared" si="2"/>
        <v>1461.016478686551</v>
      </c>
      <c r="AI18" s="25">
        <f t="shared" si="2"/>
        <v>1447.2022344997806</v>
      </c>
      <c r="AJ18" s="25">
        <f t="shared" si="2"/>
        <v>1431.7547433387153</v>
      </c>
      <c r="AK18" s="25">
        <f t="shared" si="2"/>
        <v>1416.7346535908705</v>
      </c>
      <c r="AL18" s="26">
        <f t="shared" si="3"/>
        <v>1445.9154343371345</v>
      </c>
      <c r="AM18" s="26">
        <f t="shared" si="16"/>
        <v>1416.7346535908705</v>
      </c>
      <c r="AN18" s="69"/>
      <c r="AO18" s="70"/>
      <c r="AP18" s="79">
        <f t="shared" si="4"/>
        <v>5846228.5878117997</v>
      </c>
      <c r="AQ18" s="79">
        <f t="shared" si="5"/>
        <v>4729.1052372425365</v>
      </c>
      <c r="AR18" s="84"/>
      <c r="AS18" s="63">
        <f>MAX($AP18-VLOOKUP($A18,'RE Generation'!$A$4:$M$52,'Mass Equivalents - States, Opt2'!AS$7-2016,0)-VLOOKUP('Mass Equivalents - States, Opt2'!$A18,'EE Avoided Generation'!$N$4:$S$52,'Mass Equivalents - States, Opt2'!AS$7-2018,0)-VLOOKUP($A18,'Under Construction Nuclear'!$B$5:$D$53,3,0),0)+U18+$T18+VLOOKUP('Mass Equivalents - States, Opt2'!$A18,'EE Avoided Generation'!$N$4:$S$52,'Mass Equivalents - States, Opt2'!AS$7-2018,0)</f>
        <v>6771043.6878117993</v>
      </c>
      <c r="AT18" s="64">
        <f>MAX($AP18-VLOOKUP($A18,'RE Generation'!$A$4:$M$52,'Mass Equivalents - States, Opt2'!AT$7-2016,0)-VLOOKUP('Mass Equivalents - States, Opt2'!$A18,'EE Avoided Generation'!$N$4:$S$52,'Mass Equivalents - States, Opt2'!AT$7-2018,0)-VLOOKUP($A18,'Under Construction Nuclear'!$B$5:$D$53,3,0),0)+V18+$T18+VLOOKUP('Mass Equivalents - States, Opt2'!$A18,'EE Avoided Generation'!$N$4:$S$52,'Mass Equivalents - States, Opt2'!AT$7-2018,0)</f>
        <v>6771043.6878117993</v>
      </c>
      <c r="AU18" s="64">
        <f>MAX($AP18-VLOOKUP($A18,'RE Generation'!$A$4:$M$52,'Mass Equivalents - States, Opt2'!AU$7-2016,0)-VLOOKUP('Mass Equivalents - States, Opt2'!$A18,'EE Avoided Generation'!$N$4:$S$52,'Mass Equivalents - States, Opt2'!AU$7-2018,0)-VLOOKUP($A18,'Under Construction Nuclear'!$B$5:$D$53,3,0),0)+W18+$T18+VLOOKUP('Mass Equivalents - States, Opt2'!$A18,'EE Avoided Generation'!$N$4:$S$52,'Mass Equivalents - States, Opt2'!AU$7-2018,0)</f>
        <v>6771043.6878117993</v>
      </c>
      <c r="AV18" s="64">
        <f>MAX($AP18-VLOOKUP($A18,'RE Generation'!$A$4:$M$52,'Mass Equivalents - States, Opt2'!AV$7-2016,0)-VLOOKUP('Mass Equivalents - States, Opt2'!$A18,'EE Avoided Generation'!$N$4:$S$52,'Mass Equivalents - States, Opt2'!AV$7-2018,0)-VLOOKUP($A18,'Under Construction Nuclear'!$B$5:$D$53,3,0),0)+X18+$T18+VLOOKUP('Mass Equivalents - States, Opt2'!$A18,'EE Avoided Generation'!$N$4:$S$52,'Mass Equivalents - States, Opt2'!AV$7-2018,0)</f>
        <v>6771043.6878117993</v>
      </c>
      <c r="AW18" s="65">
        <f>MAX($AP18-VLOOKUP($A18,'RE Generation'!$A$4:$M$52,'Mass Equivalents - States, Opt2'!AW$7-2016,0)-VLOOKUP('Mass Equivalents - States, Opt2'!$A18,'EE Avoided Generation'!$N$4:$S$52,'Mass Equivalents - States, Opt2'!AW$7-2018,0)-VLOOKUP($A18,'Under Construction Nuclear'!$B$5:$D$53,3,0),0)+Y18+$T18+VLOOKUP('Mass Equivalents - States, Opt2'!$A18,'EE Avoided Generation'!$N$4:$S$52,'Mass Equivalents - States, Opt2'!AW$7-2018,0)</f>
        <v>6771043.6878117993</v>
      </c>
      <c r="AX18" s="29"/>
      <c r="AY18" s="71">
        <f t="shared" si="17"/>
        <v>4523.6189285750734</v>
      </c>
      <c r="AZ18" s="72">
        <f t="shared" si="18"/>
        <v>4487.2161215082842</v>
      </c>
      <c r="BA18" s="72">
        <f t="shared" si="19"/>
        <v>4444.7884691678719</v>
      </c>
      <c r="BB18" s="72">
        <f t="shared" si="20"/>
        <v>4397.3446296315069</v>
      </c>
      <c r="BC18" s="72">
        <f t="shared" si="21"/>
        <v>4351.2134669470024</v>
      </c>
      <c r="BD18" s="75">
        <f t="shared" si="7"/>
        <v>4440.8363231659478</v>
      </c>
      <c r="BE18" s="76">
        <f t="shared" si="22"/>
        <v>4351.2134669470024</v>
      </c>
      <c r="BH18" s="63">
        <f>AS18+VLOOKUP($A18,'Incremental Demand for New Gen'!$AG$66:$AL$114,'Mass Equivalents - States, Opt2'!AS$7-2018,0)</f>
        <v>7495480.3385029845</v>
      </c>
      <c r="BI18" s="64">
        <f>AT18+VLOOKUP($A18,'Incremental Demand for New Gen'!$AG$66:$AL$114,'Mass Equivalents - States, Opt2'!AT$7-2018,0)</f>
        <v>7589523.8660480129</v>
      </c>
      <c r="BJ18" s="64">
        <f>AU18+VLOOKUP($A18,'Incremental Demand for New Gen'!$AG$66:$AL$114,'Mass Equivalents - States, Opt2'!AU$7-2018,0)</f>
        <v>7684364.7340312032</v>
      </c>
      <c r="BK18" s="64">
        <f>AV18+VLOOKUP($A18,'Incremental Demand for New Gen'!$AG$66:$AL$114,'Mass Equivalents - States, Opt2'!AV$7-2018,0)</f>
        <v>7780009.702638939</v>
      </c>
      <c r="BL18" s="65">
        <f>AW18+VLOOKUP($A18,'Incremental Demand for New Gen'!$AG$66:$AL$114,'Mass Equivalents - States, Opt2'!AW$7-2018,0)</f>
        <v>7876465.589373298</v>
      </c>
      <c r="BM18" s="29"/>
      <c r="BN18" s="71">
        <f t="shared" si="23"/>
        <v>5007.6027125697137</v>
      </c>
      <c r="BO18" s="72">
        <f t="shared" si="24"/>
        <v>5029.6284319660563</v>
      </c>
      <c r="BP18" s="72">
        <f t="shared" si="25"/>
        <v>5044.3295505807218</v>
      </c>
      <c r="BQ18" s="72">
        <f t="shared" si="26"/>
        <v>5052.6012623375145</v>
      </c>
      <c r="BR18" s="72">
        <f t="shared" si="27"/>
        <v>5061.580566392935</v>
      </c>
      <c r="BS18" s="75">
        <f t="shared" si="9"/>
        <v>5039.1485047693877</v>
      </c>
      <c r="BT18" s="76">
        <f t="shared" si="28"/>
        <v>5061.580566392935</v>
      </c>
    </row>
    <row r="19" spans="1:72" x14ac:dyDescent="0.25">
      <c r="A19" s="30" t="s">
        <v>53</v>
      </c>
      <c r="B19" s="17">
        <v>0</v>
      </c>
      <c r="C19" s="17">
        <v>857.9888373</v>
      </c>
      <c r="D19" s="17">
        <v>0</v>
      </c>
      <c r="E19" s="17">
        <v>0</v>
      </c>
      <c r="F19" s="17">
        <v>0</v>
      </c>
      <c r="G19" s="17">
        <v>1639922</v>
      </c>
      <c r="H19" s="17">
        <v>0</v>
      </c>
      <c r="I19" s="17">
        <v>0</v>
      </c>
      <c r="J19" s="17">
        <v>620</v>
      </c>
      <c r="K19" s="17">
        <v>0</v>
      </c>
      <c r="L19" s="18"/>
      <c r="M19" s="19"/>
      <c r="N19" s="19"/>
      <c r="O19" s="19">
        <f t="shared" si="11"/>
        <v>1639922</v>
      </c>
      <c r="P19" s="19">
        <f t="shared" si="12"/>
        <v>0</v>
      </c>
      <c r="Q19" s="19">
        <f t="shared" si="13"/>
        <v>0</v>
      </c>
      <c r="R19" s="20">
        <f t="shared" si="14"/>
        <v>0.30111970444796993</v>
      </c>
      <c r="S19" s="20">
        <f t="shared" si="15"/>
        <v>0.30111970444796993</v>
      </c>
      <c r="T19" s="21">
        <v>0</v>
      </c>
      <c r="U19" s="22">
        <v>3185880.3281693324</v>
      </c>
      <c r="V19" s="22">
        <v>3196687.1701874998</v>
      </c>
      <c r="W19" s="22">
        <v>3196687.1701874998</v>
      </c>
      <c r="X19" s="22">
        <v>3196687.1701874998</v>
      </c>
      <c r="Y19" s="22">
        <v>3196687.1701874998</v>
      </c>
      <c r="Z19" s="23">
        <v>3.2759200225059383E-2</v>
      </c>
      <c r="AA19" s="23">
        <v>4.0180324884145767E-2</v>
      </c>
      <c r="AB19" s="23">
        <v>4.6974830230407806E-2</v>
      </c>
      <c r="AC19" s="23">
        <v>5.3163443671843079E-2</v>
      </c>
      <c r="AD19" s="23">
        <v>5.8766082132851977E-2</v>
      </c>
      <c r="AE19" s="23">
        <v>0.46825537415146617</v>
      </c>
      <c r="AF19" s="24">
        <v>25492619.6109</v>
      </c>
      <c r="AG19" s="25">
        <f t="shared" si="2"/>
        <v>269.7096083679196</v>
      </c>
      <c r="AH19" s="25">
        <f t="shared" si="2"/>
        <v>264.66708067207907</v>
      </c>
      <c r="AI19" s="25">
        <f t="shared" si="2"/>
        <v>260.68990844743985</v>
      </c>
      <c r="AJ19" s="25">
        <f t="shared" si="2"/>
        <v>257.17000863919952</v>
      </c>
      <c r="AK19" s="25">
        <f t="shared" si="2"/>
        <v>254.06438295191364</v>
      </c>
      <c r="AL19" s="26">
        <f t="shared" si="3"/>
        <v>261.26019781571028</v>
      </c>
      <c r="AM19" s="26">
        <f t="shared" si="16"/>
        <v>254.06438295191364</v>
      </c>
      <c r="AN19" s="69"/>
      <c r="AO19" s="70"/>
      <c r="AP19" s="79">
        <f t="shared" si="4"/>
        <v>1639922</v>
      </c>
      <c r="AQ19" s="79">
        <f t="shared" si="5"/>
        <v>638.22099502077026</v>
      </c>
      <c r="AR19" s="84"/>
      <c r="AS19" s="63">
        <f>MAX($AP19-VLOOKUP($A19,'RE Generation'!$A$4:$M$52,'Mass Equivalents - States, Opt2'!AS$7-2016,0)-VLOOKUP('Mass Equivalents - States, Opt2'!$A19,'EE Avoided Generation'!$N$4:$S$52,'Mass Equivalents - States, Opt2'!AS$7-2018,0)-VLOOKUP($A19,'Under Construction Nuclear'!$B$5:$D$53,3,0),0)+U19+$T19+VLOOKUP('Mass Equivalents - States, Opt2'!$A19,'EE Avoided Generation'!$N$4:$S$52,'Mass Equivalents - States, Opt2'!AS$7-2018,0)</f>
        <v>4154424.1700000004</v>
      </c>
      <c r="AT19" s="64">
        <f>MAX($AP19-VLOOKUP($A19,'RE Generation'!$A$4:$M$52,'Mass Equivalents - States, Opt2'!AT$7-2016,0)-VLOOKUP('Mass Equivalents - States, Opt2'!$A19,'EE Avoided Generation'!$N$4:$S$52,'Mass Equivalents - States, Opt2'!AT$7-2018,0)-VLOOKUP($A19,'Under Construction Nuclear'!$B$5:$D$53,3,0),0)+V19+$T19+VLOOKUP('Mass Equivalents - States, Opt2'!$A19,'EE Avoided Generation'!$N$4:$S$52,'Mass Equivalents - States, Opt2'!AT$7-2018,0)</f>
        <v>4154424.1700000004</v>
      </c>
      <c r="AU19" s="64">
        <f>MAX($AP19-VLOOKUP($A19,'RE Generation'!$A$4:$M$52,'Mass Equivalents - States, Opt2'!AU$7-2016,0)-VLOOKUP('Mass Equivalents - States, Opt2'!$A19,'EE Avoided Generation'!$N$4:$S$52,'Mass Equivalents - States, Opt2'!AU$7-2018,0)-VLOOKUP($A19,'Under Construction Nuclear'!$B$5:$D$53,3,0),0)+W19+$T19+VLOOKUP('Mass Equivalents - States, Opt2'!$A19,'EE Avoided Generation'!$N$4:$S$52,'Mass Equivalents - States, Opt2'!AU$7-2018,0)</f>
        <v>4154424.1700000009</v>
      </c>
      <c r="AV19" s="64">
        <f>MAX($AP19-VLOOKUP($A19,'RE Generation'!$A$4:$M$52,'Mass Equivalents - States, Opt2'!AV$7-2016,0)-VLOOKUP('Mass Equivalents - States, Opt2'!$A19,'EE Avoided Generation'!$N$4:$S$52,'Mass Equivalents - States, Opt2'!AV$7-2018,0)-VLOOKUP($A19,'Under Construction Nuclear'!$B$5:$D$53,3,0),0)+X19+$T19+VLOOKUP('Mass Equivalents - States, Opt2'!$A19,'EE Avoided Generation'!$N$4:$S$52,'Mass Equivalents - States, Opt2'!AV$7-2018,0)</f>
        <v>4154424.1700000004</v>
      </c>
      <c r="AW19" s="65">
        <f>MAX($AP19-VLOOKUP($A19,'RE Generation'!$A$4:$M$52,'Mass Equivalents - States, Opt2'!AW$7-2016,0)-VLOOKUP('Mass Equivalents - States, Opt2'!$A19,'EE Avoided Generation'!$N$4:$S$52,'Mass Equivalents - States, Opt2'!AW$7-2018,0)-VLOOKUP($A19,'Under Construction Nuclear'!$B$5:$D$53,3,0),0)+Y19+$T19+VLOOKUP('Mass Equivalents - States, Opt2'!$A19,'EE Avoided Generation'!$N$4:$S$52,'Mass Equivalents - States, Opt2'!AW$7-2018,0)</f>
        <v>4154424.1700000009</v>
      </c>
      <c r="AX19" s="29"/>
      <c r="AY19" s="71">
        <f t="shared" si="17"/>
        <v>508.24546447229892</v>
      </c>
      <c r="AZ19" s="72">
        <f t="shared" si="18"/>
        <v>498.74323781305856</v>
      </c>
      <c r="BA19" s="72">
        <f t="shared" si="19"/>
        <v>491.24858548372578</v>
      </c>
      <c r="BB19" s="72">
        <f t="shared" si="20"/>
        <v>484.61562522783953</v>
      </c>
      <c r="BC19" s="72">
        <f t="shared" si="21"/>
        <v>478.763330311603</v>
      </c>
      <c r="BD19" s="75">
        <f t="shared" si="7"/>
        <v>492.32324866170512</v>
      </c>
      <c r="BE19" s="76">
        <f t="shared" si="22"/>
        <v>478.763330311603</v>
      </c>
      <c r="BH19" s="63">
        <f>AS19+VLOOKUP($A19,'Incremental Demand for New Gen'!$AG$66:$AL$114,'Mass Equivalents - States, Opt2'!AS$7-2018,0)</f>
        <v>6628557.8466068562</v>
      </c>
      <c r="BI19" s="64">
        <f>AT19+VLOOKUP($A19,'Incremental Demand for New Gen'!$AG$66:$AL$114,'Mass Equivalents - States, Opt2'!AT$7-2018,0)</f>
        <v>6954111.716119309</v>
      </c>
      <c r="BJ19" s="64">
        <f>AU19+VLOOKUP($A19,'Incremental Demand for New Gen'!$AG$66:$AL$114,'Mass Equivalents - States, Opt2'!AU$7-2018,0)</f>
        <v>7283425.207831339</v>
      </c>
      <c r="BK19" s="64">
        <f>AV19+VLOOKUP($A19,'Incremental Demand for New Gen'!$AG$66:$AL$114,'Mass Equivalents - States, Opt2'!AV$7-2018,0)</f>
        <v>7616541.7393165249</v>
      </c>
      <c r="BL19" s="65">
        <f>AW19+VLOOKUP($A19,'Incremental Demand for New Gen'!$AG$66:$AL$114,'Mass Equivalents - States, Opt2'!AW$7-2018,0)</f>
        <v>7953505.2295514056</v>
      </c>
      <c r="BM19" s="29"/>
      <c r="BN19" s="71">
        <f t="shared" si="23"/>
        <v>810.92693564080696</v>
      </c>
      <c r="BO19" s="72">
        <f t="shared" si="24"/>
        <v>834.84883860837681</v>
      </c>
      <c r="BP19" s="72">
        <f t="shared" si="25"/>
        <v>861.24386543410083</v>
      </c>
      <c r="BQ19" s="72">
        <f t="shared" si="26"/>
        <v>888.47334456770545</v>
      </c>
      <c r="BR19" s="72">
        <f t="shared" si="27"/>
        <v>916.57628001687203</v>
      </c>
      <c r="BS19" s="75">
        <f t="shared" si="9"/>
        <v>862.41385285357251</v>
      </c>
      <c r="BT19" s="76">
        <f t="shared" si="28"/>
        <v>916.57628001687203</v>
      </c>
    </row>
    <row r="20" spans="1:72" x14ac:dyDescent="0.25">
      <c r="A20" s="16" t="s">
        <v>54</v>
      </c>
      <c r="B20" s="17">
        <v>2334.1314781999999</v>
      </c>
      <c r="C20" s="17">
        <v>865.11049949999995</v>
      </c>
      <c r="D20" s="17">
        <v>0</v>
      </c>
      <c r="E20" s="17">
        <v>502713810.86605561</v>
      </c>
      <c r="F20" s="17">
        <v>79166165</v>
      </c>
      <c r="G20" s="17">
        <v>7870423.0049999999</v>
      </c>
      <c r="H20" s="17">
        <v>0</v>
      </c>
      <c r="I20" s="17">
        <v>727383.22051619994</v>
      </c>
      <c r="J20" s="17">
        <v>3395.6</v>
      </c>
      <c r="K20" s="17">
        <v>0</v>
      </c>
      <c r="L20" s="18">
        <f t="shared" si="10"/>
        <v>2240.7662190719998</v>
      </c>
      <c r="M20" s="19">
        <f t="shared" ref="M20:M45" si="29">MAX(F20-((O20-G20)*(F20/(F20+H20))), 0)</f>
        <v>67649070.245000005</v>
      </c>
      <c r="N20" s="19">
        <f t="shared" ref="N20:N45" si="30">MAX(H20-((O20-G20)*(H20/(H20+F20))),0)</f>
        <v>0</v>
      </c>
      <c r="O20" s="19">
        <f t="shared" si="11"/>
        <v>19387517.759999998</v>
      </c>
      <c r="P20" s="19">
        <f t="shared" si="12"/>
        <v>502713810.86605561</v>
      </c>
      <c r="Q20" s="19">
        <f t="shared" si="13"/>
        <v>727383.22051619994</v>
      </c>
      <c r="R20" s="20">
        <f t="shared" si="14"/>
        <v>0.26386951731411334</v>
      </c>
      <c r="S20" s="20">
        <f t="shared" si="15"/>
        <v>0.64999999999999991</v>
      </c>
      <c r="T20" s="21">
        <v>5305342.0031535765</v>
      </c>
      <c r="U20" s="22">
        <v>10562948.774062034</v>
      </c>
      <c r="V20" s="22">
        <v>11194781.062601805</v>
      </c>
      <c r="W20" s="22">
        <v>11864406.968187384</v>
      </c>
      <c r="X20" s="22">
        <v>12574087.150040077</v>
      </c>
      <c r="Y20" s="22">
        <v>13326217.490747312</v>
      </c>
      <c r="Z20" s="23">
        <v>3.5150761995376589E-2</v>
      </c>
      <c r="AA20" s="23">
        <v>4.2620763097034248E-2</v>
      </c>
      <c r="AB20" s="23">
        <v>4.9490475905068408E-2</v>
      </c>
      <c r="AC20" s="23">
        <v>5.577422073533992E-2</v>
      </c>
      <c r="AD20" s="23">
        <v>6.148577990227249E-2</v>
      </c>
      <c r="AE20" s="23">
        <v>1.2699014351631996</v>
      </c>
      <c r="AF20" s="24">
        <v>154319858.30039999</v>
      </c>
      <c r="AG20" s="25">
        <f t="shared" si="2"/>
        <v>1548.3759854045541</v>
      </c>
      <c r="AH20" s="25">
        <f t="shared" si="2"/>
        <v>1523.4463430952301</v>
      </c>
      <c r="AI20" s="25">
        <f t="shared" si="2"/>
        <v>1500.037178306917</v>
      </c>
      <c r="AJ20" s="25">
        <f t="shared" si="2"/>
        <v>1477.9878806330948</v>
      </c>
      <c r="AK20" s="25">
        <f t="shared" si="2"/>
        <v>1457.1536995853667</v>
      </c>
      <c r="AL20" s="26">
        <f t="shared" si="3"/>
        <v>1501.4002174050324</v>
      </c>
      <c r="AM20" s="26">
        <f t="shared" si="16"/>
        <v>1457.1536995853667</v>
      </c>
      <c r="AN20" s="69"/>
      <c r="AO20" s="70"/>
      <c r="AP20" s="79">
        <f t="shared" si="4"/>
        <v>87763971.2255162</v>
      </c>
      <c r="AQ20" s="79">
        <f t="shared" si="5"/>
        <v>87133.264291747779</v>
      </c>
      <c r="AR20" s="84"/>
      <c r="AS20" s="63">
        <f>MAX($AP20-VLOOKUP($A20,'RE Generation'!$A$4:$M$52,'Mass Equivalents - States, Opt2'!AS$7-2016,0)-VLOOKUP('Mass Equivalents - States, Opt2'!$A20,'EE Avoided Generation'!$N$4:$S$52,'Mass Equivalents - States, Opt2'!AS$7-2018,0)-VLOOKUP($A20,'Under Construction Nuclear'!$B$5:$D$53,3,0),0)+U20+$T20+VLOOKUP('Mass Equivalents - States, Opt2'!$A20,'EE Avoided Generation'!$N$4:$S$52,'Mass Equivalents - States, Opt2'!AS$7-2018,0)</f>
        <v>101441973.1286698</v>
      </c>
      <c r="AT20" s="64">
        <f>MAX($AP20-VLOOKUP($A20,'RE Generation'!$A$4:$M$52,'Mass Equivalents - States, Opt2'!AT$7-2016,0)-VLOOKUP('Mass Equivalents - States, Opt2'!$A20,'EE Avoided Generation'!$N$4:$S$52,'Mass Equivalents - States, Opt2'!AT$7-2018,0)-VLOOKUP($A20,'Under Construction Nuclear'!$B$5:$D$53,3,0),0)+V20+$T20+VLOOKUP('Mass Equivalents - States, Opt2'!$A20,'EE Avoided Generation'!$N$4:$S$52,'Mass Equivalents - States, Opt2'!AT$7-2018,0)</f>
        <v>101441973.12866978</v>
      </c>
      <c r="AU20" s="64">
        <f>MAX($AP20-VLOOKUP($A20,'RE Generation'!$A$4:$M$52,'Mass Equivalents - States, Opt2'!AU$7-2016,0)-VLOOKUP('Mass Equivalents - States, Opt2'!$A20,'EE Avoided Generation'!$N$4:$S$52,'Mass Equivalents - States, Opt2'!AU$7-2018,0)-VLOOKUP($A20,'Under Construction Nuclear'!$B$5:$D$53,3,0),0)+W20+$T20+VLOOKUP('Mass Equivalents - States, Opt2'!$A20,'EE Avoided Generation'!$N$4:$S$52,'Mass Equivalents - States, Opt2'!AU$7-2018,0)</f>
        <v>101441973.12866977</v>
      </c>
      <c r="AV20" s="64">
        <f>MAX($AP20-VLOOKUP($A20,'RE Generation'!$A$4:$M$52,'Mass Equivalents - States, Opt2'!AV$7-2016,0)-VLOOKUP('Mass Equivalents - States, Opt2'!$A20,'EE Avoided Generation'!$N$4:$S$52,'Mass Equivalents - States, Opt2'!AV$7-2018,0)-VLOOKUP($A20,'Under Construction Nuclear'!$B$5:$D$53,3,0),0)+X20+$T20+VLOOKUP('Mass Equivalents - States, Opt2'!$A20,'EE Avoided Generation'!$N$4:$S$52,'Mass Equivalents - States, Opt2'!AV$7-2018,0)</f>
        <v>101441973.12866977</v>
      </c>
      <c r="AW20" s="65">
        <f>MAX($AP20-VLOOKUP($A20,'RE Generation'!$A$4:$M$52,'Mass Equivalents - States, Opt2'!AW$7-2016,0)-VLOOKUP('Mass Equivalents - States, Opt2'!$A20,'EE Avoided Generation'!$N$4:$S$52,'Mass Equivalents - States, Opt2'!AW$7-2018,0)-VLOOKUP($A20,'Under Construction Nuclear'!$B$5:$D$53,3,0),0)+Y20+$T20+VLOOKUP('Mass Equivalents - States, Opt2'!$A20,'EE Avoided Generation'!$N$4:$S$52,'Mass Equivalents - States, Opt2'!AW$7-2018,0)</f>
        <v>101441973.12866978</v>
      </c>
      <c r="AX20" s="29"/>
      <c r="AY20" s="71">
        <f t="shared" si="17"/>
        <v>71245.981214216692</v>
      </c>
      <c r="AZ20" s="72">
        <f t="shared" si="18"/>
        <v>70098.884614689407</v>
      </c>
      <c r="BA20" s="72">
        <f t="shared" si="19"/>
        <v>69021.750294298297</v>
      </c>
      <c r="BB20" s="72">
        <f t="shared" si="20"/>
        <v>68007.188028631688</v>
      </c>
      <c r="BC20" s="72">
        <f t="shared" si="21"/>
        <v>67048.537361395865</v>
      </c>
      <c r="BD20" s="75">
        <f t="shared" si="7"/>
        <v>69084.46830264639</v>
      </c>
      <c r="BE20" s="76">
        <f t="shared" si="22"/>
        <v>67048.537361395865</v>
      </c>
      <c r="BH20" s="63">
        <f>AS20+VLOOKUP($A20,'Incremental Demand for New Gen'!$AG$66:$AL$114,'Mass Equivalents - States, Opt2'!AS$7-2018,0)</f>
        <v>108338581.80761805</v>
      </c>
      <c r="BI20" s="64">
        <f>AT20+VLOOKUP($A20,'Incremental Demand for New Gen'!$AG$66:$AL$114,'Mass Equivalents - States, Opt2'!AT$7-2018,0)</f>
        <v>109221858.57129753</v>
      </c>
      <c r="BJ20" s="64">
        <f>AU20+VLOOKUP($A20,'Incremental Demand for New Gen'!$AG$66:$AL$114,'Mass Equivalents - States, Opt2'!AU$7-2018,0)</f>
        <v>110109932.15046076</v>
      </c>
      <c r="BK20" s="64">
        <f>AV20+VLOOKUP($A20,'Incremental Demand for New Gen'!$AG$66:$AL$114,'Mass Equivalents - States, Opt2'!AV$7-2018,0)</f>
        <v>111002828.59519735</v>
      </c>
      <c r="BL20" s="65">
        <f>AW20+VLOOKUP($A20,'Incremental Demand for New Gen'!$AG$66:$AL$114,'Mass Equivalents - States, Opt2'!AW$7-2018,0)</f>
        <v>111900574.09706712</v>
      </c>
      <c r="BM20" s="29"/>
      <c r="BN20" s="71">
        <f t="shared" si="23"/>
        <v>76089.692719698869</v>
      </c>
      <c r="BO20" s="72">
        <f t="shared" si="24"/>
        <v>75474.975744803029</v>
      </c>
      <c r="BP20" s="72">
        <f t="shared" si="25"/>
        <v>74919.483596512437</v>
      </c>
      <c r="BQ20" s="72">
        <f t="shared" si="26"/>
        <v>74416.831644317135</v>
      </c>
      <c r="BR20" s="72">
        <f t="shared" si="27"/>
        <v>73961.197635541641</v>
      </c>
      <c r="BS20" s="75">
        <f t="shared" si="9"/>
        <v>74972.436268174628</v>
      </c>
      <c r="BT20" s="76">
        <f t="shared" si="28"/>
        <v>73961.197635541641</v>
      </c>
    </row>
    <row r="21" spans="1:72" x14ac:dyDescent="0.25">
      <c r="A21" s="16" t="s">
        <v>55</v>
      </c>
      <c r="B21" s="17">
        <v>2158.1427699999999</v>
      </c>
      <c r="C21" s="17">
        <v>913.95402869999998</v>
      </c>
      <c r="D21" s="17">
        <v>0</v>
      </c>
      <c r="E21" s="17">
        <v>2498940947.3439569</v>
      </c>
      <c r="F21" s="17">
        <v>87213268</v>
      </c>
      <c r="G21" s="17">
        <v>12839308.9999</v>
      </c>
      <c r="H21" s="17">
        <v>0</v>
      </c>
      <c r="I21" s="17">
        <v>1631176.6947404</v>
      </c>
      <c r="J21" s="17">
        <v>2767.7</v>
      </c>
      <c r="K21" s="17">
        <v>0</v>
      </c>
      <c r="L21" s="18">
        <f t="shared" si="10"/>
        <v>2071.8170591999997</v>
      </c>
      <c r="M21" s="19">
        <f t="shared" si="29"/>
        <v>84250117.079899997</v>
      </c>
      <c r="N21" s="19">
        <f t="shared" si="30"/>
        <v>0</v>
      </c>
      <c r="O21" s="19">
        <f t="shared" si="11"/>
        <v>15802459.919999998</v>
      </c>
      <c r="P21" s="19">
        <f t="shared" si="12"/>
        <v>2498940947.3439569</v>
      </c>
      <c r="Q21" s="19">
        <f t="shared" si="13"/>
        <v>1631176.6947404</v>
      </c>
      <c r="R21" s="20">
        <f t="shared" si="14"/>
        <v>0.5281171977137975</v>
      </c>
      <c r="S21" s="20">
        <f t="shared" si="15"/>
        <v>0.65</v>
      </c>
      <c r="T21" s="21">
        <v>0</v>
      </c>
      <c r="U21" s="22">
        <v>4474097.5541361207</v>
      </c>
      <c r="V21" s="22">
        <v>4741719.7264334615</v>
      </c>
      <c r="W21" s="22">
        <v>5025349.9598511811</v>
      </c>
      <c r="X21" s="22">
        <v>5325945.7909739129</v>
      </c>
      <c r="Y21" s="22">
        <v>5644522.03229897</v>
      </c>
      <c r="Z21" s="23">
        <v>2.8932664501521661E-2</v>
      </c>
      <c r="AA21" s="23">
        <v>3.6860832562341357E-2</v>
      </c>
      <c r="AB21" s="23">
        <v>4.4177542041736552E-2</v>
      </c>
      <c r="AC21" s="23">
        <v>5.0897528225117832E-2</v>
      </c>
      <c r="AD21" s="23">
        <v>5.7034975702518607E-2</v>
      </c>
      <c r="AE21" s="23">
        <v>1.0283960752376078</v>
      </c>
      <c r="AF21" s="24">
        <v>113071949.2175</v>
      </c>
      <c r="AG21" s="25">
        <f t="shared" si="2"/>
        <v>1749.9193600547119</v>
      </c>
      <c r="AH21" s="25">
        <f t="shared" si="2"/>
        <v>1731.500192035935</v>
      </c>
      <c r="AI21" s="25">
        <f t="shared" si="2"/>
        <v>1714.2797230682445</v>
      </c>
      <c r="AJ21" s="25">
        <f t="shared" si="2"/>
        <v>1698.1586706714468</v>
      </c>
      <c r="AK21" s="25">
        <f t="shared" si="2"/>
        <v>1683.0460862641066</v>
      </c>
      <c r="AL21" s="26">
        <f t="shared" si="3"/>
        <v>1715.3808064188888</v>
      </c>
      <c r="AM21" s="26">
        <f t="shared" si="16"/>
        <v>1683.0460862641066</v>
      </c>
      <c r="AN21" s="69"/>
      <c r="AO21" s="70"/>
      <c r="AP21" s="79">
        <f t="shared" si="4"/>
        <v>101683753.6946404</v>
      </c>
      <c r="AQ21" s="79">
        <f t="shared" si="5"/>
        <v>91830.865598515418</v>
      </c>
      <c r="AR21" s="84"/>
      <c r="AS21" s="63">
        <f>MAX($AP21-VLOOKUP($A21,'RE Generation'!$A$4:$M$52,'Mass Equivalents - States, Opt2'!AS$7-2016,0)-VLOOKUP('Mass Equivalents - States, Opt2'!$A21,'EE Avoided Generation'!$N$4:$S$52,'Mass Equivalents - States, Opt2'!AS$7-2018,0)-VLOOKUP($A21,'Under Construction Nuclear'!$B$5:$D$53,3,0),0)+U21+$T21+VLOOKUP('Mass Equivalents - States, Opt2'!$A21,'EE Avoided Generation'!$N$4:$S$52,'Mass Equivalents - States, Opt2'!AS$7-2018,0)</f>
        <v>105230121.0946404</v>
      </c>
      <c r="AT21" s="64">
        <f>MAX($AP21-VLOOKUP($A21,'RE Generation'!$A$4:$M$52,'Mass Equivalents - States, Opt2'!AT$7-2016,0)-VLOOKUP('Mass Equivalents - States, Opt2'!$A21,'EE Avoided Generation'!$N$4:$S$52,'Mass Equivalents - States, Opt2'!AT$7-2018,0)-VLOOKUP($A21,'Under Construction Nuclear'!$B$5:$D$53,3,0),0)+V21+$T21+VLOOKUP('Mass Equivalents - States, Opt2'!$A21,'EE Avoided Generation'!$N$4:$S$52,'Mass Equivalents - States, Opt2'!AT$7-2018,0)</f>
        <v>105230121.09464039</v>
      </c>
      <c r="AU21" s="64">
        <f>MAX($AP21-VLOOKUP($A21,'RE Generation'!$A$4:$M$52,'Mass Equivalents - States, Opt2'!AU$7-2016,0)-VLOOKUP('Mass Equivalents - States, Opt2'!$A21,'EE Avoided Generation'!$N$4:$S$52,'Mass Equivalents - States, Opt2'!AU$7-2018,0)-VLOOKUP($A21,'Under Construction Nuclear'!$B$5:$D$53,3,0),0)+W21+$T21+VLOOKUP('Mass Equivalents - States, Opt2'!$A21,'EE Avoided Generation'!$N$4:$S$52,'Mass Equivalents - States, Opt2'!AU$7-2018,0)</f>
        <v>105230121.09464039</v>
      </c>
      <c r="AV21" s="64">
        <f>MAX($AP21-VLOOKUP($A21,'RE Generation'!$A$4:$M$52,'Mass Equivalents - States, Opt2'!AV$7-2016,0)-VLOOKUP('Mass Equivalents - States, Opt2'!$A21,'EE Avoided Generation'!$N$4:$S$52,'Mass Equivalents - States, Opt2'!AV$7-2018,0)-VLOOKUP($A21,'Under Construction Nuclear'!$B$5:$D$53,3,0),0)+X21+$T21+VLOOKUP('Mass Equivalents - States, Opt2'!$A21,'EE Avoided Generation'!$N$4:$S$52,'Mass Equivalents - States, Opt2'!AV$7-2018,0)</f>
        <v>105230121.0946404</v>
      </c>
      <c r="AW21" s="65">
        <f>MAX($AP21-VLOOKUP($A21,'RE Generation'!$A$4:$M$52,'Mass Equivalents - States, Opt2'!AW$7-2016,0)-VLOOKUP('Mass Equivalents - States, Opt2'!$A21,'EE Avoided Generation'!$N$4:$S$52,'Mass Equivalents - States, Opt2'!AW$7-2018,0)-VLOOKUP($A21,'Under Construction Nuclear'!$B$5:$D$53,3,0),0)+Y21+$T21+VLOOKUP('Mass Equivalents - States, Opt2'!$A21,'EE Avoided Generation'!$N$4:$S$52,'Mass Equivalents - States, Opt2'!AW$7-2018,0)</f>
        <v>105230121.09464039</v>
      </c>
      <c r="AX21" s="29"/>
      <c r="AY21" s="71">
        <f t="shared" si="17"/>
        <v>83526.515301690539</v>
      </c>
      <c r="AZ21" s="72">
        <f t="shared" si="18"/>
        <v>82647.338263888814</v>
      </c>
      <c r="BA21" s="72">
        <f t="shared" si="19"/>
        <v>81825.377093811156</v>
      </c>
      <c r="BB21" s="72">
        <f t="shared" si="20"/>
        <v>81055.892876173646</v>
      </c>
      <c r="BC21" s="72">
        <f t="shared" si="21"/>
        <v>80334.544486320796</v>
      </c>
      <c r="BD21" s="75">
        <f t="shared" si="7"/>
        <v>81877.933604377002</v>
      </c>
      <c r="BE21" s="76">
        <f t="shared" si="22"/>
        <v>80334.544486320796</v>
      </c>
      <c r="BH21" s="63">
        <f>AS21+VLOOKUP($A21,'Incremental Demand for New Gen'!$AG$66:$AL$114,'Mass Equivalents - States, Opt2'!AS$7-2018,0)</f>
        <v>110266277.68935774</v>
      </c>
      <c r="BI21" s="64">
        <f>AT21+VLOOKUP($A21,'Incremental Demand for New Gen'!$AG$66:$AL$114,'Mass Equivalents - States, Opt2'!AT$7-2018,0)</f>
        <v>110911278.77691303</v>
      </c>
      <c r="BJ21" s="64">
        <f>AU21+VLOOKUP($A21,'Incremental Demand for New Gen'!$AG$66:$AL$114,'Mass Equivalents - States, Opt2'!AU$7-2018,0)</f>
        <v>111559782.67506075</v>
      </c>
      <c r="BK21" s="64">
        <f>AV21+VLOOKUP($A21,'Incremental Demand for New Gen'!$AG$66:$AL$114,'Mass Equivalents - States, Opt2'!AV$7-2018,0)</f>
        <v>112211808.40653165</v>
      </c>
      <c r="BL21" s="65">
        <f>AW21+VLOOKUP($A21,'Incremental Demand for New Gen'!$AG$66:$AL$114,'Mass Equivalents - States, Opt2'!AW$7-2018,0)</f>
        <v>112867375.09736332</v>
      </c>
      <c r="BM21" s="29"/>
      <c r="BN21" s="71">
        <f t="shared" si="23"/>
        <v>87523.969704428004</v>
      </c>
      <c r="BO21" s="72">
        <f t="shared" si="24"/>
        <v>87109.297974787507</v>
      </c>
      <c r="BP21" s="72">
        <f t="shared" si="25"/>
        <v>86747.22779878469</v>
      </c>
      <c r="BQ21" s="72">
        <f t="shared" si="26"/>
        <v>86433.696236664313</v>
      </c>
      <c r="BR21" s="72">
        <f t="shared" si="27"/>
        <v>86164.95991350901</v>
      </c>
      <c r="BS21" s="75">
        <f t="shared" si="9"/>
        <v>86795.830325634714</v>
      </c>
      <c r="BT21" s="76">
        <f t="shared" si="28"/>
        <v>86164.95991350901</v>
      </c>
    </row>
    <row r="22" spans="1:72" x14ac:dyDescent="0.25">
      <c r="A22" s="16" t="s">
        <v>56</v>
      </c>
      <c r="B22" s="17">
        <v>2251.3328427000001</v>
      </c>
      <c r="C22" s="17">
        <v>894.23068499999999</v>
      </c>
      <c r="D22" s="17">
        <v>2421.6860683</v>
      </c>
      <c r="E22" s="17">
        <v>0</v>
      </c>
      <c r="F22" s="17">
        <v>33055156</v>
      </c>
      <c r="G22" s="17">
        <v>1437496.0001000001</v>
      </c>
      <c r="H22" s="17">
        <v>305111</v>
      </c>
      <c r="I22" s="17">
        <v>0</v>
      </c>
      <c r="J22" s="17">
        <v>1263.9000000000001</v>
      </c>
      <c r="K22" s="17">
        <v>0</v>
      </c>
      <c r="L22" s="18">
        <f t="shared" si="10"/>
        <v>2161.279528992</v>
      </c>
      <c r="M22" s="19">
        <f t="shared" si="29"/>
        <v>27329141.734909881</v>
      </c>
      <c r="N22" s="19">
        <f t="shared" si="30"/>
        <v>252257.82519011825</v>
      </c>
      <c r="O22" s="19">
        <f t="shared" si="11"/>
        <v>7216363.4400000013</v>
      </c>
      <c r="P22" s="19">
        <f t="shared" si="12"/>
        <v>0</v>
      </c>
      <c r="Q22" s="19">
        <f t="shared" si="13"/>
        <v>0</v>
      </c>
      <c r="R22" s="20">
        <f t="shared" si="14"/>
        <v>0.129479675993841</v>
      </c>
      <c r="S22" s="20">
        <f t="shared" si="15"/>
        <v>0.65</v>
      </c>
      <c r="T22" s="21">
        <v>277784.49248620583</v>
      </c>
      <c r="U22" s="22">
        <v>8565920.5484688003</v>
      </c>
      <c r="V22" s="22">
        <v>8565920.5484688003</v>
      </c>
      <c r="W22" s="22">
        <v>8565920.5484688003</v>
      </c>
      <c r="X22" s="22">
        <v>8565920.5484688003</v>
      </c>
      <c r="Y22" s="22">
        <v>8565920.5484688003</v>
      </c>
      <c r="Z22" s="23">
        <v>3.5817374371114929E-2</v>
      </c>
      <c r="AA22" s="23">
        <v>4.3177699626667967E-2</v>
      </c>
      <c r="AB22" s="23">
        <v>4.9934091408042489E-2</v>
      </c>
      <c r="AC22" s="23">
        <v>5.6102295936979643E-2</v>
      </c>
      <c r="AD22" s="23">
        <v>6.1697468465434571E-2</v>
      </c>
      <c r="AE22" s="23">
        <v>1.1303387570565711</v>
      </c>
      <c r="AF22" s="24">
        <v>49141853.409999996</v>
      </c>
      <c r="AG22" s="25">
        <f t="shared" si="2"/>
        <v>1456.5543321270673</v>
      </c>
      <c r="AH22" s="25">
        <f t="shared" si="2"/>
        <v>1445.0421436401687</v>
      </c>
      <c r="AI22" s="25">
        <f t="shared" si="2"/>
        <v>1434.6335987729447</v>
      </c>
      <c r="AJ22" s="25">
        <f t="shared" si="2"/>
        <v>1425.2612610960891</v>
      </c>
      <c r="AK22" s="25">
        <f t="shared" si="2"/>
        <v>1416.8649195945509</v>
      </c>
      <c r="AL22" s="26">
        <f t="shared" si="3"/>
        <v>1435.6712510461643</v>
      </c>
      <c r="AM22" s="26">
        <f t="shared" si="16"/>
        <v>1416.8649195945509</v>
      </c>
      <c r="AN22" s="69"/>
      <c r="AO22" s="70"/>
      <c r="AP22" s="79">
        <f t="shared" si="4"/>
        <v>34797763.000100002</v>
      </c>
      <c r="AQ22" s="79">
        <f t="shared" si="5"/>
        <v>34673.773445859712</v>
      </c>
      <c r="AR22" s="84"/>
      <c r="AS22" s="63">
        <f>MAX($AP22-VLOOKUP($A22,'RE Generation'!$A$4:$M$52,'Mass Equivalents - States, Opt2'!AS$7-2016,0)-VLOOKUP('Mass Equivalents - States, Opt2'!$A22,'EE Avoided Generation'!$N$4:$S$52,'Mass Equivalents - States, Opt2'!AS$7-2018,0)-VLOOKUP($A22,'Under Construction Nuclear'!$B$5:$D$53,3,0),0)+U22+$T22+VLOOKUP('Mass Equivalents - States, Opt2'!$A22,'EE Avoided Generation'!$N$4:$S$52,'Mass Equivalents - States, Opt2'!AS$7-2018,0)</f>
        <v>43641468.041055016</v>
      </c>
      <c r="AT22" s="64">
        <f>MAX($AP22-VLOOKUP($A22,'RE Generation'!$A$4:$M$52,'Mass Equivalents - States, Opt2'!AT$7-2016,0)-VLOOKUP('Mass Equivalents - States, Opt2'!$A22,'EE Avoided Generation'!$N$4:$S$52,'Mass Equivalents - States, Opt2'!AT$7-2018,0)-VLOOKUP($A22,'Under Construction Nuclear'!$B$5:$D$53,3,0),0)+V22+$T22+VLOOKUP('Mass Equivalents - States, Opt2'!$A22,'EE Avoided Generation'!$N$4:$S$52,'Mass Equivalents - States, Opt2'!AT$7-2018,0)</f>
        <v>43641468.041055016</v>
      </c>
      <c r="AU22" s="64">
        <f>MAX($AP22-VLOOKUP($A22,'RE Generation'!$A$4:$M$52,'Mass Equivalents - States, Opt2'!AU$7-2016,0)-VLOOKUP('Mass Equivalents - States, Opt2'!$A22,'EE Avoided Generation'!$N$4:$S$52,'Mass Equivalents - States, Opt2'!AU$7-2018,0)-VLOOKUP($A22,'Under Construction Nuclear'!$B$5:$D$53,3,0),0)+W22+$T22+VLOOKUP('Mass Equivalents - States, Opt2'!$A22,'EE Avoided Generation'!$N$4:$S$52,'Mass Equivalents - States, Opt2'!AU$7-2018,0)</f>
        <v>43641468.041055009</v>
      </c>
      <c r="AV22" s="64">
        <f>MAX($AP22-VLOOKUP($A22,'RE Generation'!$A$4:$M$52,'Mass Equivalents - States, Opt2'!AV$7-2016,0)-VLOOKUP('Mass Equivalents - States, Opt2'!$A22,'EE Avoided Generation'!$N$4:$S$52,'Mass Equivalents - States, Opt2'!AV$7-2018,0)-VLOOKUP($A22,'Under Construction Nuclear'!$B$5:$D$53,3,0),0)+X22+$T22+VLOOKUP('Mass Equivalents - States, Opt2'!$A22,'EE Avoided Generation'!$N$4:$S$52,'Mass Equivalents - States, Opt2'!AV$7-2018,0)</f>
        <v>43641468.041055016</v>
      </c>
      <c r="AW22" s="65">
        <f>MAX($AP22-VLOOKUP($A22,'RE Generation'!$A$4:$M$52,'Mass Equivalents - States, Opt2'!AW$7-2016,0)-VLOOKUP('Mass Equivalents - States, Opt2'!$A22,'EE Avoided Generation'!$N$4:$S$52,'Mass Equivalents - States, Opt2'!AW$7-2018,0)-VLOOKUP($A22,'Under Construction Nuclear'!$B$5:$D$53,3,0),0)+Y22+$T22+VLOOKUP('Mass Equivalents - States, Opt2'!$A22,'EE Avoided Generation'!$N$4:$S$52,'Mass Equivalents - States, Opt2'!AW$7-2018,0)</f>
        <v>43641468.041055009</v>
      </c>
      <c r="AX22" s="29"/>
      <c r="AY22" s="71">
        <f t="shared" si="17"/>
        <v>28833.163690605932</v>
      </c>
      <c r="AZ22" s="72">
        <f t="shared" si="18"/>
        <v>28605.274618596428</v>
      </c>
      <c r="BA22" s="72">
        <f t="shared" si="19"/>
        <v>28399.232680222987</v>
      </c>
      <c r="BB22" s="72">
        <f t="shared" si="20"/>
        <v>28213.702940315674</v>
      </c>
      <c r="BC22" s="72">
        <f t="shared" si="21"/>
        <v>28047.493494106729</v>
      </c>
      <c r="BD22" s="75">
        <f t="shared" si="7"/>
        <v>28419.77348476955</v>
      </c>
      <c r="BE22" s="76">
        <f t="shared" si="22"/>
        <v>28047.493494106729</v>
      </c>
      <c r="BH22" s="63">
        <f>AS22+VLOOKUP($A22,'Incremental Demand for New Gen'!$AG$66:$AL$114,'Mass Equivalents - States, Opt2'!AS$7-2018,0)</f>
        <v>46034527.188045338</v>
      </c>
      <c r="BI22" s="64">
        <f>AT22+VLOOKUP($A22,'Incremental Demand for New Gen'!$AG$66:$AL$114,'Mass Equivalents - States, Opt2'!AT$7-2018,0)</f>
        <v>46341656.592983559</v>
      </c>
      <c r="BJ22" s="64">
        <f>AU22+VLOOKUP($A22,'Incremental Demand for New Gen'!$AG$66:$AL$114,'Mass Equivalents - States, Opt2'!AU$7-2018,0)</f>
        <v>46650598.183405064</v>
      </c>
      <c r="BK22" s="64">
        <f>AV22+VLOOKUP($A22,'Incremental Demand for New Gen'!$AG$66:$AL$114,'Mass Equivalents - States, Opt2'!AV$7-2018,0)</f>
        <v>46961362.651924051</v>
      </c>
      <c r="BL22" s="65">
        <f>AW22+VLOOKUP($A22,'Incremental Demand for New Gen'!$AG$66:$AL$114,'Mass Equivalents - States, Opt2'!AW$7-2018,0)</f>
        <v>47273960.754245326</v>
      </c>
      <c r="BM22" s="29"/>
      <c r="BN22" s="71">
        <f t="shared" si="23"/>
        <v>30414.216510404829</v>
      </c>
      <c r="BO22" s="72">
        <f t="shared" si="24"/>
        <v>30375.142556522904</v>
      </c>
      <c r="BP22" s="72">
        <f t="shared" si="25"/>
        <v>30357.392909784456</v>
      </c>
      <c r="BQ22" s="72">
        <f t="shared" si="26"/>
        <v>30359.976302524723</v>
      </c>
      <c r="BR22" s="72">
        <f t="shared" si="27"/>
        <v>30382.023479320593</v>
      </c>
      <c r="BS22" s="75">
        <f t="shared" si="9"/>
        <v>30377.750351711504</v>
      </c>
      <c r="BT22" s="76">
        <f t="shared" si="28"/>
        <v>30382.023479320593</v>
      </c>
    </row>
    <row r="23" spans="1:72" x14ac:dyDescent="0.25">
      <c r="A23" s="16" t="s">
        <v>57</v>
      </c>
      <c r="B23" s="17">
        <v>2363.8496110000001</v>
      </c>
      <c r="C23" s="17">
        <v>0</v>
      </c>
      <c r="D23" s="17">
        <v>1560.4262702000001</v>
      </c>
      <c r="E23" s="17">
        <v>0</v>
      </c>
      <c r="F23" s="17">
        <v>27979593</v>
      </c>
      <c r="G23" s="17">
        <v>0</v>
      </c>
      <c r="H23" s="17">
        <v>1632997</v>
      </c>
      <c r="I23" s="17">
        <v>0</v>
      </c>
      <c r="J23" s="17">
        <v>0</v>
      </c>
      <c r="K23" s="17">
        <v>0</v>
      </c>
      <c r="L23" s="18">
        <f t="shared" si="10"/>
        <v>2269.2956265600001</v>
      </c>
      <c r="M23" s="19">
        <f t="shared" si="29"/>
        <v>27979593</v>
      </c>
      <c r="N23" s="19">
        <f t="shared" si="30"/>
        <v>1632997</v>
      </c>
      <c r="O23" s="19">
        <f t="shared" si="11"/>
        <v>0</v>
      </c>
      <c r="P23" s="19">
        <f t="shared" si="12"/>
        <v>0</v>
      </c>
      <c r="Q23" s="19">
        <f t="shared" si="13"/>
        <v>0</v>
      </c>
      <c r="R23" s="20"/>
      <c r="S23" s="20"/>
      <c r="T23" s="21">
        <v>542728.26516676403</v>
      </c>
      <c r="U23" s="22">
        <v>7238912.608504938</v>
      </c>
      <c r="V23" s="22">
        <v>7843266.6837039823</v>
      </c>
      <c r="W23" s="22">
        <v>8498076.3822767045</v>
      </c>
      <c r="X23" s="22">
        <v>8884938.154000001</v>
      </c>
      <c r="Y23" s="22">
        <v>8884938.154000001</v>
      </c>
      <c r="Z23" s="23">
        <v>9.3554607834558361E-3</v>
      </c>
      <c r="AA23" s="23">
        <v>1.4912739004496019E-2</v>
      </c>
      <c r="AB23" s="23">
        <v>2.1554667140314031E-2</v>
      </c>
      <c r="AC23" s="23">
        <v>2.9175162716331759E-2</v>
      </c>
      <c r="AD23" s="23">
        <v>3.6975976232088391E-2</v>
      </c>
      <c r="AE23" s="23">
        <v>1.1028009817174655</v>
      </c>
      <c r="AF23" s="24">
        <v>43319516.047600001</v>
      </c>
      <c r="AG23" s="25">
        <f t="shared" si="2"/>
        <v>1747.1694300732415</v>
      </c>
      <c r="AH23" s="25">
        <f t="shared" si="2"/>
        <v>1708.9617584886989</v>
      </c>
      <c r="AI23" s="25">
        <f t="shared" si="2"/>
        <v>1668.2728818108885</v>
      </c>
      <c r="AJ23" s="25">
        <f t="shared" si="2"/>
        <v>1638.5956388689165</v>
      </c>
      <c r="AK23" s="25">
        <f t="shared" si="2"/>
        <v>1624.9711627778752</v>
      </c>
      <c r="AL23" s="26">
        <f t="shared" si="3"/>
        <v>1677.5941744039242</v>
      </c>
      <c r="AM23" s="26">
        <f t="shared" si="16"/>
        <v>1624.9711627778752</v>
      </c>
      <c r="AN23" s="69"/>
      <c r="AO23" s="70"/>
      <c r="AP23" s="79">
        <f t="shared" si="4"/>
        <v>29612590</v>
      </c>
      <c r="AQ23" s="79">
        <f t="shared" si="5"/>
        <v>31156.263413625078</v>
      </c>
      <c r="AR23" s="84"/>
      <c r="AS23" s="63">
        <f>MAX($AP23-VLOOKUP($A23,'RE Generation'!$A$4:$M$52,'Mass Equivalents - States, Opt2'!AS$7-2016,0)-VLOOKUP('Mass Equivalents - States, Opt2'!$A23,'EE Avoided Generation'!$N$4:$S$52,'Mass Equivalents - States, Opt2'!AS$7-2018,0)-VLOOKUP($A23,'Under Construction Nuclear'!$B$5:$D$53,3,0),0)+U23+$T23+VLOOKUP('Mass Equivalents - States, Opt2'!$A23,'EE Avoided Generation'!$N$4:$S$52,'Mass Equivalents - States, Opt2'!AS$7-2018,0)</f>
        <v>35407971.615166761</v>
      </c>
      <c r="AT23" s="64">
        <f>MAX($AP23-VLOOKUP($A23,'RE Generation'!$A$4:$M$52,'Mass Equivalents - States, Opt2'!AT$7-2016,0)-VLOOKUP('Mass Equivalents - States, Opt2'!$A23,'EE Avoided Generation'!$N$4:$S$52,'Mass Equivalents - States, Opt2'!AT$7-2018,0)-VLOOKUP($A23,'Under Construction Nuclear'!$B$5:$D$53,3,0),0)+V23+$T23+VLOOKUP('Mass Equivalents - States, Opt2'!$A23,'EE Avoided Generation'!$N$4:$S$52,'Mass Equivalents - States, Opt2'!AT$7-2018,0)</f>
        <v>35407971.615166768</v>
      </c>
      <c r="AU23" s="64">
        <f>MAX($AP23-VLOOKUP($A23,'RE Generation'!$A$4:$M$52,'Mass Equivalents - States, Opt2'!AU$7-2016,0)-VLOOKUP('Mass Equivalents - States, Opt2'!$A23,'EE Avoided Generation'!$N$4:$S$52,'Mass Equivalents - States, Opt2'!AU$7-2018,0)-VLOOKUP($A23,'Under Construction Nuclear'!$B$5:$D$53,3,0),0)+W23+$T23+VLOOKUP('Mass Equivalents - States, Opt2'!$A23,'EE Avoided Generation'!$N$4:$S$52,'Mass Equivalents - States, Opt2'!AU$7-2018,0)</f>
        <v>35407971.615166768</v>
      </c>
      <c r="AV23" s="64">
        <f>MAX($AP23-VLOOKUP($A23,'RE Generation'!$A$4:$M$52,'Mass Equivalents - States, Opt2'!AV$7-2016,0)-VLOOKUP('Mass Equivalents - States, Opt2'!$A23,'EE Avoided Generation'!$N$4:$S$52,'Mass Equivalents - States, Opt2'!AV$7-2018,0)-VLOOKUP($A23,'Under Construction Nuclear'!$B$5:$D$53,3,0),0)+X23+$T23+VLOOKUP('Mass Equivalents - States, Opt2'!$A23,'EE Avoided Generation'!$N$4:$S$52,'Mass Equivalents - States, Opt2'!AV$7-2018,0)</f>
        <v>35407971.615166768</v>
      </c>
      <c r="AW23" s="65">
        <f>MAX($AP23-VLOOKUP($A23,'RE Generation'!$A$4:$M$52,'Mass Equivalents - States, Opt2'!AW$7-2016,0)-VLOOKUP('Mass Equivalents - States, Opt2'!$A23,'EE Avoided Generation'!$N$4:$S$52,'Mass Equivalents - States, Opt2'!AW$7-2018,0)-VLOOKUP($A23,'Under Construction Nuclear'!$B$5:$D$53,3,0),0)+Y23+$T23+VLOOKUP('Mass Equivalents - States, Opt2'!$A23,'EE Avoided Generation'!$N$4:$S$52,'Mass Equivalents - States, Opt2'!AW$7-2018,0)</f>
        <v>35407971.615166768</v>
      </c>
      <c r="AX23" s="29"/>
      <c r="AY23" s="71">
        <f t="shared" si="17"/>
        <v>28060.947277499268</v>
      </c>
      <c r="AZ23" s="72">
        <f t="shared" si="18"/>
        <v>27447.301319943272</v>
      </c>
      <c r="BA23" s="72">
        <f t="shared" si="19"/>
        <v>26793.805211561361</v>
      </c>
      <c r="BB23" s="72">
        <f t="shared" si="20"/>
        <v>26317.164803824082</v>
      </c>
      <c r="BC23" s="72">
        <f t="shared" si="21"/>
        <v>26098.344751977009</v>
      </c>
      <c r="BD23" s="75">
        <f t="shared" si="7"/>
        <v>26943.512672960998</v>
      </c>
      <c r="BE23" s="76">
        <f t="shared" si="22"/>
        <v>26098.344751977009</v>
      </c>
      <c r="BH23" s="63">
        <f>AS23+VLOOKUP($A23,'Incremental Demand for New Gen'!$AG$66:$AL$114,'Mass Equivalents - States, Opt2'!AS$7-2018,0)</f>
        <v>37032112.077288374</v>
      </c>
      <c r="BI23" s="64">
        <f>AT23+VLOOKUP($A23,'Incremental Demand for New Gen'!$AG$66:$AL$114,'Mass Equivalents - States, Opt2'!AT$7-2018,0)</f>
        <v>37239364.197050981</v>
      </c>
      <c r="BJ23" s="64">
        <f>AU23+VLOOKUP($A23,'Incremental Demand for New Gen'!$AG$66:$AL$114,'Mass Equivalents - States, Opt2'!AU$7-2018,0)</f>
        <v>37447571.830773942</v>
      </c>
      <c r="BK23" s="64">
        <f>AV23+VLOOKUP($A23,'Incremental Demand for New Gen'!$AG$66:$AL$114,'Mass Equivalents - States, Opt2'!AV$7-2018,0)</f>
        <v>37656739.383753255</v>
      </c>
      <c r="BL23" s="65">
        <f>AW23+VLOOKUP($A23,'Incremental Demand for New Gen'!$AG$66:$AL$114,'Mass Equivalents - States, Opt2'!AW$7-2018,0)</f>
        <v>37866871.281595014</v>
      </c>
      <c r="BM23" s="29"/>
      <c r="BN23" s="71">
        <f t="shared" si="23"/>
        <v>29348.08454630927</v>
      </c>
      <c r="BO23" s="72">
        <f t="shared" si="24"/>
        <v>28866.947284880545</v>
      </c>
      <c r="BP23" s="72">
        <f t="shared" si="25"/>
        <v>28337.204858408932</v>
      </c>
      <c r="BQ23" s="72">
        <f t="shared" si="26"/>
        <v>27988.573508469242</v>
      </c>
      <c r="BR23" s="72">
        <f t="shared" si="27"/>
        <v>27910.739200956894</v>
      </c>
      <c r="BS23" s="75">
        <f t="shared" si="9"/>
        <v>28490.30987980498</v>
      </c>
      <c r="BT23" s="76">
        <f t="shared" si="28"/>
        <v>27910.739200956894</v>
      </c>
    </row>
    <row r="24" spans="1:72" x14ac:dyDescent="0.25">
      <c r="A24" s="16" t="s">
        <v>58</v>
      </c>
      <c r="B24" s="17">
        <v>2166.3264045000001</v>
      </c>
      <c r="C24" s="17">
        <v>0</v>
      </c>
      <c r="D24" s="17">
        <v>0</v>
      </c>
      <c r="E24" s="17">
        <v>0</v>
      </c>
      <c r="F24" s="17">
        <v>84358283</v>
      </c>
      <c r="G24" s="17">
        <v>0</v>
      </c>
      <c r="H24" s="17">
        <v>0</v>
      </c>
      <c r="I24" s="17">
        <v>0</v>
      </c>
      <c r="J24" s="17">
        <v>0</v>
      </c>
      <c r="K24" s="17">
        <v>640</v>
      </c>
      <c r="L24" s="18">
        <f t="shared" si="10"/>
        <v>2079.6733483200001</v>
      </c>
      <c r="M24" s="19">
        <f t="shared" si="29"/>
        <v>83796107</v>
      </c>
      <c r="N24" s="19">
        <f t="shared" si="30"/>
        <v>0</v>
      </c>
      <c r="O24" s="19">
        <f t="shared" si="11"/>
        <v>562176</v>
      </c>
      <c r="P24" s="19">
        <f>0.55*8784*907*K24+E24</f>
        <v>2804414976</v>
      </c>
      <c r="Q24" s="19">
        <f t="shared" si="13"/>
        <v>3091968.0000000005</v>
      </c>
      <c r="R24" s="20"/>
      <c r="S24" s="20"/>
      <c r="T24" s="21">
        <v>0</v>
      </c>
      <c r="U24" s="22">
        <v>551117.60800162517</v>
      </c>
      <c r="V24" s="22">
        <v>625149.10274459934</v>
      </c>
      <c r="W24" s="22">
        <v>709125.23023801693</v>
      </c>
      <c r="X24" s="22">
        <v>804381.85058958677</v>
      </c>
      <c r="Y24" s="22">
        <v>912434.26967159729</v>
      </c>
      <c r="Z24" s="23">
        <v>1.6280809733955681E-2</v>
      </c>
      <c r="AA24" s="23">
        <v>2.3204354475951809E-2</v>
      </c>
      <c r="AB24" s="23">
        <v>3.1056050308293719E-2</v>
      </c>
      <c r="AC24" s="23">
        <v>3.8604865223857067E-2</v>
      </c>
      <c r="AD24" s="23">
        <v>4.5527420140987158E-2</v>
      </c>
      <c r="AE24" s="23">
        <v>0.97179777525598399</v>
      </c>
      <c r="AF24" s="24">
        <v>95736031.598999992</v>
      </c>
      <c r="AG24" s="25">
        <f>(($L24*$M24)+($N24*$D24)+(907*$O24)+$P24)/($M24+$N24+$O24+$Q24+$T24+U24+(MIN(Z24*$AF24,$AF24*$AE24*Z24)))</f>
        <v>1983.8095770418608</v>
      </c>
      <c r="AH24" s="25">
        <f t="shared" ref="AH24:AK24" si="31">(($L24*$M24)+($N24*$D24)+(907*$O24)+$P24)/($M24+$N24+$O24+$Q24+$T24+V24+(MIN(AA24*$AF24,$AF24*$AE24*AA24)))</f>
        <v>1968.0205134534449</v>
      </c>
      <c r="AI24" s="25">
        <f t="shared" si="31"/>
        <v>1950.4157855293593</v>
      </c>
      <c r="AJ24" s="25">
        <f t="shared" si="31"/>
        <v>1933.4788937849596</v>
      </c>
      <c r="AK24" s="25">
        <f t="shared" si="31"/>
        <v>1917.7748513974773</v>
      </c>
      <c r="AL24" s="26">
        <f t="shared" si="3"/>
        <v>1950.6999242414204</v>
      </c>
      <c r="AM24" s="26">
        <f t="shared" si="16"/>
        <v>1917.7748513974773</v>
      </c>
      <c r="AN24" s="69"/>
      <c r="AO24" s="70"/>
      <c r="AP24" s="79">
        <f t="shared" si="4"/>
        <v>87450251</v>
      </c>
      <c r="AQ24" s="79">
        <f t="shared" si="5"/>
        <v>82893.004645328212</v>
      </c>
      <c r="AR24" s="84"/>
      <c r="AS24" s="63">
        <f>MAX($AP24-VLOOKUP($A24,'RE Generation'!$A$4:$M$52,'Mass Equivalents - States, Opt2'!AS$7-2016,0)-VLOOKUP('Mass Equivalents - States, Opt2'!$A24,'EE Avoided Generation'!$N$4:$S$52,'Mass Equivalents - States, Opt2'!AS$7-2018,0)-VLOOKUP($A24,'Under Construction Nuclear'!$B$5:$D$53,3,0),0)+U24+$T24+VLOOKUP('Mass Equivalents - States, Opt2'!$A24,'EE Avoided Generation'!$N$4:$S$52,'Mass Equivalents - States, Opt2'!AS$7-2018,0)</f>
        <v>87783130.449999988</v>
      </c>
      <c r="AT24" s="64">
        <f>MAX($AP24-VLOOKUP($A24,'RE Generation'!$A$4:$M$52,'Mass Equivalents - States, Opt2'!AT$7-2016,0)-VLOOKUP('Mass Equivalents - States, Opt2'!$A24,'EE Avoided Generation'!$N$4:$S$52,'Mass Equivalents - States, Opt2'!AT$7-2018,0)-VLOOKUP($A24,'Under Construction Nuclear'!$B$5:$D$53,3,0),0)+V24+$T24+VLOOKUP('Mass Equivalents - States, Opt2'!$A24,'EE Avoided Generation'!$N$4:$S$52,'Mass Equivalents - States, Opt2'!AT$7-2018,0)</f>
        <v>87783130.449999988</v>
      </c>
      <c r="AU24" s="64">
        <f>MAX($AP24-VLOOKUP($A24,'RE Generation'!$A$4:$M$52,'Mass Equivalents - States, Opt2'!AU$7-2016,0)-VLOOKUP('Mass Equivalents - States, Opt2'!$A24,'EE Avoided Generation'!$N$4:$S$52,'Mass Equivalents - States, Opt2'!AU$7-2018,0)-VLOOKUP($A24,'Under Construction Nuclear'!$B$5:$D$53,3,0),0)+W24+$T24+VLOOKUP('Mass Equivalents - States, Opt2'!$A24,'EE Avoided Generation'!$N$4:$S$52,'Mass Equivalents - States, Opt2'!AU$7-2018,0)</f>
        <v>87783130.450000003</v>
      </c>
      <c r="AV24" s="64">
        <f>MAX($AP24-VLOOKUP($A24,'RE Generation'!$A$4:$M$52,'Mass Equivalents - States, Opt2'!AV$7-2016,0)-VLOOKUP('Mass Equivalents - States, Opt2'!$A24,'EE Avoided Generation'!$N$4:$S$52,'Mass Equivalents - States, Opt2'!AV$7-2018,0)-VLOOKUP($A24,'Under Construction Nuclear'!$B$5:$D$53,3,0),0)+X24+$T24+VLOOKUP('Mass Equivalents - States, Opt2'!$A24,'EE Avoided Generation'!$N$4:$S$52,'Mass Equivalents - States, Opt2'!AV$7-2018,0)</f>
        <v>87783130.450000003</v>
      </c>
      <c r="AW24" s="65">
        <f>MAX($AP24-VLOOKUP($A24,'RE Generation'!$A$4:$M$52,'Mass Equivalents - States, Opt2'!AW$7-2016,0)-VLOOKUP('Mass Equivalents - States, Opt2'!$A24,'EE Avoided Generation'!$N$4:$S$52,'Mass Equivalents - States, Opt2'!AW$7-2018,0)-VLOOKUP($A24,'Under Construction Nuclear'!$B$5:$D$53,3,0),0)+Y24+$T24+VLOOKUP('Mass Equivalents - States, Opt2'!$A24,'EE Avoided Generation'!$N$4:$S$52,'Mass Equivalents - States, Opt2'!AW$7-2018,0)</f>
        <v>87783130.450000003</v>
      </c>
      <c r="AX24" s="29"/>
      <c r="AY24" s="71">
        <f t="shared" si="17"/>
        <v>78990.94396740706</v>
      </c>
      <c r="AZ24" s="72">
        <f t="shared" si="18"/>
        <v>78362.258103781918</v>
      </c>
      <c r="BA24" s="72">
        <f t="shared" si="19"/>
        <v>77661.276470712852</v>
      </c>
      <c r="BB24" s="72">
        <f t="shared" si="20"/>
        <v>76986.886608779212</v>
      </c>
      <c r="BC24" s="72">
        <f t="shared" si="21"/>
        <v>76361.586102799643</v>
      </c>
      <c r="BD24" s="75">
        <f t="shared" si="7"/>
        <v>77672.590250696143</v>
      </c>
      <c r="BE24" s="76">
        <f t="shared" si="22"/>
        <v>76361.586102799643</v>
      </c>
      <c r="BH24" s="63">
        <f>AS24+VLOOKUP($A24,'Incremental Demand for New Gen'!$AG$66:$AL$114,'Mass Equivalents - States, Opt2'!AS$7-2018,0)</f>
        <v>94086886.919080243</v>
      </c>
      <c r="BI24" s="64">
        <f>AT24+VLOOKUP($A24,'Incremental Demand for New Gen'!$AG$66:$AL$114,'Mass Equivalents - States, Opt2'!AT$7-2018,0)</f>
        <v>95323108.18429479</v>
      </c>
      <c r="BJ24" s="64">
        <f>AU24+VLOOKUP($A24,'Incremental Demand for New Gen'!$AG$66:$AL$114,'Mass Equivalents - States, Opt2'!AU$7-2018,0)</f>
        <v>96573837.32539326</v>
      </c>
      <c r="BK24" s="64">
        <f>AV24+VLOOKUP($A24,'Incremental Demand for New Gen'!$AG$66:$AL$114,'Mass Equivalents - States, Opt2'!AV$7-2018,0)</f>
        <v>97839244.601914614</v>
      </c>
      <c r="BL24" s="65">
        <f>AW24+VLOOKUP($A24,'Incremental Demand for New Gen'!$AG$66:$AL$114,'Mass Equivalents - States, Opt2'!AW$7-2018,0)</f>
        <v>99119502.271506324</v>
      </c>
      <c r="BM24" s="29"/>
      <c r="BN24" s="71">
        <f t="shared" si="23"/>
        <v>84663.328530143961</v>
      </c>
      <c r="BO24" s="72">
        <f t="shared" si="24"/>
        <v>85093.046562597694</v>
      </c>
      <c r="BP24" s="72">
        <f t="shared" si="25"/>
        <v>85438.368874722844</v>
      </c>
      <c r="BQ24" s="72">
        <f t="shared" si="26"/>
        <v>85806.222578796325</v>
      </c>
      <c r="BR24" s="72">
        <f t="shared" si="27"/>
        <v>86222.97209466029</v>
      </c>
      <c r="BS24" s="75">
        <f t="shared" si="9"/>
        <v>85444.787728184223</v>
      </c>
      <c r="BT24" s="76">
        <f t="shared" si="28"/>
        <v>86222.97209466029</v>
      </c>
    </row>
    <row r="25" spans="1:72" x14ac:dyDescent="0.25">
      <c r="A25" s="16" t="s">
        <v>59</v>
      </c>
      <c r="B25" s="17">
        <v>2323.2195671999998</v>
      </c>
      <c r="C25" s="17">
        <v>766.29985739999995</v>
      </c>
      <c r="D25" s="17">
        <v>1581.2103032</v>
      </c>
      <c r="E25" s="17">
        <v>3267065650.0531979</v>
      </c>
      <c r="F25" s="17">
        <v>24300393</v>
      </c>
      <c r="G25" s="17">
        <v>19771182.009100001</v>
      </c>
      <c r="H25" s="17">
        <v>14254748</v>
      </c>
      <c r="I25" s="17">
        <v>5223728.3741199002</v>
      </c>
      <c r="J25" s="17">
        <v>6508.4</v>
      </c>
      <c r="K25" s="17">
        <v>0</v>
      </c>
      <c r="L25" s="18">
        <f t="shared" si="10"/>
        <v>2230.2907845119998</v>
      </c>
      <c r="M25" s="19">
        <f t="shared" si="29"/>
        <v>13340405.208019888</v>
      </c>
      <c r="N25" s="19">
        <f t="shared" si="30"/>
        <v>7825557.1610801145</v>
      </c>
      <c r="O25" s="19">
        <f t="shared" si="11"/>
        <v>37160360.640000001</v>
      </c>
      <c r="P25" s="19">
        <f t="shared" si="12"/>
        <v>3267065650.0531979</v>
      </c>
      <c r="Q25" s="19">
        <f t="shared" si="13"/>
        <v>5223728.3741199002</v>
      </c>
      <c r="R25" s="20">
        <f t="shared" si="14"/>
        <v>0.34583271218529815</v>
      </c>
      <c r="S25" s="20">
        <f t="shared" si="15"/>
        <v>0.65000000000000013</v>
      </c>
      <c r="T25" s="21">
        <v>985225.01242613397</v>
      </c>
      <c r="U25" s="22">
        <v>3348948.0774409864</v>
      </c>
      <c r="V25" s="22">
        <v>3628541.2328899889</v>
      </c>
      <c r="W25" s="22">
        <v>3931476.7426443659</v>
      </c>
      <c r="X25" s="22">
        <v>4259703.3865433186</v>
      </c>
      <c r="Y25" s="22">
        <v>4615332.6419334197</v>
      </c>
      <c r="Z25" s="23">
        <v>8.539470834685231E-3</v>
      </c>
      <c r="AA25" s="23">
        <v>1.3902536704274394E-2</v>
      </c>
      <c r="AB25" s="23">
        <v>2.035048813894413E-2</v>
      </c>
      <c r="AC25" s="23">
        <v>2.7776150825977793E-2</v>
      </c>
      <c r="AD25" s="23">
        <v>3.5589546850881074E-2</v>
      </c>
      <c r="AE25" s="23">
        <v>0.90079198851709141</v>
      </c>
      <c r="AF25" s="24">
        <v>91094021.7993</v>
      </c>
      <c r="AG25" s="25">
        <f t="shared" si="2"/>
        <v>1077.0567539189844</v>
      </c>
      <c r="AH25" s="25">
        <f t="shared" si="2"/>
        <v>1065.8724431797359</v>
      </c>
      <c r="AI25" s="25">
        <f t="shared" si="2"/>
        <v>1053.227960604951</v>
      </c>
      <c r="AJ25" s="25">
        <f t="shared" si="2"/>
        <v>1039.3346421024005</v>
      </c>
      <c r="AK25" s="25">
        <f t="shared" si="2"/>
        <v>1024.9602155153254</v>
      </c>
      <c r="AL25" s="26">
        <f t="shared" si="3"/>
        <v>1052.0904030642794</v>
      </c>
      <c r="AM25" s="26">
        <f t="shared" si="16"/>
        <v>1024.9602155153254</v>
      </c>
      <c r="AN25" s="69"/>
      <c r="AO25" s="70"/>
      <c r="AP25" s="79">
        <f t="shared" si="4"/>
        <v>63550051.383219905</v>
      </c>
      <c r="AQ25" s="79">
        <f t="shared" si="5"/>
        <v>44185.674864432636</v>
      </c>
      <c r="AR25" s="84"/>
      <c r="AS25" s="63">
        <f>MAX($AP25-VLOOKUP($A25,'RE Generation'!$A$4:$M$52,'Mass Equivalents - States, Opt2'!AS$7-2016,0)-VLOOKUP('Mass Equivalents - States, Opt2'!$A25,'EE Avoided Generation'!$N$4:$S$52,'Mass Equivalents - States, Opt2'!AS$7-2018,0)-VLOOKUP($A25,'Under Construction Nuclear'!$B$5:$D$53,3,0),0)+U25+$T25+VLOOKUP('Mass Equivalents - States, Opt2'!$A25,'EE Avoided Generation'!$N$4:$S$52,'Mass Equivalents - States, Opt2'!AS$7-2018,0)</f>
        <v>66965318.625646032</v>
      </c>
      <c r="AT25" s="64">
        <f>MAX($AP25-VLOOKUP($A25,'RE Generation'!$A$4:$M$52,'Mass Equivalents - States, Opt2'!AT$7-2016,0)-VLOOKUP('Mass Equivalents - States, Opt2'!$A25,'EE Avoided Generation'!$N$4:$S$52,'Mass Equivalents - States, Opt2'!AT$7-2018,0)-VLOOKUP($A25,'Under Construction Nuclear'!$B$5:$D$53,3,0),0)+V25+$T25+VLOOKUP('Mass Equivalents - States, Opt2'!$A25,'EE Avoided Generation'!$N$4:$S$52,'Mass Equivalents - States, Opt2'!AT$7-2018,0)</f>
        <v>66965318.625646032</v>
      </c>
      <c r="AU25" s="64">
        <f>MAX($AP25-VLOOKUP($A25,'RE Generation'!$A$4:$M$52,'Mass Equivalents - States, Opt2'!AU$7-2016,0)-VLOOKUP('Mass Equivalents - States, Opt2'!$A25,'EE Avoided Generation'!$N$4:$S$52,'Mass Equivalents - States, Opt2'!AU$7-2018,0)-VLOOKUP($A25,'Under Construction Nuclear'!$B$5:$D$53,3,0),0)+W25+$T25+VLOOKUP('Mass Equivalents - States, Opt2'!$A25,'EE Avoided Generation'!$N$4:$S$52,'Mass Equivalents - States, Opt2'!AU$7-2018,0)</f>
        <v>66965318.625646032</v>
      </c>
      <c r="AV25" s="64">
        <f>MAX($AP25-VLOOKUP($A25,'RE Generation'!$A$4:$M$52,'Mass Equivalents - States, Opt2'!AV$7-2016,0)-VLOOKUP('Mass Equivalents - States, Opt2'!$A25,'EE Avoided Generation'!$N$4:$S$52,'Mass Equivalents - States, Opt2'!AV$7-2018,0)-VLOOKUP($A25,'Under Construction Nuclear'!$B$5:$D$53,3,0),0)+X25+$T25+VLOOKUP('Mass Equivalents - States, Opt2'!$A25,'EE Avoided Generation'!$N$4:$S$52,'Mass Equivalents - States, Opt2'!AV$7-2018,0)</f>
        <v>66965318.625646032</v>
      </c>
      <c r="AW25" s="65">
        <f>MAX($AP25-VLOOKUP($A25,'RE Generation'!$A$4:$M$52,'Mass Equivalents - States, Opt2'!AW$7-2016,0)-VLOOKUP('Mass Equivalents - States, Opt2'!$A25,'EE Avoided Generation'!$N$4:$S$52,'Mass Equivalents - States, Opt2'!AW$7-2018,0)-VLOOKUP($A25,'Under Construction Nuclear'!$B$5:$D$53,3,0),0)+Y25+$T25+VLOOKUP('Mass Equivalents - States, Opt2'!$A25,'EE Avoided Generation'!$N$4:$S$52,'Mass Equivalents - States, Opt2'!AW$7-2018,0)</f>
        <v>66965318.625646032</v>
      </c>
      <c r="AX25" s="29"/>
      <c r="AY25" s="71">
        <f t="shared" si="17"/>
        <v>32715.592122038641</v>
      </c>
      <c r="AZ25" s="72">
        <f t="shared" si="18"/>
        <v>32375.86875372029</v>
      </c>
      <c r="BA25" s="72">
        <f t="shared" si="19"/>
        <v>31991.792675086828</v>
      </c>
      <c r="BB25" s="72">
        <f t="shared" si="20"/>
        <v>31569.783213006795</v>
      </c>
      <c r="BC25" s="72">
        <f t="shared" si="21"/>
        <v>31133.160095887091</v>
      </c>
      <c r="BD25" s="75">
        <f t="shared" si="7"/>
        <v>31957.239371947926</v>
      </c>
      <c r="BE25" s="76">
        <f t="shared" si="22"/>
        <v>31133.160095887091</v>
      </c>
      <c r="BH25" s="63">
        <f>AS25+VLOOKUP($A25,'Incremental Demand for New Gen'!$AG$66:$AL$114,'Mass Equivalents - States, Opt2'!AS$7-2018,0)</f>
        <v>74564278.930932313</v>
      </c>
      <c r="BI25" s="64">
        <f>AT25+VLOOKUP($A25,'Incremental Demand for New Gen'!$AG$66:$AL$114,'Mass Equivalents - States, Opt2'!AT$7-2018,0)</f>
        <v>75557675.871445775</v>
      </c>
      <c r="BJ25" s="64">
        <f>AU25+VLOOKUP($A25,'Incremental Demand for New Gen'!$AG$66:$AL$114,'Mass Equivalents - States, Opt2'!AU$7-2018,0)</f>
        <v>76561071.87633419</v>
      </c>
      <c r="BK25" s="64">
        <f>AV25+VLOOKUP($A25,'Incremental Demand for New Gen'!$AG$66:$AL$114,'Mass Equivalents - States, Opt2'!AV$7-2018,0)</f>
        <v>77574567.591456547</v>
      </c>
      <c r="BL25" s="65">
        <f>AW25+VLOOKUP($A25,'Incremental Demand for New Gen'!$AG$66:$AL$114,'Mass Equivalents - States, Opt2'!AW$7-2018,0)</f>
        <v>78598264.675725505</v>
      </c>
      <c r="BM25" s="29"/>
      <c r="BN25" s="71">
        <f t="shared" si="23"/>
        <v>36428.028514510297</v>
      </c>
      <c r="BO25" s="72">
        <f t="shared" si="24"/>
        <v>36530.034464932956</v>
      </c>
      <c r="BP25" s="72">
        <f t="shared" si="25"/>
        <v>36576.036502454175</v>
      </c>
      <c r="BQ25" s="72">
        <f t="shared" si="26"/>
        <v>36571.352633975454</v>
      </c>
      <c r="BR25" s="72">
        <f t="shared" si="27"/>
        <v>36541.487558473666</v>
      </c>
      <c r="BS25" s="75">
        <f t="shared" si="9"/>
        <v>36529.387934869308</v>
      </c>
      <c r="BT25" s="76">
        <f t="shared" si="28"/>
        <v>36541.487558473666</v>
      </c>
    </row>
    <row r="26" spans="1:72" x14ac:dyDescent="0.25">
      <c r="A26" s="16" t="s">
        <v>60</v>
      </c>
      <c r="B26" s="17">
        <v>0</v>
      </c>
      <c r="C26" s="17">
        <v>847.59208590000003</v>
      </c>
      <c r="D26" s="17">
        <v>2635.1274653999999</v>
      </c>
      <c r="E26" s="17">
        <v>0</v>
      </c>
      <c r="F26" s="17">
        <v>0</v>
      </c>
      <c r="G26" s="17">
        <v>4053378.0000999998</v>
      </c>
      <c r="H26" s="17">
        <v>59067</v>
      </c>
      <c r="I26" s="17">
        <v>0</v>
      </c>
      <c r="J26" s="17">
        <v>1388.6</v>
      </c>
      <c r="K26" s="17">
        <v>0</v>
      </c>
      <c r="L26" s="18">
        <f t="shared" si="10"/>
        <v>0</v>
      </c>
      <c r="M26" s="19">
        <f t="shared" si="29"/>
        <v>0</v>
      </c>
      <c r="N26" s="19">
        <f t="shared" si="30"/>
        <v>0</v>
      </c>
      <c r="O26" s="19">
        <f t="shared" si="11"/>
        <v>4112445.0000999998</v>
      </c>
      <c r="P26" s="19">
        <f t="shared" si="12"/>
        <v>0</v>
      </c>
      <c r="Q26" s="19">
        <f t="shared" si="13"/>
        <v>0</v>
      </c>
      <c r="R26" s="20">
        <f t="shared" si="14"/>
        <v>0.33231321951851234</v>
      </c>
      <c r="S26" s="20">
        <f t="shared" si="15"/>
        <v>0.33715578414900466</v>
      </c>
      <c r="T26" s="21">
        <v>0</v>
      </c>
      <c r="U26" s="22">
        <v>3611728.4319631737</v>
      </c>
      <c r="V26" s="22">
        <v>3611728.4319631737</v>
      </c>
      <c r="W26" s="22">
        <v>3611728.4319631737</v>
      </c>
      <c r="X26" s="22">
        <v>3611728.4319631737</v>
      </c>
      <c r="Y26" s="22">
        <v>3611728.4319631737</v>
      </c>
      <c r="Z26" s="23">
        <v>3.6096338984595612E-2</v>
      </c>
      <c r="AA26" s="23">
        <v>4.3576068587835783E-2</v>
      </c>
      <c r="AB26" s="23">
        <v>5.0464201126653049E-2</v>
      </c>
      <c r="AC26" s="23">
        <v>5.6772949624148861E-2</v>
      </c>
      <c r="AD26" s="23">
        <v>6.2514057527199018E-2</v>
      </c>
      <c r="AE26" s="23">
        <v>1.3252080576650536</v>
      </c>
      <c r="AF26" s="24">
        <v>12429294.5309</v>
      </c>
      <c r="AG26" s="25">
        <f t="shared" si="2"/>
        <v>426.49581255671245</v>
      </c>
      <c r="AH26" s="25">
        <f t="shared" si="2"/>
        <v>421.69889104748069</v>
      </c>
      <c r="AI26" s="25">
        <f t="shared" si="2"/>
        <v>417.37583625627042</v>
      </c>
      <c r="AJ26" s="25">
        <f t="shared" si="2"/>
        <v>413.49345094094076</v>
      </c>
      <c r="AK26" s="25">
        <f t="shared" si="2"/>
        <v>410.02263438662555</v>
      </c>
      <c r="AL26" s="26">
        <f t="shared" si="3"/>
        <v>417.81732503760605</v>
      </c>
      <c r="AM26" s="26">
        <f t="shared" si="16"/>
        <v>410.02263438662555</v>
      </c>
      <c r="AN26" s="69"/>
      <c r="AO26" s="70"/>
      <c r="AP26" s="79">
        <f t="shared" si="4"/>
        <v>4112445.0000999998</v>
      </c>
      <c r="AQ26" s="79">
        <f t="shared" si="5"/>
        <v>1628.9701572355832</v>
      </c>
      <c r="AR26" s="84"/>
      <c r="AS26" s="63">
        <f>MAX($AP26-VLOOKUP($A26,'RE Generation'!$A$4:$M$52,'Mass Equivalents - States, Opt2'!AS$7-2016,0)-VLOOKUP('Mass Equivalents - States, Opt2'!$A26,'EE Avoided Generation'!$N$4:$S$52,'Mass Equivalents - States, Opt2'!AS$7-2018,0)-VLOOKUP($A26,'Under Construction Nuclear'!$B$5:$D$53,3,0),0)+U26+$T26+VLOOKUP('Mass Equivalents - States, Opt2'!$A26,'EE Avoided Generation'!$N$4:$S$52,'Mass Equivalents - States, Opt2'!AS$7-2018,0)</f>
        <v>7724173.4320631726</v>
      </c>
      <c r="AT26" s="64">
        <f>MAX($AP26-VLOOKUP($A26,'RE Generation'!$A$4:$M$52,'Mass Equivalents - States, Opt2'!AT$7-2016,0)-VLOOKUP('Mass Equivalents - States, Opt2'!$A26,'EE Avoided Generation'!$N$4:$S$52,'Mass Equivalents - States, Opt2'!AT$7-2018,0)-VLOOKUP($A26,'Under Construction Nuclear'!$B$5:$D$53,3,0),0)+V26+$T26+VLOOKUP('Mass Equivalents - States, Opt2'!$A26,'EE Avoided Generation'!$N$4:$S$52,'Mass Equivalents - States, Opt2'!AT$7-2018,0)</f>
        <v>7724173.4320631735</v>
      </c>
      <c r="AU26" s="64">
        <f>MAX($AP26-VLOOKUP($A26,'RE Generation'!$A$4:$M$52,'Mass Equivalents - States, Opt2'!AU$7-2016,0)-VLOOKUP('Mass Equivalents - States, Opt2'!$A26,'EE Avoided Generation'!$N$4:$S$52,'Mass Equivalents - States, Opt2'!AU$7-2018,0)-VLOOKUP($A26,'Under Construction Nuclear'!$B$5:$D$53,3,0),0)+W26+$T26+VLOOKUP('Mass Equivalents - States, Opt2'!$A26,'EE Avoided Generation'!$N$4:$S$52,'Mass Equivalents - States, Opt2'!AU$7-2018,0)</f>
        <v>7724173.4320631735</v>
      </c>
      <c r="AV26" s="64">
        <f>MAX($AP26-VLOOKUP($A26,'RE Generation'!$A$4:$M$52,'Mass Equivalents - States, Opt2'!AV$7-2016,0)-VLOOKUP('Mass Equivalents - States, Opt2'!$A26,'EE Avoided Generation'!$N$4:$S$52,'Mass Equivalents - States, Opt2'!AV$7-2018,0)-VLOOKUP($A26,'Under Construction Nuclear'!$B$5:$D$53,3,0),0)+X26+$T26+VLOOKUP('Mass Equivalents - States, Opt2'!$A26,'EE Avoided Generation'!$N$4:$S$52,'Mass Equivalents - States, Opt2'!AV$7-2018,0)</f>
        <v>7724173.4320631735</v>
      </c>
      <c r="AW26" s="65">
        <f>MAX($AP26-VLOOKUP($A26,'RE Generation'!$A$4:$M$52,'Mass Equivalents - States, Opt2'!AW$7-2016,0)-VLOOKUP('Mass Equivalents - States, Opt2'!$A26,'EE Avoided Generation'!$N$4:$S$52,'Mass Equivalents - States, Opt2'!AW$7-2018,0)-VLOOKUP($A26,'Under Construction Nuclear'!$B$5:$D$53,3,0),0)+Y26+$T26+VLOOKUP('Mass Equivalents - States, Opt2'!$A26,'EE Avoided Generation'!$N$4:$S$52,'Mass Equivalents - States, Opt2'!AW$7-2018,0)</f>
        <v>7724173.4320631735</v>
      </c>
      <c r="AX26" s="29"/>
      <c r="AY26" s="71">
        <f t="shared" si="17"/>
        <v>1494.2836517117478</v>
      </c>
      <c r="AZ26" s="72">
        <f t="shared" si="18"/>
        <v>1477.4770121651138</v>
      </c>
      <c r="BA26" s="72">
        <f t="shared" si="19"/>
        <v>1462.3306264099181</v>
      </c>
      <c r="BB26" s="72">
        <f t="shared" si="20"/>
        <v>1448.728183582718</v>
      </c>
      <c r="BC26" s="72">
        <f t="shared" si="21"/>
        <v>1436.5677255371563</v>
      </c>
      <c r="BD26" s="75">
        <f t="shared" si="7"/>
        <v>1463.8774398813307</v>
      </c>
      <c r="BE26" s="76">
        <f t="shared" si="22"/>
        <v>1436.5677255371563</v>
      </c>
      <c r="BH26" s="63">
        <f>AS26+VLOOKUP($A26,'Incremental Demand for New Gen'!$AG$66:$AL$114,'Mass Equivalents - States, Opt2'!AS$7-2018,0)</f>
        <v>8145130.9228397869</v>
      </c>
      <c r="BI26" s="64">
        <f>AT26+VLOOKUP($A26,'Incremental Demand for New Gen'!$AG$66:$AL$114,'Mass Equivalents - States, Opt2'!AT$7-2018,0)</f>
        <v>8198724.4213930555</v>
      </c>
      <c r="BJ26" s="64">
        <f>AU26+VLOOKUP($A26,'Incremental Demand for New Gen'!$AG$66:$AL$114,'Mass Equivalents - States, Opt2'!AU$7-2018,0)</f>
        <v>8252537.2821864393</v>
      </c>
      <c r="BK26" s="64">
        <f>AV26+VLOOKUP($A26,'Incremental Demand for New Gen'!$AG$66:$AL$114,'Mass Equivalents - States, Opt2'!AV$7-2018,0)</f>
        <v>8306570.4030861659</v>
      </c>
      <c r="BL26" s="65">
        <f>AW26+VLOOKUP($A26,'Incremental Demand for New Gen'!$AG$66:$AL$114,'Mass Equivalents - States, Opt2'!AW$7-2018,0)</f>
        <v>8360824.6856334973</v>
      </c>
      <c r="BM26" s="29"/>
      <c r="BN26" s="71">
        <f t="shared" si="23"/>
        <v>1575.7201836676436</v>
      </c>
      <c r="BO26" s="72">
        <f t="shared" si="24"/>
        <v>1568.2489483472659</v>
      </c>
      <c r="BP26" s="72">
        <f t="shared" si="25"/>
        <v>1562.3597941543733</v>
      </c>
      <c r="BQ26" s="72">
        <f t="shared" si="26"/>
        <v>1557.9612184666653</v>
      </c>
      <c r="BR26" s="72">
        <f t="shared" si="27"/>
        <v>1554.974264611669</v>
      </c>
      <c r="BS26" s="75">
        <f t="shared" si="9"/>
        <v>1563.8528818495236</v>
      </c>
      <c r="BT26" s="76">
        <f t="shared" si="28"/>
        <v>1554.974264611669</v>
      </c>
    </row>
    <row r="27" spans="1:72" x14ac:dyDescent="0.25">
      <c r="A27" s="16" t="s">
        <v>61</v>
      </c>
      <c r="B27" s="17">
        <v>2157.9958127</v>
      </c>
      <c r="C27" s="17">
        <v>975.17739540000002</v>
      </c>
      <c r="D27" s="17">
        <v>1544.2413833000001</v>
      </c>
      <c r="E27" s="17">
        <v>48214762.492757589</v>
      </c>
      <c r="F27" s="17">
        <v>16297835</v>
      </c>
      <c r="G27" s="17">
        <v>676555.59400000004</v>
      </c>
      <c r="H27" s="17">
        <v>2892354</v>
      </c>
      <c r="I27" s="17">
        <v>20917.47183750011</v>
      </c>
      <c r="J27" s="17">
        <v>288.8</v>
      </c>
      <c r="K27" s="17">
        <v>0</v>
      </c>
      <c r="L27" s="18">
        <f t="shared" si="10"/>
        <v>2071.6759801919998</v>
      </c>
      <c r="M27" s="19">
        <f t="shared" si="29"/>
        <v>15472015.199796792</v>
      </c>
      <c r="N27" s="19">
        <f t="shared" si="30"/>
        <v>2745796.9142032084</v>
      </c>
      <c r="O27" s="19">
        <f t="shared" si="11"/>
        <v>1648932.4800000002</v>
      </c>
      <c r="P27" s="19">
        <f t="shared" si="12"/>
        <v>48214762.492757589</v>
      </c>
      <c r="Q27" s="19">
        <f t="shared" si="13"/>
        <v>20917.47183750011</v>
      </c>
      <c r="R27" s="20">
        <f t="shared" si="14"/>
        <v>0.26669444712496659</v>
      </c>
      <c r="S27" s="20">
        <f t="shared" si="15"/>
        <v>0.65</v>
      </c>
      <c r="T27" s="21">
        <v>787533.354986666</v>
      </c>
      <c r="U27" s="22">
        <v>1697994.5225357746</v>
      </c>
      <c r="V27" s="22">
        <v>1991053.089595275</v>
      </c>
      <c r="W27" s="22">
        <v>2334690.9268391752</v>
      </c>
      <c r="X27" s="22">
        <v>2737637.5609216713</v>
      </c>
      <c r="Y27" s="22">
        <v>3210129.1562030497</v>
      </c>
      <c r="Z27" s="23">
        <v>3.473435083377955E-2</v>
      </c>
      <c r="AA27" s="23">
        <v>4.2193804945367223E-2</v>
      </c>
      <c r="AB27" s="23">
        <v>4.9048420507487096E-2</v>
      </c>
      <c r="AC27" s="23">
        <v>5.531364065177781E-2</v>
      </c>
      <c r="AD27" s="23">
        <v>6.1004329655151658E-2</v>
      </c>
      <c r="AE27" s="23">
        <v>0.60820033171625643</v>
      </c>
      <c r="AF27" s="24">
        <v>66455749.755199999</v>
      </c>
      <c r="AG27" s="25">
        <f t="shared" si="2"/>
        <v>1596.0481506410797</v>
      </c>
      <c r="AH27" s="25">
        <f t="shared" si="2"/>
        <v>1557.1118152456945</v>
      </c>
      <c r="AI27" s="25">
        <f t="shared" si="2"/>
        <v>1518.4405948430242</v>
      </c>
      <c r="AJ27" s="25">
        <f t="shared" si="2"/>
        <v>1479.5936945955582</v>
      </c>
      <c r="AK27" s="25">
        <f t="shared" si="2"/>
        <v>1440.1487412826414</v>
      </c>
      <c r="AL27" s="26">
        <f t="shared" si="3"/>
        <v>1518.2685993215996</v>
      </c>
      <c r="AM27" s="26">
        <f t="shared" si="16"/>
        <v>1440.1487412826414</v>
      </c>
      <c r="AN27" s="69"/>
      <c r="AO27" s="70"/>
      <c r="AP27" s="79">
        <f t="shared" si="4"/>
        <v>19887662.065837502</v>
      </c>
      <c r="AQ27" s="79">
        <f t="shared" si="5"/>
        <v>18300.264404986694</v>
      </c>
      <c r="AR27" s="84"/>
      <c r="AS27" s="63">
        <f>MAX($AP27-VLOOKUP($A27,'RE Generation'!$A$4:$M$52,'Mass Equivalents - States, Opt2'!AS$7-2016,0)-VLOOKUP('Mass Equivalents - States, Opt2'!$A27,'EE Avoided Generation'!$N$4:$S$52,'Mass Equivalents - States, Opt2'!AS$7-2018,0)-VLOOKUP($A27,'Under Construction Nuclear'!$B$5:$D$53,3,0),0)+U27+$T27+VLOOKUP('Mass Equivalents - States, Opt2'!$A27,'EE Avoided Generation'!$N$4:$S$52,'Mass Equivalents - States, Opt2'!AS$7-2018,0)</f>
        <v>21573347.880824171</v>
      </c>
      <c r="AT27" s="64">
        <f>MAX($AP27-VLOOKUP($A27,'RE Generation'!$A$4:$M$52,'Mass Equivalents - States, Opt2'!AT$7-2016,0)-VLOOKUP('Mass Equivalents - States, Opt2'!$A27,'EE Avoided Generation'!$N$4:$S$52,'Mass Equivalents - States, Opt2'!AT$7-2018,0)-VLOOKUP($A27,'Under Construction Nuclear'!$B$5:$D$53,3,0),0)+V27+$T27+VLOOKUP('Mass Equivalents - States, Opt2'!$A27,'EE Avoided Generation'!$N$4:$S$52,'Mass Equivalents - States, Opt2'!AT$7-2018,0)</f>
        <v>21573347.880824167</v>
      </c>
      <c r="AU27" s="64">
        <f>MAX($AP27-VLOOKUP($A27,'RE Generation'!$A$4:$M$52,'Mass Equivalents - States, Opt2'!AU$7-2016,0)-VLOOKUP('Mass Equivalents - States, Opt2'!$A27,'EE Avoided Generation'!$N$4:$S$52,'Mass Equivalents - States, Opt2'!AU$7-2018,0)-VLOOKUP($A27,'Under Construction Nuclear'!$B$5:$D$53,3,0),0)+W27+$T27+VLOOKUP('Mass Equivalents - States, Opt2'!$A27,'EE Avoided Generation'!$N$4:$S$52,'Mass Equivalents - States, Opt2'!AU$7-2018,0)</f>
        <v>21573347.880824167</v>
      </c>
      <c r="AV27" s="64">
        <f>MAX($AP27-VLOOKUP($A27,'RE Generation'!$A$4:$M$52,'Mass Equivalents - States, Opt2'!AV$7-2016,0)-VLOOKUP('Mass Equivalents - States, Opt2'!$A27,'EE Avoided Generation'!$N$4:$S$52,'Mass Equivalents - States, Opt2'!AV$7-2018,0)-VLOOKUP($A27,'Under Construction Nuclear'!$B$5:$D$53,3,0),0)+X27+$T27+VLOOKUP('Mass Equivalents - States, Opt2'!$A27,'EE Avoided Generation'!$N$4:$S$52,'Mass Equivalents - States, Opt2'!AV$7-2018,0)</f>
        <v>21573347.880824171</v>
      </c>
      <c r="AW27" s="65">
        <f>MAX($AP27-VLOOKUP($A27,'RE Generation'!$A$4:$M$52,'Mass Equivalents - States, Opt2'!AW$7-2016,0)-VLOOKUP('Mass Equivalents - States, Opt2'!$A27,'EE Avoided Generation'!$N$4:$S$52,'Mass Equivalents - States, Opt2'!AW$7-2018,0)-VLOOKUP($A27,'Under Construction Nuclear'!$B$5:$D$53,3,0),0)+Y27+$T27+VLOOKUP('Mass Equivalents - States, Opt2'!$A27,'EE Avoided Generation'!$N$4:$S$52,'Mass Equivalents - States, Opt2'!AW$7-2018,0)</f>
        <v>21573347.880824171</v>
      </c>
      <c r="AX27" s="29"/>
      <c r="AY27" s="71">
        <f t="shared" si="17"/>
        <v>15618.1573188695</v>
      </c>
      <c r="AZ27" s="72">
        <f t="shared" si="18"/>
        <v>15237.145122350781</v>
      </c>
      <c r="BA27" s="72">
        <f t="shared" si="19"/>
        <v>14858.727213267659</v>
      </c>
      <c r="BB27" s="72">
        <f t="shared" si="20"/>
        <v>14478.590185965786</v>
      </c>
      <c r="BC27" s="72">
        <f t="shared" si="21"/>
        <v>14092.600899847354</v>
      </c>
      <c r="BD27" s="75">
        <f t="shared" si="7"/>
        <v>14857.044148060217</v>
      </c>
      <c r="BE27" s="76">
        <f t="shared" si="22"/>
        <v>14092.600899847354</v>
      </c>
      <c r="BH27" s="63">
        <f>AS27+VLOOKUP($A27,'Incremental Demand for New Gen'!$AG$66:$AL$114,'Mass Equivalents - States, Opt2'!AS$7-2018,0)</f>
        <v>24718739.862295616</v>
      </c>
      <c r="BI27" s="64">
        <f>AT27+VLOOKUP($A27,'Incremental Demand for New Gen'!$AG$66:$AL$114,'Mass Equivalents - States, Opt2'!AT$7-2018,0)</f>
        <v>25122146.911372684</v>
      </c>
      <c r="BJ27" s="64">
        <f>AU27+VLOOKUP($A27,'Incremental Demand for New Gen'!$AG$66:$AL$114,'Mass Equivalents - States, Opt2'!AU$7-2018,0)</f>
        <v>25527871.666747019</v>
      </c>
      <c r="BK27" s="64">
        <f>AV27+VLOOKUP($A27,'Incremental Demand for New Gen'!$AG$66:$AL$114,'Mass Equivalents - States, Opt2'!AV$7-2018,0)</f>
        <v>25935927.444404289</v>
      </c>
      <c r="BL27" s="65">
        <f>AW27+VLOOKUP($A27,'Incremental Demand for New Gen'!$AG$66:$AL$114,'Mass Equivalents - States, Opt2'!AW$7-2018,0)</f>
        <v>26346327.636834852</v>
      </c>
      <c r="BM27" s="29"/>
      <c r="BN27" s="71">
        <f t="shared" si="23"/>
        <v>17895.283107018382</v>
      </c>
      <c r="BO27" s="72">
        <f t="shared" si="24"/>
        <v>17743.643702786212</v>
      </c>
      <c r="BP27" s="72">
        <f t="shared" si="25"/>
        <v>17582.420842926098</v>
      </c>
      <c r="BQ27" s="72">
        <f t="shared" si="26"/>
        <v>17406.462206742421</v>
      </c>
      <c r="BR27" s="72">
        <f t="shared" si="27"/>
        <v>17210.508198060339</v>
      </c>
      <c r="BS27" s="75">
        <f t="shared" si="9"/>
        <v>17567.66361150669</v>
      </c>
      <c r="BT27" s="76">
        <f t="shared" si="28"/>
        <v>17210.508198060339</v>
      </c>
    </row>
    <row r="28" spans="1:72" x14ac:dyDescent="0.25">
      <c r="A28" s="16" t="s">
        <v>62</v>
      </c>
      <c r="B28" s="17">
        <v>2082.5040770999999</v>
      </c>
      <c r="C28" s="17">
        <v>886.31744089999995</v>
      </c>
      <c r="D28" s="17">
        <v>1756.554529</v>
      </c>
      <c r="E28" s="17">
        <v>33906455.554328367</v>
      </c>
      <c r="F28" s="17">
        <v>2268133</v>
      </c>
      <c r="G28" s="17">
        <v>23603159.816199999</v>
      </c>
      <c r="H28" s="17">
        <v>329883.23700000002</v>
      </c>
      <c r="I28" s="17">
        <v>34983.969129000077</v>
      </c>
      <c r="J28" s="17">
        <v>6625.1</v>
      </c>
      <c r="K28" s="17">
        <v>0</v>
      </c>
      <c r="L28" s="18">
        <f t="shared" si="10"/>
        <v>1999.2039140159998</v>
      </c>
      <c r="M28" s="19">
        <f t="shared" si="29"/>
        <v>4.6566128730773926E-10</v>
      </c>
      <c r="N28" s="19">
        <f t="shared" si="30"/>
        <v>5.8207660913467407E-11</v>
      </c>
      <c r="O28" s="19">
        <f t="shared" si="11"/>
        <v>26201176.053199999</v>
      </c>
      <c r="P28" s="19">
        <f t="shared" si="12"/>
        <v>33906455.554328367</v>
      </c>
      <c r="Q28" s="19">
        <f t="shared" si="13"/>
        <v>34983.969129000077</v>
      </c>
      <c r="R28" s="20">
        <f t="shared" si="14"/>
        <v>0.40558826592891373</v>
      </c>
      <c r="S28" s="20">
        <f t="shared" si="15"/>
        <v>0.4502316487905918</v>
      </c>
      <c r="T28" s="21">
        <v>316260.46226356021</v>
      </c>
      <c r="U28" s="22">
        <v>2962380.3259656811</v>
      </c>
      <c r="V28" s="22">
        <v>3335377.5726553947</v>
      </c>
      <c r="W28" s="22">
        <v>3755339.3987472332</v>
      </c>
      <c r="X28" s="22">
        <v>4228179.17689473</v>
      </c>
      <c r="Y28" s="22">
        <v>4760554.8403667752</v>
      </c>
      <c r="Z28" s="23">
        <v>3.5480153667569785E-2</v>
      </c>
      <c r="AA28" s="23">
        <v>4.30059440552178E-2</v>
      </c>
      <c r="AB28" s="23">
        <v>4.9939169667948625E-2</v>
      </c>
      <c r="AC28" s="23">
        <v>5.6292080330828262E-2</v>
      </c>
      <c r="AD28" s="23">
        <v>6.2076455283059342E-2</v>
      </c>
      <c r="AE28" s="23">
        <v>0.74767633692062474</v>
      </c>
      <c r="AF28" s="24">
        <v>59467354.632399999</v>
      </c>
      <c r="AG28" s="25">
        <f t="shared" si="2"/>
        <v>747.98076661976881</v>
      </c>
      <c r="AH28" s="25">
        <f t="shared" si="2"/>
        <v>731.33671914393312</v>
      </c>
      <c r="AI28" s="25">
        <f t="shared" si="2"/>
        <v>714.96381111493588</v>
      </c>
      <c r="AJ28" s="25">
        <f t="shared" si="2"/>
        <v>698.73907137838307</v>
      </c>
      <c r="AK28" s="25">
        <f t="shared" si="2"/>
        <v>682.54743836260707</v>
      </c>
      <c r="AL28" s="26">
        <f t="shared" si="3"/>
        <v>715.11356132392552</v>
      </c>
      <c r="AM28" s="26">
        <f t="shared" si="16"/>
        <v>682.54743836260707</v>
      </c>
      <c r="AN28" s="69"/>
      <c r="AO28" s="70"/>
      <c r="AP28" s="79">
        <f t="shared" si="4"/>
        <v>26236160.022328999</v>
      </c>
      <c r="AQ28" s="79">
        <f t="shared" si="5"/>
        <v>11909.831524208712</v>
      </c>
      <c r="AR28" s="84"/>
      <c r="AS28" s="63">
        <f>MAX($AP28-VLOOKUP($A28,'RE Generation'!$A$4:$M$52,'Mass Equivalents - States, Opt2'!AS$7-2016,0)-VLOOKUP('Mass Equivalents - States, Opt2'!$A28,'EE Avoided Generation'!$N$4:$S$52,'Mass Equivalents - States, Opt2'!AS$7-2018,0)-VLOOKUP($A28,'Under Construction Nuclear'!$B$5:$D$53,3,0),0)+U28+$T28+VLOOKUP('Mass Equivalents - States, Opt2'!$A28,'EE Avoided Generation'!$N$4:$S$52,'Mass Equivalents - States, Opt2'!AS$7-2018,0)</f>
        <v>28395839.474592559</v>
      </c>
      <c r="AT28" s="64">
        <f>MAX($AP28-VLOOKUP($A28,'RE Generation'!$A$4:$M$52,'Mass Equivalents - States, Opt2'!AT$7-2016,0)-VLOOKUP('Mass Equivalents - States, Opt2'!$A28,'EE Avoided Generation'!$N$4:$S$52,'Mass Equivalents - States, Opt2'!AT$7-2018,0)-VLOOKUP($A28,'Under Construction Nuclear'!$B$5:$D$53,3,0),0)+V28+$T28+VLOOKUP('Mass Equivalents - States, Opt2'!$A28,'EE Avoided Generation'!$N$4:$S$52,'Mass Equivalents - States, Opt2'!AT$7-2018,0)</f>
        <v>28395839.474592559</v>
      </c>
      <c r="AU28" s="64">
        <f>MAX($AP28-VLOOKUP($A28,'RE Generation'!$A$4:$M$52,'Mass Equivalents - States, Opt2'!AU$7-2016,0)-VLOOKUP('Mass Equivalents - States, Opt2'!$A28,'EE Avoided Generation'!$N$4:$S$52,'Mass Equivalents - States, Opt2'!AU$7-2018,0)-VLOOKUP($A28,'Under Construction Nuclear'!$B$5:$D$53,3,0),0)+W28+$T28+VLOOKUP('Mass Equivalents - States, Opt2'!$A28,'EE Avoided Generation'!$N$4:$S$52,'Mass Equivalents - States, Opt2'!AU$7-2018,0)</f>
        <v>28395839.474592559</v>
      </c>
      <c r="AV28" s="64">
        <f>MAX($AP28-VLOOKUP($A28,'RE Generation'!$A$4:$M$52,'Mass Equivalents - States, Opt2'!AV$7-2016,0)-VLOOKUP('Mass Equivalents - States, Opt2'!$A28,'EE Avoided Generation'!$N$4:$S$52,'Mass Equivalents - States, Opt2'!AV$7-2018,0)-VLOOKUP($A28,'Under Construction Nuclear'!$B$5:$D$53,3,0),0)+X28+$T28+VLOOKUP('Mass Equivalents - States, Opt2'!$A28,'EE Avoided Generation'!$N$4:$S$52,'Mass Equivalents - States, Opt2'!AV$7-2018,0)</f>
        <v>28395839.474592563</v>
      </c>
      <c r="AW28" s="65">
        <f>MAX($AP28-VLOOKUP($A28,'RE Generation'!$A$4:$M$52,'Mass Equivalents - States, Opt2'!AW$7-2016,0)-VLOOKUP('Mass Equivalents - States, Opt2'!$A28,'EE Avoided Generation'!$N$4:$S$52,'Mass Equivalents - States, Opt2'!AW$7-2018,0)-VLOOKUP($A28,'Under Construction Nuclear'!$B$5:$D$53,3,0),0)+Y28+$T28+VLOOKUP('Mass Equivalents - States, Opt2'!$A28,'EE Avoided Generation'!$N$4:$S$52,'Mass Equivalents - States, Opt2'!AW$7-2018,0)</f>
        <v>28395839.474592559</v>
      </c>
      <c r="AX28" s="29"/>
      <c r="AY28" s="71">
        <f t="shared" si="17"/>
        <v>9634.105550624432</v>
      </c>
      <c r="AZ28" s="72">
        <f t="shared" si="18"/>
        <v>9419.7276985087265</v>
      </c>
      <c r="BA28" s="72">
        <f t="shared" si="19"/>
        <v>9208.8421635305094</v>
      </c>
      <c r="BB28" s="72">
        <f t="shared" si="20"/>
        <v>8999.8650585980522</v>
      </c>
      <c r="BC28" s="72">
        <f t="shared" si="21"/>
        <v>8791.3143732429853</v>
      </c>
      <c r="BD28" s="75">
        <f t="shared" si="7"/>
        <v>9210.7709689009407</v>
      </c>
      <c r="BE28" s="76">
        <f t="shared" si="22"/>
        <v>8791.3143732429853</v>
      </c>
      <c r="BH28" s="63">
        <f>AS28+VLOOKUP($A28,'Incremental Demand for New Gen'!$AG$66:$AL$114,'Mass Equivalents - States, Opt2'!AS$7-2018,0)</f>
        <v>30389781.384089682</v>
      </c>
      <c r="BI28" s="64">
        <f>AT28+VLOOKUP($A28,'Incremental Demand for New Gen'!$AG$66:$AL$114,'Mass Equivalents - States, Opt2'!AT$7-2018,0)</f>
        <v>30643636.761849526</v>
      </c>
      <c r="BJ28" s="64">
        <f>AU28+VLOOKUP($A28,'Incremental Demand for New Gen'!$AG$66:$AL$114,'Mass Equivalents - States, Opt2'!AU$7-2018,0)</f>
        <v>30898531.188856646</v>
      </c>
      <c r="BK28" s="64">
        <f>AV28+VLOOKUP($A28,'Incremental Demand for New Gen'!$AG$66:$AL$114,'Mass Equivalents - States, Opt2'!AV$7-2018,0)</f>
        <v>31154468.918018155</v>
      </c>
      <c r="BL28" s="65">
        <f>AW28+VLOOKUP($A28,'Incremental Demand for New Gen'!$AG$66:$AL$114,'Mass Equivalents - States, Opt2'!AW$7-2018,0)</f>
        <v>31411454.219648596</v>
      </c>
      <c r="BM28" s="29"/>
      <c r="BN28" s="71">
        <f t="shared" si="23"/>
        <v>10310.607713383068</v>
      </c>
      <c r="BO28" s="72">
        <f t="shared" si="24"/>
        <v>10165.387582462943</v>
      </c>
      <c r="BP28" s="72">
        <f t="shared" si="25"/>
        <v>10020.471381298663</v>
      </c>
      <c r="BQ28" s="72">
        <f t="shared" si="26"/>
        <v>9874.1935939357845</v>
      </c>
      <c r="BR28" s="72">
        <f t="shared" si="27"/>
        <v>9724.9447128600186</v>
      </c>
      <c r="BS28" s="75">
        <f t="shared" si="9"/>
        <v>10019.120996788095</v>
      </c>
      <c r="BT28" s="76">
        <f t="shared" si="28"/>
        <v>9724.9447128600186</v>
      </c>
    </row>
    <row r="29" spans="1:72" x14ac:dyDescent="0.25">
      <c r="A29" s="16" t="s">
        <v>63</v>
      </c>
      <c r="B29" s="17">
        <v>2254.9510461</v>
      </c>
      <c r="C29" s="17">
        <v>810.28612769999995</v>
      </c>
      <c r="D29" s="17">
        <v>1586.13537</v>
      </c>
      <c r="E29" s="17">
        <v>3044925860.3700438</v>
      </c>
      <c r="F29" s="17">
        <v>53210780</v>
      </c>
      <c r="G29" s="17">
        <v>18499950.609700002</v>
      </c>
      <c r="H29" s="17">
        <v>774872</v>
      </c>
      <c r="I29" s="17">
        <v>4299172.8757443</v>
      </c>
      <c r="J29" s="17">
        <v>5008.3999999999996</v>
      </c>
      <c r="K29" s="17">
        <v>0</v>
      </c>
      <c r="L29" s="18">
        <f t="shared" si="10"/>
        <v>2164.7530042559997</v>
      </c>
      <c r="M29" s="19">
        <f t="shared" si="29"/>
        <v>43259680.982059337</v>
      </c>
      <c r="N29" s="19">
        <f t="shared" si="30"/>
        <v>629960.98764066759</v>
      </c>
      <c r="O29" s="19">
        <f t="shared" si="11"/>
        <v>28595960.639999997</v>
      </c>
      <c r="P29" s="19">
        <f t="shared" si="12"/>
        <v>3044925860.3700438</v>
      </c>
      <c r="Q29" s="19">
        <f t="shared" si="13"/>
        <v>4299172.8757443</v>
      </c>
      <c r="R29" s="20">
        <f t="shared" si="14"/>
        <v>0.4205128146485308</v>
      </c>
      <c r="S29" s="20">
        <f t="shared" si="15"/>
        <v>0.65</v>
      </c>
      <c r="T29" s="21">
        <v>1827908.7970816612</v>
      </c>
      <c r="U29" s="22">
        <v>4775710.4785206858</v>
      </c>
      <c r="V29" s="22">
        <v>5061373.8993692854</v>
      </c>
      <c r="W29" s="22">
        <v>5364124.5348591302</v>
      </c>
      <c r="X29" s="22">
        <v>5684984.4721140405</v>
      </c>
      <c r="Y29" s="22">
        <v>6025036.9353191201</v>
      </c>
      <c r="Z29" s="23">
        <v>3.5921390621420426E-2</v>
      </c>
      <c r="AA29" s="23">
        <v>4.3366739180419854E-2</v>
      </c>
      <c r="AB29" s="23">
        <v>5.0216121049475003E-2</v>
      </c>
      <c r="AC29" s="23">
        <v>5.6482946071661183E-2</v>
      </c>
      <c r="AD29" s="23">
        <v>6.2180116888052459E-2</v>
      </c>
      <c r="AE29" s="23">
        <v>1.0389198760429761</v>
      </c>
      <c r="AF29" s="24">
        <v>112690037.1441</v>
      </c>
      <c r="AG29" s="25">
        <f t="shared" si="2"/>
        <v>1382.2800893613748</v>
      </c>
      <c r="AH29" s="25">
        <f t="shared" si="2"/>
        <v>1364.7258409237641</v>
      </c>
      <c r="AI29" s="25">
        <f t="shared" si="2"/>
        <v>1348.3646644237645</v>
      </c>
      <c r="AJ29" s="25">
        <f t="shared" si="2"/>
        <v>1333.0897763120199</v>
      </c>
      <c r="AK29" s="25">
        <f t="shared" si="2"/>
        <v>1318.8043692836668</v>
      </c>
      <c r="AL29" s="26">
        <f t="shared" si="3"/>
        <v>1349.4529480609181</v>
      </c>
      <c r="AM29" s="26">
        <f t="shared" si="16"/>
        <v>1318.8043692836668</v>
      </c>
      <c r="AN29" s="69"/>
      <c r="AO29" s="70"/>
      <c r="AP29" s="79">
        <f t="shared" si="4"/>
        <v>76784775.485444292</v>
      </c>
      <c r="AQ29" s="79">
        <f t="shared" si="5"/>
        <v>63163.690392795463</v>
      </c>
      <c r="AR29" s="84"/>
      <c r="AS29" s="63">
        <f>MAX($AP29-VLOOKUP($A29,'RE Generation'!$A$4:$M$52,'Mass Equivalents - States, Opt2'!AS$7-2016,0)-VLOOKUP('Mass Equivalents - States, Opt2'!$A29,'EE Avoided Generation'!$N$4:$S$52,'Mass Equivalents - States, Opt2'!AS$7-2018,0)-VLOOKUP($A29,'Under Construction Nuclear'!$B$5:$D$53,3,0),0)+U29+$T29+VLOOKUP('Mass Equivalents - States, Opt2'!$A29,'EE Avoided Generation'!$N$4:$S$52,'Mass Equivalents - States, Opt2'!AS$7-2018,0)</f>
        <v>82398123.412525967</v>
      </c>
      <c r="AT29" s="64">
        <f>MAX($AP29-VLOOKUP($A29,'RE Generation'!$A$4:$M$52,'Mass Equivalents - States, Opt2'!AT$7-2016,0)-VLOOKUP('Mass Equivalents - States, Opt2'!$A29,'EE Avoided Generation'!$N$4:$S$52,'Mass Equivalents - States, Opt2'!AT$7-2018,0)-VLOOKUP($A29,'Under Construction Nuclear'!$B$5:$D$53,3,0),0)+V29+$T29+VLOOKUP('Mass Equivalents - States, Opt2'!$A29,'EE Avoided Generation'!$N$4:$S$52,'Mass Equivalents - States, Opt2'!AT$7-2018,0)</f>
        <v>82398123.412525952</v>
      </c>
      <c r="AU29" s="64">
        <f>MAX($AP29-VLOOKUP($A29,'RE Generation'!$A$4:$M$52,'Mass Equivalents - States, Opt2'!AU$7-2016,0)-VLOOKUP('Mass Equivalents - States, Opt2'!$A29,'EE Avoided Generation'!$N$4:$S$52,'Mass Equivalents - States, Opt2'!AU$7-2018,0)-VLOOKUP($A29,'Under Construction Nuclear'!$B$5:$D$53,3,0),0)+W29+$T29+VLOOKUP('Mass Equivalents - States, Opt2'!$A29,'EE Avoided Generation'!$N$4:$S$52,'Mass Equivalents - States, Opt2'!AU$7-2018,0)</f>
        <v>82398123.412525982</v>
      </c>
      <c r="AV29" s="64">
        <f>MAX($AP29-VLOOKUP($A29,'RE Generation'!$A$4:$M$52,'Mass Equivalents - States, Opt2'!AV$7-2016,0)-VLOOKUP('Mass Equivalents - States, Opt2'!$A29,'EE Avoided Generation'!$N$4:$S$52,'Mass Equivalents - States, Opt2'!AV$7-2018,0)-VLOOKUP($A29,'Under Construction Nuclear'!$B$5:$D$53,3,0),0)+X29+$T29+VLOOKUP('Mass Equivalents - States, Opt2'!$A29,'EE Avoided Generation'!$N$4:$S$52,'Mass Equivalents - States, Opt2'!AV$7-2018,0)</f>
        <v>82398123.412525952</v>
      </c>
      <c r="AW29" s="65">
        <f>MAX($AP29-VLOOKUP($A29,'RE Generation'!$A$4:$M$52,'Mass Equivalents - States, Opt2'!AW$7-2016,0)-VLOOKUP('Mass Equivalents - States, Opt2'!$A29,'EE Avoided Generation'!$N$4:$S$52,'Mass Equivalents - States, Opt2'!AW$7-2018,0)-VLOOKUP($A29,'Under Construction Nuclear'!$B$5:$D$53,3,0),0)+Y29+$T29+VLOOKUP('Mass Equivalents - States, Opt2'!$A29,'EE Avoided Generation'!$N$4:$S$52,'Mass Equivalents - States, Opt2'!AW$7-2018,0)</f>
        <v>82398123.412525967</v>
      </c>
      <c r="AX29" s="29"/>
      <c r="AY29" s="71">
        <f t="shared" si="17"/>
        <v>51663.001058629605</v>
      </c>
      <c r="AZ29" s="72">
        <f t="shared" si="18"/>
        <v>51006.907432890737</v>
      </c>
      <c r="BA29" s="72">
        <f t="shared" si="19"/>
        <v>50395.405114839989</v>
      </c>
      <c r="BB29" s="72">
        <f t="shared" si="20"/>
        <v>49824.503047479586</v>
      </c>
      <c r="BC29" s="72">
        <f t="shared" si="21"/>
        <v>49290.58303799024</v>
      </c>
      <c r="BD29" s="75">
        <f t="shared" si="7"/>
        <v>50436.079938366034</v>
      </c>
      <c r="BE29" s="76">
        <f t="shared" si="22"/>
        <v>49290.58303799024</v>
      </c>
      <c r="BH29" s="63">
        <f>AS29+VLOOKUP($A29,'Incremental Demand for New Gen'!$AG$66:$AL$114,'Mass Equivalents - States, Opt2'!AS$7-2018,0)</f>
        <v>85596049.737680793</v>
      </c>
      <c r="BI29" s="64">
        <f>AT29+VLOOKUP($A29,'Incremental Demand for New Gen'!$AG$66:$AL$114,'Mass Equivalents - States, Opt2'!AT$7-2018,0)</f>
        <v>86002056.364037752</v>
      </c>
      <c r="BJ29" s="64">
        <f>AU29+VLOOKUP($A29,'Incremental Demand for New Gen'!$AG$66:$AL$114,'Mass Equivalents - States, Opt2'!AU$7-2018,0)</f>
        <v>86409471.532879978</v>
      </c>
      <c r="BK29" s="64">
        <f>AV29+VLOOKUP($A29,'Incremental Demand for New Gen'!$AG$66:$AL$114,'Mass Equivalents - States, Opt2'!AV$7-2018,0)</f>
        <v>86818300.130807251</v>
      </c>
      <c r="BL29" s="65">
        <f>AW29+VLOOKUP($A29,'Incremental Demand for New Gen'!$AG$66:$AL$114,'Mass Equivalents - States, Opt2'!AW$7-2018,0)</f>
        <v>87228547.061372414</v>
      </c>
      <c r="BM29" s="29"/>
      <c r="BN29" s="71">
        <f t="shared" si="23"/>
        <v>53668.076711806163</v>
      </c>
      <c r="BO29" s="72">
        <f t="shared" si="24"/>
        <v>53237.849920886314</v>
      </c>
      <c r="BP29" s="72">
        <f t="shared" si="25"/>
        <v>52848.780327887143</v>
      </c>
      <c r="BQ29" s="72">
        <f t="shared" si="26"/>
        <v>52497.295815681457</v>
      </c>
      <c r="BR29" s="72">
        <f t="shared" si="27"/>
        <v>52180.143966218166</v>
      </c>
      <c r="BS29" s="75">
        <f t="shared" si="9"/>
        <v>52886.429348495847</v>
      </c>
      <c r="BT29" s="76">
        <f t="shared" si="28"/>
        <v>52180.143966218166</v>
      </c>
    </row>
    <row r="30" spans="1:72" x14ac:dyDescent="0.25">
      <c r="A30" s="16" t="s">
        <v>64</v>
      </c>
      <c r="B30" s="17">
        <v>2317.9822393999998</v>
      </c>
      <c r="C30" s="17">
        <v>862.64948679999998</v>
      </c>
      <c r="D30" s="17">
        <v>1590.7834353999999</v>
      </c>
      <c r="E30" s="17">
        <v>83925611.73884958</v>
      </c>
      <c r="F30" s="17">
        <v>21989584</v>
      </c>
      <c r="G30" s="17">
        <v>5715510.0219999999</v>
      </c>
      <c r="H30" s="17">
        <v>29243</v>
      </c>
      <c r="I30" s="17">
        <v>97924.447742399992</v>
      </c>
      <c r="J30" s="17">
        <v>2768.2</v>
      </c>
      <c r="K30" s="17">
        <v>0</v>
      </c>
      <c r="L30" s="18">
        <f t="shared" si="10"/>
        <v>2225.2629498239999</v>
      </c>
      <c r="M30" s="19">
        <f t="shared" si="29"/>
        <v>11913179.478075849</v>
      </c>
      <c r="N30" s="19">
        <f t="shared" si="30"/>
        <v>15842.823924153001</v>
      </c>
      <c r="O30" s="19">
        <f t="shared" si="11"/>
        <v>15805314.719999999</v>
      </c>
      <c r="P30" s="19">
        <f t="shared" si="12"/>
        <v>83925611.73884958</v>
      </c>
      <c r="Q30" s="19">
        <f t="shared" si="13"/>
        <v>97924.447742399992</v>
      </c>
      <c r="R30" s="20">
        <f t="shared" si="14"/>
        <v>0.2350526756420071</v>
      </c>
      <c r="S30" s="20">
        <f t="shared" si="15"/>
        <v>0.65</v>
      </c>
      <c r="T30" s="21">
        <v>840189.54411773931</v>
      </c>
      <c r="U30" s="22">
        <v>7888544.3585652001</v>
      </c>
      <c r="V30" s="22">
        <v>7888544.3585652001</v>
      </c>
      <c r="W30" s="22">
        <v>7888544.3585652001</v>
      </c>
      <c r="X30" s="22">
        <v>7888544.3585652001</v>
      </c>
      <c r="Y30" s="22">
        <v>7888544.3585652001</v>
      </c>
      <c r="Z30" s="23">
        <v>3.581737437111495E-2</v>
      </c>
      <c r="AA30" s="23">
        <v>4.3177699626667981E-2</v>
      </c>
      <c r="AB30" s="23">
        <v>4.9934091408042502E-2</v>
      </c>
      <c r="AC30" s="23">
        <v>5.6102295936979664E-2</v>
      </c>
      <c r="AD30" s="23">
        <v>6.1697468465434599E-2</v>
      </c>
      <c r="AE30" s="23">
        <v>0.82836500905863464</v>
      </c>
      <c r="AF30" s="24">
        <v>73094473.978499994</v>
      </c>
      <c r="AG30" s="25">
        <f t="shared" si="2"/>
        <v>1039.3453491510932</v>
      </c>
      <c r="AH30" s="25">
        <f t="shared" si="2"/>
        <v>1027.5217362554968</v>
      </c>
      <c r="AI30" s="25">
        <f t="shared" si="2"/>
        <v>1016.9026409330053</v>
      </c>
      <c r="AJ30" s="25">
        <f t="shared" si="2"/>
        <v>1007.3978739899393</v>
      </c>
      <c r="AK30" s="25">
        <f t="shared" si="2"/>
        <v>998.92850179588561</v>
      </c>
      <c r="AL30" s="26">
        <f t="shared" si="3"/>
        <v>1018.0192204250841</v>
      </c>
      <c r="AM30" s="26">
        <f t="shared" si="16"/>
        <v>998.92850179588561</v>
      </c>
      <c r="AN30" s="69"/>
      <c r="AO30" s="70"/>
      <c r="AP30" s="79">
        <f t="shared" si="4"/>
        <v>27832261.469742399</v>
      </c>
      <c r="AQ30" s="79">
        <f t="shared" si="5"/>
        <v>25415.895638619448</v>
      </c>
      <c r="AR30" s="84"/>
      <c r="AS30" s="63">
        <f>MAX($AP30-VLOOKUP($A30,'RE Generation'!$A$4:$M$52,'Mass Equivalents - States, Opt2'!AS$7-2016,0)-VLOOKUP('Mass Equivalents - States, Opt2'!$A30,'EE Avoided Generation'!$N$4:$S$52,'Mass Equivalents - States, Opt2'!AS$7-2018,0)-VLOOKUP($A30,'Under Construction Nuclear'!$B$5:$D$53,3,0),0)+U30+$T30+VLOOKUP('Mass Equivalents - States, Opt2'!$A30,'EE Avoided Generation'!$N$4:$S$52,'Mass Equivalents - States, Opt2'!AS$7-2018,0)</f>
        <v>36560995.372425333</v>
      </c>
      <c r="AT30" s="64">
        <f>MAX($AP30-VLOOKUP($A30,'RE Generation'!$A$4:$M$52,'Mass Equivalents - States, Opt2'!AT$7-2016,0)-VLOOKUP('Mass Equivalents - States, Opt2'!$A30,'EE Avoided Generation'!$N$4:$S$52,'Mass Equivalents - States, Opt2'!AT$7-2018,0)-VLOOKUP($A30,'Under Construction Nuclear'!$B$5:$D$53,3,0),0)+V30+$T30+VLOOKUP('Mass Equivalents - States, Opt2'!$A30,'EE Avoided Generation'!$N$4:$S$52,'Mass Equivalents - States, Opt2'!AT$7-2018,0)</f>
        <v>36560995.37242534</v>
      </c>
      <c r="AU30" s="64">
        <f>MAX($AP30-VLOOKUP($A30,'RE Generation'!$A$4:$M$52,'Mass Equivalents - States, Opt2'!AU$7-2016,0)-VLOOKUP('Mass Equivalents - States, Opt2'!$A30,'EE Avoided Generation'!$N$4:$S$52,'Mass Equivalents - States, Opt2'!AU$7-2018,0)-VLOOKUP($A30,'Under Construction Nuclear'!$B$5:$D$53,3,0),0)+W30+$T30+VLOOKUP('Mass Equivalents - States, Opt2'!$A30,'EE Avoided Generation'!$N$4:$S$52,'Mass Equivalents - States, Opt2'!AU$7-2018,0)</f>
        <v>36560995.372425333</v>
      </c>
      <c r="AV30" s="64">
        <f>MAX($AP30-VLOOKUP($A30,'RE Generation'!$A$4:$M$52,'Mass Equivalents - States, Opt2'!AV$7-2016,0)-VLOOKUP('Mass Equivalents - States, Opt2'!$A30,'EE Avoided Generation'!$N$4:$S$52,'Mass Equivalents - States, Opt2'!AV$7-2018,0)-VLOOKUP($A30,'Under Construction Nuclear'!$B$5:$D$53,3,0),0)+X30+$T30+VLOOKUP('Mass Equivalents - States, Opt2'!$A30,'EE Avoided Generation'!$N$4:$S$52,'Mass Equivalents - States, Opt2'!AV$7-2018,0)</f>
        <v>36560995.37242534</v>
      </c>
      <c r="AW30" s="65">
        <f>MAX($AP30-VLOOKUP($A30,'RE Generation'!$A$4:$M$52,'Mass Equivalents - States, Opt2'!AW$7-2016,0)-VLOOKUP('Mass Equivalents - States, Opt2'!$A30,'EE Avoided Generation'!$N$4:$S$52,'Mass Equivalents - States, Opt2'!AW$7-2018,0)-VLOOKUP($A30,'Under Construction Nuclear'!$B$5:$D$53,3,0),0)+Y30+$T30+VLOOKUP('Mass Equivalents - States, Opt2'!$A30,'EE Avoided Generation'!$N$4:$S$52,'Mass Equivalents - States, Opt2'!AW$7-2018,0)</f>
        <v>36560995.372425333</v>
      </c>
      <c r="AX30" s="29"/>
      <c r="AY30" s="71">
        <f t="shared" si="17"/>
        <v>17236.303989197644</v>
      </c>
      <c r="AZ30" s="72">
        <f t="shared" si="18"/>
        <v>17040.223459963017</v>
      </c>
      <c r="BA30" s="72">
        <f t="shared" si="19"/>
        <v>16864.118419209979</v>
      </c>
      <c r="BB30" s="72">
        <f t="shared" si="20"/>
        <v>16706.493186643187</v>
      </c>
      <c r="BC30" s="72">
        <f t="shared" si="21"/>
        <v>16566.038742070356</v>
      </c>
      <c r="BD30" s="75">
        <f t="shared" si="7"/>
        <v>16882.635559416834</v>
      </c>
      <c r="BE30" s="76">
        <f t="shared" si="22"/>
        <v>16566.038742070356</v>
      </c>
      <c r="BH30" s="63">
        <f>AS30+VLOOKUP($A30,'Incremental Demand for New Gen'!$AG$66:$AL$114,'Mass Equivalents - States, Opt2'!AS$7-2018,0)</f>
        <v>40122724.813238069</v>
      </c>
      <c r="BI30" s="64">
        <f>AT30+VLOOKUP($A30,'Incremental Demand for New Gen'!$AG$66:$AL$114,'Mass Equivalents - States, Opt2'!AT$7-2018,0)</f>
        <v>40579843.411866747</v>
      </c>
      <c r="BJ30" s="64">
        <f>AU30+VLOOKUP($A30,'Incremental Demand for New Gen'!$AG$66:$AL$114,'Mass Equivalents - States, Opt2'!AU$7-2018,0)</f>
        <v>41039659.191798352</v>
      </c>
      <c r="BK30" s="64">
        <f>AV30+VLOOKUP($A30,'Incremental Demand for New Gen'!$AG$66:$AL$114,'Mass Equivalents - States, Opt2'!AV$7-2018,0)</f>
        <v>41502188.067473918</v>
      </c>
      <c r="BL30" s="65">
        <f>AW30+VLOOKUP($A30,'Incremental Demand for New Gen'!$AG$66:$AL$114,'Mass Equivalents - States, Opt2'!AW$7-2018,0)</f>
        <v>41967446.047235996</v>
      </c>
      <c r="BM30" s="29"/>
      <c r="BN30" s="71">
        <f t="shared" si="23"/>
        <v>18915.444579976662</v>
      </c>
      <c r="BO30" s="72">
        <f t="shared" si="24"/>
        <v>18913.314385035741</v>
      </c>
      <c r="BP30" s="72">
        <f t="shared" si="25"/>
        <v>18929.946120025321</v>
      </c>
      <c r="BQ30" s="72">
        <f t="shared" si="26"/>
        <v>18964.363938050028</v>
      </c>
      <c r="BR30" s="72">
        <f t="shared" si="27"/>
        <v>19015.738768660867</v>
      </c>
      <c r="BS30" s="75">
        <f t="shared" si="9"/>
        <v>18947.761558349725</v>
      </c>
      <c r="BT30" s="76">
        <f t="shared" si="28"/>
        <v>19015.738768660867</v>
      </c>
    </row>
    <row r="31" spans="1:72" x14ac:dyDescent="0.25">
      <c r="A31" s="16" t="s">
        <v>65</v>
      </c>
      <c r="B31" s="17">
        <v>2493.9278509999999</v>
      </c>
      <c r="C31" s="17">
        <v>848.17551279999998</v>
      </c>
      <c r="D31" s="17">
        <v>1388.2063624</v>
      </c>
      <c r="E31" s="17">
        <v>0</v>
      </c>
      <c r="F31" s="17">
        <v>7503114</v>
      </c>
      <c r="G31" s="17">
        <v>31813676.742600001</v>
      </c>
      <c r="H31" s="17">
        <v>4402778</v>
      </c>
      <c r="I31" s="17">
        <v>0</v>
      </c>
      <c r="J31" s="17">
        <v>7894.4</v>
      </c>
      <c r="K31" s="17">
        <v>150</v>
      </c>
      <c r="L31" s="18">
        <f t="shared" si="10"/>
        <v>2394.1707369599999</v>
      </c>
      <c r="M31" s="19">
        <f t="shared" si="29"/>
        <v>0</v>
      </c>
      <c r="N31" s="19">
        <f t="shared" si="30"/>
        <v>0</v>
      </c>
      <c r="O31" s="19">
        <f t="shared" si="11"/>
        <v>43719568.742600001</v>
      </c>
      <c r="P31" s="19">
        <f>0.55*8784*C31*K31+4703731231</f>
        <v>5318387061.6159039</v>
      </c>
      <c r="Q31" s="19">
        <f>K31*8784*0.55+5836968</f>
        <v>6561648</v>
      </c>
      <c r="R31" s="20">
        <f t="shared" si="14"/>
        <v>0.45877781534389189</v>
      </c>
      <c r="S31" s="20">
        <f t="shared" si="15"/>
        <v>0.62856990194347262</v>
      </c>
      <c r="T31" s="21">
        <v>631874.26957287942</v>
      </c>
      <c r="U31" s="22">
        <v>2498625.7029471667</v>
      </c>
      <c r="V31" s="22">
        <v>2834265.4881885191</v>
      </c>
      <c r="W31" s="22">
        <v>3214991.6844533328</v>
      </c>
      <c r="X31" s="22">
        <v>3646860.7384096175</v>
      </c>
      <c r="Y31" s="22">
        <v>4136742.657738775</v>
      </c>
      <c r="Z31" s="23">
        <v>1.1168492206419823E-2</v>
      </c>
      <c r="AA31" s="23">
        <v>1.7064547893711084E-2</v>
      </c>
      <c r="AB31" s="23">
        <v>2.3993279272325543E-2</v>
      </c>
      <c r="AC31" s="23">
        <v>3.1847025911548976E-2</v>
      </c>
      <c r="AD31" s="23">
        <v>3.933276239609651E-2</v>
      </c>
      <c r="AE31" s="23">
        <v>0.9863437987582192</v>
      </c>
      <c r="AF31" s="24">
        <v>52021589.392499998</v>
      </c>
      <c r="AG31" s="25">
        <f t="shared" si="2"/>
        <v>785.41119666723091</v>
      </c>
      <c r="AH31" s="25">
        <f t="shared" si="2"/>
        <v>776.2350465670163</v>
      </c>
      <c r="AI31" s="25">
        <f t="shared" si="2"/>
        <v>765.91153991024123</v>
      </c>
      <c r="AJ31" s="25">
        <f t="shared" si="2"/>
        <v>754.5326804272687</v>
      </c>
      <c r="AK31" s="25">
        <f t="shared" si="2"/>
        <v>742.97718772660573</v>
      </c>
      <c r="AL31" s="26">
        <f t="shared" si="3"/>
        <v>765.01353025967251</v>
      </c>
      <c r="AM31" s="26">
        <f t="shared" si="16"/>
        <v>742.97718772660573</v>
      </c>
      <c r="AN31" s="69"/>
      <c r="AO31" s="70"/>
      <c r="AP31" s="79">
        <f t="shared" si="4"/>
        <v>50281216.742600001</v>
      </c>
      <c r="AQ31" s="79">
        <f t="shared" si="5"/>
        <v>23499.637575124492</v>
      </c>
      <c r="AR31" s="84"/>
      <c r="AS31" s="63">
        <f>MAX($AP31-VLOOKUP($A31,'RE Generation'!$A$4:$M$52,'Mass Equivalents - States, Opt2'!AS$7-2016,0)-VLOOKUP('Mass Equivalents - States, Opt2'!$A31,'EE Avoided Generation'!$N$4:$S$52,'Mass Equivalents - States, Opt2'!AS$7-2018,0)-VLOOKUP($A31,'Under Construction Nuclear'!$B$5:$D$53,3,0),0)+U31+$T31+VLOOKUP('Mass Equivalents - States, Opt2'!$A31,'EE Avoided Generation'!$N$4:$S$52,'Mass Equivalents - States, Opt2'!AS$7-2018,0)</f>
        <v>52422280.952172883</v>
      </c>
      <c r="AT31" s="64">
        <f>MAX($AP31-VLOOKUP($A31,'RE Generation'!$A$4:$M$52,'Mass Equivalents - States, Opt2'!AT$7-2016,0)-VLOOKUP('Mass Equivalents - States, Opt2'!$A31,'EE Avoided Generation'!$N$4:$S$52,'Mass Equivalents - States, Opt2'!AT$7-2018,0)-VLOOKUP($A31,'Under Construction Nuclear'!$B$5:$D$53,3,0),0)+V31+$T31+VLOOKUP('Mass Equivalents - States, Opt2'!$A31,'EE Avoided Generation'!$N$4:$S$52,'Mass Equivalents - States, Opt2'!AT$7-2018,0)</f>
        <v>52422280.952172875</v>
      </c>
      <c r="AU31" s="64">
        <f>MAX($AP31-VLOOKUP($A31,'RE Generation'!$A$4:$M$52,'Mass Equivalents - States, Opt2'!AU$7-2016,0)-VLOOKUP('Mass Equivalents - States, Opt2'!$A31,'EE Avoided Generation'!$N$4:$S$52,'Mass Equivalents - States, Opt2'!AU$7-2018,0)-VLOOKUP($A31,'Under Construction Nuclear'!$B$5:$D$53,3,0),0)+W31+$T31+VLOOKUP('Mass Equivalents - States, Opt2'!$A31,'EE Avoided Generation'!$N$4:$S$52,'Mass Equivalents - States, Opt2'!AU$7-2018,0)</f>
        <v>52422280.952172875</v>
      </c>
      <c r="AV31" s="64">
        <f>MAX($AP31-VLOOKUP($A31,'RE Generation'!$A$4:$M$52,'Mass Equivalents - States, Opt2'!AV$7-2016,0)-VLOOKUP('Mass Equivalents - States, Opt2'!$A31,'EE Avoided Generation'!$N$4:$S$52,'Mass Equivalents - States, Opt2'!AV$7-2018,0)-VLOOKUP($A31,'Under Construction Nuclear'!$B$5:$D$53,3,0),0)+X31+$T31+VLOOKUP('Mass Equivalents - States, Opt2'!$A31,'EE Avoided Generation'!$N$4:$S$52,'Mass Equivalents - States, Opt2'!AV$7-2018,0)</f>
        <v>52422280.952172875</v>
      </c>
      <c r="AW31" s="65">
        <f>MAX($AP31-VLOOKUP($A31,'RE Generation'!$A$4:$M$52,'Mass Equivalents - States, Opt2'!AW$7-2016,0)-VLOOKUP('Mass Equivalents - States, Opt2'!$A31,'EE Avoided Generation'!$N$4:$S$52,'Mass Equivalents - States, Opt2'!AW$7-2018,0)-VLOOKUP($A31,'Under Construction Nuclear'!$B$5:$D$53,3,0),0)+Y31+$T31+VLOOKUP('Mass Equivalents - States, Opt2'!$A31,'EE Avoided Generation'!$N$4:$S$52,'Mass Equivalents - States, Opt2'!AW$7-2018,0)</f>
        <v>52422280.952172875</v>
      </c>
      <c r="AX31" s="29"/>
      <c r="AY31" s="71">
        <f t="shared" si="17"/>
        <v>18675.801913559659</v>
      </c>
      <c r="AZ31" s="72">
        <f t="shared" si="18"/>
        <v>18457.607976004536</v>
      </c>
      <c r="BA31" s="72">
        <f t="shared" si="19"/>
        <v>18212.131764061851</v>
      </c>
      <c r="BB31" s="72">
        <f t="shared" si="20"/>
        <v>17941.560976927707</v>
      </c>
      <c r="BC31" s="72">
        <f t="shared" si="21"/>
        <v>17666.790138917098</v>
      </c>
      <c r="BD31" s="75">
        <f t="shared" si="7"/>
        <v>18190.778553894172</v>
      </c>
      <c r="BE31" s="76">
        <f t="shared" si="22"/>
        <v>17666.790138917098</v>
      </c>
      <c r="BH31" s="63">
        <f>AS31+VLOOKUP($A31,'Incremental Demand for New Gen'!$AG$66:$AL$114,'Mass Equivalents - States, Opt2'!AS$7-2018,0)</f>
        <v>56042464.376657076</v>
      </c>
      <c r="BI31" s="64">
        <f>AT31+VLOOKUP($A31,'Incremental Demand for New Gen'!$AG$66:$AL$114,'Mass Equivalents - States, Opt2'!AT$7-2018,0)</f>
        <v>56610200.873962887</v>
      </c>
      <c r="BJ31" s="64">
        <f>AU31+VLOOKUP($A31,'Incremental Demand for New Gen'!$AG$66:$AL$114,'Mass Equivalents - States, Opt2'!AU$7-2018,0)</f>
        <v>57183651.938681856</v>
      </c>
      <c r="BK31" s="64">
        <f>AV31+VLOOKUP($A31,'Incremental Demand for New Gen'!$AG$66:$AL$114,'Mass Equivalents - States, Opt2'!AV$7-2018,0)</f>
        <v>57762875.090950295</v>
      </c>
      <c r="BL31" s="65">
        <f>AW31+VLOOKUP($A31,'Incremental Demand for New Gen'!$AG$66:$AL$114,'Mass Equivalents - States, Opt2'!AW$7-2018,0)</f>
        <v>58347928.429875046</v>
      </c>
      <c r="BM31" s="29"/>
      <c r="BN31" s="71">
        <f t="shared" si="23"/>
        <v>19965.517418081527</v>
      </c>
      <c r="BO31" s="72">
        <f t="shared" si="24"/>
        <v>19932.152439680642</v>
      </c>
      <c r="BP31" s="72">
        <f t="shared" si="25"/>
        <v>19866.289389576013</v>
      </c>
      <c r="BQ31" s="72">
        <f t="shared" si="26"/>
        <v>19769.382919305932</v>
      </c>
      <c r="BR31" s="72">
        <f t="shared" si="27"/>
        <v>19663.787761383745</v>
      </c>
      <c r="BS31" s="75">
        <f t="shared" si="9"/>
        <v>19839.425985605572</v>
      </c>
      <c r="BT31" s="76">
        <f t="shared" si="28"/>
        <v>19663.787761383745</v>
      </c>
    </row>
    <row r="32" spans="1:72" x14ac:dyDescent="0.25">
      <c r="A32" s="16" t="s">
        <v>66</v>
      </c>
      <c r="B32" s="17">
        <v>2084.5587934</v>
      </c>
      <c r="C32" s="17">
        <v>889.72164320000002</v>
      </c>
      <c r="D32" s="17">
        <v>0</v>
      </c>
      <c r="E32" s="17">
        <v>0</v>
      </c>
      <c r="F32" s="17">
        <v>72939512</v>
      </c>
      <c r="G32" s="17">
        <v>4854569.0000999998</v>
      </c>
      <c r="H32" s="17">
        <v>0</v>
      </c>
      <c r="I32" s="17">
        <v>0</v>
      </c>
      <c r="J32" s="17">
        <v>2078.6999999999998</v>
      </c>
      <c r="K32" s="17">
        <v>0</v>
      </c>
      <c r="L32" s="18">
        <f t="shared" si="10"/>
        <v>2001.1764416639999</v>
      </c>
      <c r="M32" s="19">
        <f t="shared" si="29"/>
        <v>65925535.480100006</v>
      </c>
      <c r="N32" s="19">
        <f t="shared" si="30"/>
        <v>0</v>
      </c>
      <c r="O32" s="19">
        <f t="shared" si="11"/>
        <v>11868545.519999998</v>
      </c>
      <c r="P32" s="19">
        <f t="shared" si="12"/>
        <v>0</v>
      </c>
      <c r="Q32" s="19">
        <f t="shared" si="13"/>
        <v>0</v>
      </c>
      <c r="R32" s="20">
        <f t="shared" si="14"/>
        <v>0.26586828560817621</v>
      </c>
      <c r="S32" s="20">
        <f t="shared" si="15"/>
        <v>0.65</v>
      </c>
      <c r="T32" s="21">
        <v>549656.71110506309</v>
      </c>
      <c r="U32" s="22">
        <v>1638287.3021962619</v>
      </c>
      <c r="V32" s="22">
        <v>1736282.9317854273</v>
      </c>
      <c r="W32" s="22">
        <v>1840140.258163491</v>
      </c>
      <c r="X32" s="22">
        <v>1950209.903999944</v>
      </c>
      <c r="Y32" s="22">
        <v>2066863.4647748449</v>
      </c>
      <c r="Z32" s="23">
        <v>1.2913626069140456E-2</v>
      </c>
      <c r="AA32" s="23">
        <v>1.9210557394602978E-2</v>
      </c>
      <c r="AB32" s="23">
        <v>2.6529923492430111E-2</v>
      </c>
      <c r="AC32" s="23">
        <v>3.4574688893090913E-2</v>
      </c>
      <c r="AD32" s="23">
        <v>4.2001064895854659E-2</v>
      </c>
      <c r="AE32" s="23">
        <v>0.99471654687004885</v>
      </c>
      <c r="AF32" s="24">
        <v>88626254.460899994</v>
      </c>
      <c r="AG32" s="25">
        <f t="shared" si="2"/>
        <v>1756.5028903162072</v>
      </c>
      <c r="AH32" s="25">
        <f t="shared" si="2"/>
        <v>1742.4738115085361</v>
      </c>
      <c r="AI32" s="25">
        <f t="shared" si="2"/>
        <v>1726.6561216248822</v>
      </c>
      <c r="AJ32" s="25">
        <f t="shared" si="2"/>
        <v>1709.6825036773955</v>
      </c>
      <c r="AK32" s="25">
        <f t="shared" si="2"/>
        <v>1694.0041300706168</v>
      </c>
      <c r="AL32" s="26">
        <f t="shared" si="3"/>
        <v>1725.8638914395274</v>
      </c>
      <c r="AM32" s="26">
        <f t="shared" si="16"/>
        <v>1694.0041300706168</v>
      </c>
      <c r="AN32" s="69"/>
      <c r="AO32" s="70"/>
      <c r="AP32" s="79">
        <f t="shared" si="4"/>
        <v>77794081.000100002</v>
      </c>
      <c r="AQ32" s="79">
        <f t="shared" si="5"/>
        <v>70926.470881014233</v>
      </c>
      <c r="AR32" s="84"/>
      <c r="AS32" s="63">
        <f>MAX($AP32-VLOOKUP($A32,'RE Generation'!$A$4:$M$52,'Mass Equivalents - States, Opt2'!AS$7-2016,0)-VLOOKUP('Mass Equivalents - States, Opt2'!$A32,'EE Avoided Generation'!$N$4:$S$52,'Mass Equivalents - States, Opt2'!AS$7-2018,0)-VLOOKUP($A32,'Under Construction Nuclear'!$B$5:$D$53,3,0),0)+U32+$T32+VLOOKUP('Mass Equivalents - States, Opt2'!$A32,'EE Avoided Generation'!$N$4:$S$52,'Mass Equivalents - States, Opt2'!AS$7-2018,0)</f>
        <v>79642316.611205071</v>
      </c>
      <c r="AT32" s="64">
        <f>MAX($AP32-VLOOKUP($A32,'RE Generation'!$A$4:$M$52,'Mass Equivalents - States, Opt2'!AT$7-2016,0)-VLOOKUP('Mass Equivalents - States, Opt2'!$A32,'EE Avoided Generation'!$N$4:$S$52,'Mass Equivalents - States, Opt2'!AT$7-2018,0)-VLOOKUP($A32,'Under Construction Nuclear'!$B$5:$D$53,3,0),0)+V32+$T32+VLOOKUP('Mass Equivalents - States, Opt2'!$A32,'EE Avoided Generation'!$N$4:$S$52,'Mass Equivalents - States, Opt2'!AT$7-2018,0)</f>
        <v>79642316.611205071</v>
      </c>
      <c r="AU32" s="64">
        <f>MAX($AP32-VLOOKUP($A32,'RE Generation'!$A$4:$M$52,'Mass Equivalents - States, Opt2'!AU$7-2016,0)-VLOOKUP('Mass Equivalents - States, Opt2'!$A32,'EE Avoided Generation'!$N$4:$S$52,'Mass Equivalents - States, Opt2'!AU$7-2018,0)-VLOOKUP($A32,'Under Construction Nuclear'!$B$5:$D$53,3,0),0)+W32+$T32+VLOOKUP('Mass Equivalents - States, Opt2'!$A32,'EE Avoided Generation'!$N$4:$S$52,'Mass Equivalents - States, Opt2'!AU$7-2018,0)</f>
        <v>79642316.611205071</v>
      </c>
      <c r="AV32" s="64">
        <f>MAX($AP32-VLOOKUP($A32,'RE Generation'!$A$4:$M$52,'Mass Equivalents - States, Opt2'!AV$7-2016,0)-VLOOKUP('Mass Equivalents - States, Opt2'!$A32,'EE Avoided Generation'!$N$4:$S$52,'Mass Equivalents - States, Opt2'!AV$7-2018,0)-VLOOKUP($A32,'Under Construction Nuclear'!$B$5:$D$53,3,0),0)+X32+$T32+VLOOKUP('Mass Equivalents - States, Opt2'!$A32,'EE Avoided Generation'!$N$4:$S$52,'Mass Equivalents - States, Opt2'!AV$7-2018,0)</f>
        <v>79642316.611205056</v>
      </c>
      <c r="AW32" s="65">
        <f>MAX($AP32-VLOOKUP($A32,'RE Generation'!$A$4:$M$52,'Mass Equivalents - States, Opt2'!AW$7-2016,0)-VLOOKUP('Mass Equivalents - States, Opt2'!$A32,'EE Avoided Generation'!$N$4:$S$52,'Mass Equivalents - States, Opt2'!AW$7-2018,0)-VLOOKUP($A32,'Under Construction Nuclear'!$B$5:$D$53,3,0),0)+Y32+$T32+VLOOKUP('Mass Equivalents - States, Opt2'!$A32,'EE Avoided Generation'!$N$4:$S$52,'Mass Equivalents - States, Opt2'!AW$7-2018,0)</f>
        <v>79642316.611205071</v>
      </c>
      <c r="AX32" s="29"/>
      <c r="AY32" s="71">
        <f t="shared" si="17"/>
        <v>63454.000834184662</v>
      </c>
      <c r="AZ32" s="72">
        <f t="shared" si="18"/>
        <v>62947.197695247298</v>
      </c>
      <c r="BA32" s="72">
        <f t="shared" si="19"/>
        <v>62375.780641164587</v>
      </c>
      <c r="BB32" s="72">
        <f t="shared" si="20"/>
        <v>61762.605466027206</v>
      </c>
      <c r="BC32" s="72">
        <f t="shared" si="21"/>
        <v>61196.221238931474</v>
      </c>
      <c r="BD32" s="75">
        <f t="shared" si="7"/>
        <v>62347.161175111039</v>
      </c>
      <c r="BE32" s="76">
        <f t="shared" si="22"/>
        <v>61196.221238931474</v>
      </c>
      <c r="BH32" s="63">
        <f>AS32+VLOOKUP($A32,'Incremental Demand for New Gen'!$AG$66:$AL$114,'Mass Equivalents - States, Opt2'!AS$7-2018,0)</f>
        <v>82429779.738132983</v>
      </c>
      <c r="BI32" s="64">
        <f>AT32+VLOOKUP($A32,'Incremental Demand for New Gen'!$AG$66:$AL$114,'Mass Equivalents - States, Opt2'!AT$7-2018,0)</f>
        <v>82784313.883153334</v>
      </c>
      <c r="BJ32" s="64">
        <f>AU32+VLOOKUP($A32,'Incremental Demand for New Gen'!$AG$66:$AL$114,'Mass Equivalents - States, Opt2'!AU$7-2018,0)</f>
        <v>83140221.409092426</v>
      </c>
      <c r="BK32" s="64">
        <f>AV32+VLOOKUP($A32,'Incremental Demand for New Gen'!$AG$66:$AL$114,'Mass Equivalents - States, Opt2'!AV$7-2018,0)</f>
        <v>83497507.636101127</v>
      </c>
      <c r="BL32" s="65">
        <f>AW32+VLOOKUP($A32,'Incremental Demand for New Gen'!$AG$66:$AL$114,'Mass Equivalents - States, Opt2'!AW$7-2018,0)</f>
        <v>83856177.904939398</v>
      </c>
      <c r="BM32" s="29"/>
      <c r="BN32" s="71">
        <f t="shared" si="23"/>
        <v>65674.876558390519</v>
      </c>
      <c r="BO32" s="72">
        <f t="shared" si="24"/>
        <v>65430.549911139882</v>
      </c>
      <c r="BP32" s="72">
        <f t="shared" si="25"/>
        <v>65115.336089329474</v>
      </c>
      <c r="BQ32" s="72">
        <f t="shared" si="26"/>
        <v>64752.305570171651</v>
      </c>
      <c r="BR32" s="72">
        <f t="shared" si="27"/>
        <v>64434.102794542261</v>
      </c>
      <c r="BS32" s="75">
        <f t="shared" si="9"/>
        <v>65081.434184714759</v>
      </c>
      <c r="BT32" s="76">
        <f t="shared" si="28"/>
        <v>64434.102794542261</v>
      </c>
    </row>
    <row r="33" spans="1:72" x14ac:dyDescent="0.25">
      <c r="A33" s="16" t="s">
        <v>67</v>
      </c>
      <c r="B33" s="17">
        <v>2437.9229869000001</v>
      </c>
      <c r="C33" s="17">
        <v>0</v>
      </c>
      <c r="D33" s="17">
        <v>0</v>
      </c>
      <c r="E33" s="17">
        <v>637810628.83775425</v>
      </c>
      <c r="F33" s="17">
        <v>14447406</v>
      </c>
      <c r="G33" s="17">
        <v>0</v>
      </c>
      <c r="H33" s="17">
        <v>0</v>
      </c>
      <c r="I33" s="17">
        <v>257516.70187340002</v>
      </c>
      <c r="J33" s="17">
        <v>0</v>
      </c>
      <c r="K33" s="17">
        <v>0</v>
      </c>
      <c r="L33" s="18">
        <f t="shared" si="10"/>
        <v>2340.406067424</v>
      </c>
      <c r="M33" s="19">
        <f t="shared" si="29"/>
        <v>14447406</v>
      </c>
      <c r="N33" s="19">
        <f t="shared" si="30"/>
        <v>0</v>
      </c>
      <c r="O33" s="19">
        <f t="shared" si="11"/>
        <v>0</v>
      </c>
      <c r="P33" s="19">
        <f t="shared" si="12"/>
        <v>637810628.83775425</v>
      </c>
      <c r="Q33" s="19">
        <f t="shared" si="13"/>
        <v>257516.70187340002</v>
      </c>
      <c r="R33" s="20"/>
      <c r="S33" s="20"/>
      <c r="T33" s="21">
        <v>0</v>
      </c>
      <c r="U33" s="22">
        <v>1598643.1130111066</v>
      </c>
      <c r="V33" s="22">
        <v>1696078.2383710877</v>
      </c>
      <c r="W33" s="22">
        <v>1799451.9022182696</v>
      </c>
      <c r="X33" s="22">
        <v>1909126.0504036348</v>
      </c>
      <c r="Y33" s="22">
        <v>2025484.6888859384</v>
      </c>
      <c r="Z33" s="23">
        <v>3.0066918339936549E-2</v>
      </c>
      <c r="AA33" s="23">
        <v>3.7699441438103207E-2</v>
      </c>
      <c r="AB33" s="23">
        <v>4.4698290748560215E-2</v>
      </c>
      <c r="AC33" s="23">
        <v>5.1084468911452845E-2</v>
      </c>
      <c r="AD33" s="23">
        <v>5.6878157735988762E-2</v>
      </c>
      <c r="AE33" s="23">
        <v>2.0767694708207758</v>
      </c>
      <c r="AF33" s="24">
        <v>14904523.063299999</v>
      </c>
      <c r="AG33" s="25">
        <f t="shared" si="2"/>
        <v>2056.5440860889726</v>
      </c>
      <c r="AH33" s="25">
        <f t="shared" si="2"/>
        <v>2030.9393578292204</v>
      </c>
      <c r="AI33" s="25">
        <f t="shared" si="2"/>
        <v>2006.3739642191447</v>
      </c>
      <c r="AJ33" s="25">
        <f t="shared" si="2"/>
        <v>1982.7187379077202</v>
      </c>
      <c r="AK33" s="25">
        <f t="shared" si="2"/>
        <v>1959.8540716044702</v>
      </c>
      <c r="AL33" s="26">
        <f t="shared" si="3"/>
        <v>2007.2860435299058</v>
      </c>
      <c r="AM33" s="26">
        <f t="shared" si="16"/>
        <v>1959.8540716044702</v>
      </c>
      <c r="AN33" s="69"/>
      <c r="AO33" s="70"/>
      <c r="AP33" s="79">
        <f t="shared" si="4"/>
        <v>14704922.701873399</v>
      </c>
      <c r="AQ33" s="79">
        <f t="shared" si="5"/>
        <v>16265.603059626937</v>
      </c>
      <c r="AR33" s="84"/>
      <c r="AS33" s="63">
        <f>MAX($AP33-VLOOKUP($A33,'RE Generation'!$A$4:$M$52,'Mass Equivalents - States, Opt2'!AS$7-2016,0)-VLOOKUP('Mass Equivalents - States, Opt2'!$A33,'EE Avoided Generation'!$N$4:$S$52,'Mass Equivalents - States, Opt2'!AS$7-2018,0)-VLOOKUP($A33,'Under Construction Nuclear'!$B$5:$D$53,3,0),0)+U33+$T33+VLOOKUP('Mass Equivalents - States, Opt2'!$A33,'EE Avoided Generation'!$N$4:$S$52,'Mass Equivalents - States, Opt2'!AS$7-2018,0)</f>
        <v>15966674.9218734</v>
      </c>
      <c r="AT33" s="64">
        <f>MAX($AP33-VLOOKUP($A33,'RE Generation'!$A$4:$M$52,'Mass Equivalents - States, Opt2'!AT$7-2016,0)-VLOOKUP('Mass Equivalents - States, Opt2'!$A33,'EE Avoided Generation'!$N$4:$S$52,'Mass Equivalents - States, Opt2'!AT$7-2018,0)-VLOOKUP($A33,'Under Construction Nuclear'!$B$5:$D$53,3,0),0)+V33+$T33+VLOOKUP('Mass Equivalents - States, Opt2'!$A33,'EE Avoided Generation'!$N$4:$S$52,'Mass Equivalents - States, Opt2'!AT$7-2018,0)</f>
        <v>15966674.921873398</v>
      </c>
      <c r="AU33" s="64">
        <f>MAX($AP33-VLOOKUP($A33,'RE Generation'!$A$4:$M$52,'Mass Equivalents - States, Opt2'!AU$7-2016,0)-VLOOKUP('Mass Equivalents - States, Opt2'!$A33,'EE Avoided Generation'!$N$4:$S$52,'Mass Equivalents - States, Opt2'!AU$7-2018,0)-VLOOKUP($A33,'Under Construction Nuclear'!$B$5:$D$53,3,0),0)+W33+$T33+VLOOKUP('Mass Equivalents - States, Opt2'!$A33,'EE Avoided Generation'!$N$4:$S$52,'Mass Equivalents - States, Opt2'!AU$7-2018,0)</f>
        <v>15966674.921873398</v>
      </c>
      <c r="AV33" s="64">
        <f>MAX($AP33-VLOOKUP($A33,'RE Generation'!$A$4:$M$52,'Mass Equivalents - States, Opt2'!AV$7-2016,0)-VLOOKUP('Mass Equivalents - States, Opt2'!$A33,'EE Avoided Generation'!$N$4:$S$52,'Mass Equivalents - States, Opt2'!AV$7-2018,0)-VLOOKUP($A33,'Under Construction Nuclear'!$B$5:$D$53,3,0),0)+X33+$T33+VLOOKUP('Mass Equivalents - States, Opt2'!$A33,'EE Avoided Generation'!$N$4:$S$52,'Mass Equivalents - States, Opt2'!AV$7-2018,0)</f>
        <v>15966674.921873398</v>
      </c>
      <c r="AW33" s="65">
        <f>MAX($AP33-VLOOKUP($A33,'RE Generation'!$A$4:$M$52,'Mass Equivalents - States, Opt2'!AW$7-2016,0)-VLOOKUP('Mass Equivalents - States, Opt2'!$A33,'EE Avoided Generation'!$N$4:$S$52,'Mass Equivalents - States, Opt2'!AW$7-2018,0)-VLOOKUP($A33,'Under Construction Nuclear'!$B$5:$D$53,3,0),0)+Y33+$T33+VLOOKUP('Mass Equivalents - States, Opt2'!$A33,'EE Avoided Generation'!$N$4:$S$52,'Mass Equivalents - States, Opt2'!AW$7-2018,0)</f>
        <v>15966674.9218734</v>
      </c>
      <c r="AX33" s="29"/>
      <c r="AY33" s="71">
        <f t="shared" si="17"/>
        <v>14894.254286491027</v>
      </c>
      <c r="AZ33" s="72">
        <f t="shared" si="18"/>
        <v>14708.815357067197</v>
      </c>
      <c r="BA33" s="72">
        <f t="shared" si="19"/>
        <v>14530.903674282887</v>
      </c>
      <c r="BB33" s="72">
        <f t="shared" si="20"/>
        <v>14359.583760321359</v>
      </c>
      <c r="BC33" s="72">
        <f t="shared" si="21"/>
        <v>14193.989374866676</v>
      </c>
      <c r="BD33" s="75">
        <f t="shared" si="7"/>
        <v>14537.509290605831</v>
      </c>
      <c r="BE33" s="76">
        <f t="shared" si="22"/>
        <v>14193.989374866676</v>
      </c>
      <c r="BH33" s="63">
        <f>AS33+VLOOKUP($A33,'Incremental Demand for New Gen'!$AG$66:$AL$114,'Mass Equivalents - States, Opt2'!AS$7-2018,0)</f>
        <v>17410083.199329946</v>
      </c>
      <c r="BI33" s="64">
        <f>AT33+VLOOKUP($A33,'Incremental Demand for New Gen'!$AG$66:$AL$114,'Mass Equivalents - States, Opt2'!AT$7-2018,0)</f>
        <v>17600011.154498775</v>
      </c>
      <c r="BJ33" s="64">
        <f>AU33+VLOOKUP($A33,'Incremental Demand for New Gen'!$AG$66:$AL$114,'Mass Equivalents - States, Opt2'!AU$7-2018,0)</f>
        <v>17792132.471268997</v>
      </c>
      <c r="BK33" s="64">
        <f>AV33+VLOOKUP($A33,'Incremental Demand for New Gen'!$AG$66:$AL$114,'Mass Equivalents - States, Opt2'!AV$7-2018,0)</f>
        <v>17986472.479430061</v>
      </c>
      <c r="BL33" s="65">
        <f>AW33+VLOOKUP($A33,'Incremental Demand for New Gen'!$AG$66:$AL$114,'Mass Equivalents - States, Opt2'!AW$7-2018,0)</f>
        <v>18183056.801289629</v>
      </c>
      <c r="BM33" s="29"/>
      <c r="BN33" s="71">
        <f t="shared" si="23"/>
        <v>16240.714337118861</v>
      </c>
      <c r="BO33" s="72">
        <f t="shared" si="24"/>
        <v>16213.476858553789</v>
      </c>
      <c r="BP33" s="72">
        <f t="shared" si="25"/>
        <v>16192.210611485039</v>
      </c>
      <c r="BQ33" s="72">
        <f t="shared" si="26"/>
        <v>16176.082959343341</v>
      </c>
      <c r="BR33" s="72">
        <f t="shared" si="27"/>
        <v>16164.299473933301</v>
      </c>
      <c r="BS33" s="75">
        <f t="shared" si="9"/>
        <v>16197.356848086865</v>
      </c>
      <c r="BT33" s="76">
        <f t="shared" si="28"/>
        <v>16164.299473933301</v>
      </c>
    </row>
    <row r="34" spans="1:72" x14ac:dyDescent="0.25">
      <c r="A34" s="16" t="s">
        <v>68</v>
      </c>
      <c r="B34" s="17">
        <v>2181.1538467999999</v>
      </c>
      <c r="C34" s="17">
        <v>1097.0761336</v>
      </c>
      <c r="D34" s="17">
        <v>1754.9565611</v>
      </c>
      <c r="E34" s="17">
        <v>0</v>
      </c>
      <c r="F34" s="17">
        <v>24660983</v>
      </c>
      <c r="G34" s="17">
        <v>423637.99900000001</v>
      </c>
      <c r="H34" s="17">
        <v>37524</v>
      </c>
      <c r="I34" s="17">
        <v>0</v>
      </c>
      <c r="J34" s="17">
        <v>468.3</v>
      </c>
      <c r="K34" s="17">
        <v>0</v>
      </c>
      <c r="L34" s="18">
        <f t="shared" si="10"/>
        <v>2093.907692928</v>
      </c>
      <c r="M34" s="19">
        <f t="shared" si="29"/>
        <v>22414233.958517838</v>
      </c>
      <c r="N34" s="19">
        <f t="shared" si="30"/>
        <v>34105.360482160155</v>
      </c>
      <c r="O34" s="19">
        <f t="shared" si="11"/>
        <v>2673805.6800000002</v>
      </c>
      <c r="P34" s="19">
        <f t="shared" si="12"/>
        <v>0</v>
      </c>
      <c r="Q34" s="19">
        <f t="shared" si="13"/>
        <v>0</v>
      </c>
      <c r="R34" s="20">
        <f t="shared" si="14"/>
        <v>0.10298605519829698</v>
      </c>
      <c r="S34" s="20">
        <f t="shared" si="15"/>
        <v>0.65</v>
      </c>
      <c r="T34" s="21">
        <v>574830.0646808832</v>
      </c>
      <c r="U34" s="22">
        <v>1856031.6434920561</v>
      </c>
      <c r="V34" s="22">
        <v>2010985.8953398997</v>
      </c>
      <c r="W34" s="22">
        <v>2178876.7909405134</v>
      </c>
      <c r="X34" s="22">
        <v>2360784.3700449225</v>
      </c>
      <c r="Y34" s="22">
        <v>2557878.8415304027</v>
      </c>
      <c r="Z34" s="23">
        <v>1.9138837621786659E-2</v>
      </c>
      <c r="AA34" s="23">
        <v>2.6687485881463056E-2</v>
      </c>
      <c r="AB34" s="23">
        <v>3.4707864847413068E-2</v>
      </c>
      <c r="AC34" s="23">
        <v>4.2106625533887665E-2</v>
      </c>
      <c r="AD34" s="23">
        <v>4.890016990540063E-2</v>
      </c>
      <c r="AE34" s="23">
        <v>1.1343799134526367</v>
      </c>
      <c r="AF34" s="24">
        <v>33143117.218899999</v>
      </c>
      <c r="AG34" s="25">
        <f t="shared" si="2"/>
        <v>1771.2413082156245</v>
      </c>
      <c r="AH34" s="25">
        <f t="shared" si="2"/>
        <v>1746.1437652890929</v>
      </c>
      <c r="AI34" s="25">
        <f t="shared" si="2"/>
        <v>1720.052759186789</v>
      </c>
      <c r="AJ34" s="25">
        <f t="shared" si="2"/>
        <v>1695.1089188678952</v>
      </c>
      <c r="AK34" s="25">
        <f t="shared" si="2"/>
        <v>1671.1506708319546</v>
      </c>
      <c r="AL34" s="26">
        <f t="shared" si="3"/>
        <v>1720.7394844782714</v>
      </c>
      <c r="AM34" s="26">
        <f t="shared" si="16"/>
        <v>1671.1506708319546</v>
      </c>
      <c r="AN34" s="69"/>
      <c r="AO34" s="70"/>
      <c r="AP34" s="79">
        <f t="shared" si="4"/>
        <v>25122144.998999998</v>
      </c>
      <c r="AQ34" s="79">
        <f t="shared" si="5"/>
        <v>24639.173220013919</v>
      </c>
      <c r="AR34" s="84"/>
      <c r="AS34" s="63">
        <f>MAX($AP34-VLOOKUP($A34,'RE Generation'!$A$4:$M$52,'Mass Equivalents - States, Opt2'!AS$7-2016,0)-VLOOKUP('Mass Equivalents - States, Opt2'!$A34,'EE Avoided Generation'!$N$4:$S$52,'Mass Equivalents - States, Opt2'!AS$7-2018,0)-VLOOKUP($A34,'Under Construction Nuclear'!$B$5:$D$53,3,0),0)+U34+$T34+VLOOKUP('Mass Equivalents - States, Opt2'!$A34,'EE Avoided Generation'!$N$4:$S$52,'Mass Equivalents - States, Opt2'!AS$7-2018,0)</f>
        <v>27043736.843680881</v>
      </c>
      <c r="AT34" s="64">
        <f>MAX($AP34-VLOOKUP($A34,'RE Generation'!$A$4:$M$52,'Mass Equivalents - States, Opt2'!AT$7-2016,0)-VLOOKUP('Mass Equivalents - States, Opt2'!$A34,'EE Avoided Generation'!$N$4:$S$52,'Mass Equivalents - States, Opt2'!AT$7-2018,0)-VLOOKUP($A34,'Under Construction Nuclear'!$B$5:$D$53,3,0),0)+V34+$T34+VLOOKUP('Mass Equivalents - States, Opt2'!$A34,'EE Avoided Generation'!$N$4:$S$52,'Mass Equivalents - States, Opt2'!AT$7-2018,0)</f>
        <v>27043736.843680877</v>
      </c>
      <c r="AU34" s="64">
        <f>MAX($AP34-VLOOKUP($A34,'RE Generation'!$A$4:$M$52,'Mass Equivalents - States, Opt2'!AU$7-2016,0)-VLOOKUP('Mass Equivalents - States, Opt2'!$A34,'EE Avoided Generation'!$N$4:$S$52,'Mass Equivalents - States, Opt2'!AU$7-2018,0)-VLOOKUP($A34,'Under Construction Nuclear'!$B$5:$D$53,3,0),0)+W34+$T34+VLOOKUP('Mass Equivalents - States, Opt2'!$A34,'EE Avoided Generation'!$N$4:$S$52,'Mass Equivalents - States, Opt2'!AU$7-2018,0)</f>
        <v>27043736.843680877</v>
      </c>
      <c r="AV34" s="64">
        <f>MAX($AP34-VLOOKUP($A34,'RE Generation'!$A$4:$M$52,'Mass Equivalents - States, Opt2'!AV$7-2016,0)-VLOOKUP('Mass Equivalents - States, Opt2'!$A34,'EE Avoided Generation'!$N$4:$S$52,'Mass Equivalents - States, Opt2'!AV$7-2018,0)-VLOOKUP($A34,'Under Construction Nuclear'!$B$5:$D$53,3,0),0)+X34+$T34+VLOOKUP('Mass Equivalents - States, Opt2'!$A34,'EE Avoided Generation'!$N$4:$S$52,'Mass Equivalents - States, Opt2'!AV$7-2018,0)</f>
        <v>27043736.843680881</v>
      </c>
      <c r="AW34" s="65">
        <f>MAX($AP34-VLOOKUP($A34,'RE Generation'!$A$4:$M$52,'Mass Equivalents - States, Opt2'!AW$7-2016,0)-VLOOKUP('Mass Equivalents - States, Opt2'!$A34,'EE Avoided Generation'!$N$4:$S$52,'Mass Equivalents - States, Opt2'!AW$7-2018,0)-VLOOKUP($A34,'Under Construction Nuclear'!$B$5:$D$53,3,0),0)+Y34+$T34+VLOOKUP('Mass Equivalents - States, Opt2'!$A34,'EE Avoided Generation'!$N$4:$S$52,'Mass Equivalents - States, Opt2'!AW$7-2018,0)</f>
        <v>27043736.843680877</v>
      </c>
      <c r="AX34" s="29"/>
      <c r="AY34" s="71">
        <f t="shared" si="17"/>
        <v>21727.546618483189</v>
      </c>
      <c r="AZ34" s="72">
        <f t="shared" si="18"/>
        <v>21419.678892377055</v>
      </c>
      <c r="BA34" s="72">
        <f t="shared" si="19"/>
        <v>21099.624505218457</v>
      </c>
      <c r="BB34" s="72">
        <f t="shared" si="20"/>
        <v>20793.642225526288</v>
      </c>
      <c r="BC34" s="72">
        <f t="shared" si="21"/>
        <v>20499.750055846427</v>
      </c>
      <c r="BD34" s="75">
        <f t="shared" si="7"/>
        <v>21108.048459490281</v>
      </c>
      <c r="BE34" s="76">
        <f t="shared" si="22"/>
        <v>20499.750055846427</v>
      </c>
      <c r="BH34" s="63">
        <f>AS34+VLOOKUP($A34,'Incremental Demand for New Gen'!$AG$66:$AL$114,'Mass Equivalents - States, Opt2'!AS$7-2018,0)</f>
        <v>28645695.692172926</v>
      </c>
      <c r="BI34" s="64">
        <f>AT34+VLOOKUP($A34,'Incremental Demand for New Gen'!$AG$66:$AL$114,'Mass Equivalents - States, Opt2'!AT$7-2018,0)</f>
        <v>28851293.898339983</v>
      </c>
      <c r="BJ34" s="64">
        <f>AU34+VLOOKUP($A34,'Incremental Demand for New Gen'!$AG$66:$AL$114,'Mass Equivalents - States, Opt2'!AU$7-2018,0)</f>
        <v>29058105.215588614</v>
      </c>
      <c r="BK34" s="64">
        <f>AV34+VLOOKUP($A34,'Incremental Demand for New Gen'!$AG$66:$AL$114,'Mass Equivalents - States, Opt2'!AV$7-2018,0)</f>
        <v>29266136.801756065</v>
      </c>
      <c r="BL34" s="65">
        <f>AW34+VLOOKUP($A34,'Incremental Demand for New Gen'!$AG$66:$AL$114,'Mass Equivalents - States, Opt2'!AW$7-2018,0)</f>
        <v>29475395.856913641</v>
      </c>
      <c r="BM34" s="29"/>
      <c r="BN34" s="71">
        <f t="shared" si="23"/>
        <v>23014.596398722249</v>
      </c>
      <c r="BO34" s="72">
        <f t="shared" si="24"/>
        <v>22851.333545513335</v>
      </c>
      <c r="BP34" s="72">
        <f t="shared" si="25"/>
        <v>22671.242233497484</v>
      </c>
      <c r="BQ34" s="72">
        <f t="shared" si="26"/>
        <v>22502.4219654474</v>
      </c>
      <c r="BR34" s="72">
        <f t="shared" si="27"/>
        <v>22343.001315110381</v>
      </c>
      <c r="BS34" s="75">
        <f t="shared" si="9"/>
        <v>22676.519091658171</v>
      </c>
      <c r="BT34" s="76">
        <f t="shared" si="28"/>
        <v>22343.001315110381</v>
      </c>
    </row>
    <row r="35" spans="1:72" x14ac:dyDescent="0.25">
      <c r="A35" s="16" t="s">
        <v>69</v>
      </c>
      <c r="B35" s="17">
        <v>2274.5965673999999</v>
      </c>
      <c r="C35" s="17">
        <v>882.52729220000003</v>
      </c>
      <c r="D35" s="17">
        <v>1459.1431344</v>
      </c>
      <c r="E35" s="17">
        <v>172680511.95826149</v>
      </c>
      <c r="F35" s="17">
        <v>4133662</v>
      </c>
      <c r="G35" s="17">
        <v>23783255.668000001</v>
      </c>
      <c r="H35" s="17">
        <v>279983</v>
      </c>
      <c r="I35" s="17">
        <v>198036.66767519998</v>
      </c>
      <c r="J35" s="17">
        <v>6381.2</v>
      </c>
      <c r="K35" s="17">
        <v>0</v>
      </c>
      <c r="L35" s="18">
        <f t="shared" si="10"/>
        <v>2183.612704704</v>
      </c>
      <c r="M35" s="19">
        <f t="shared" si="29"/>
        <v>0</v>
      </c>
      <c r="N35" s="19">
        <f t="shared" si="30"/>
        <v>0</v>
      </c>
      <c r="O35" s="19">
        <f t="shared" si="11"/>
        <v>28196900.668000001</v>
      </c>
      <c r="P35" s="19">
        <f t="shared" si="12"/>
        <v>172680511.95826149</v>
      </c>
      <c r="Q35" s="19">
        <f t="shared" si="13"/>
        <v>198036.66767519998</v>
      </c>
      <c r="R35" s="20">
        <f t="shared" si="14"/>
        <v>0.42430350654649585</v>
      </c>
      <c r="S35" s="20">
        <f t="shared" si="15"/>
        <v>0.50304483095950003</v>
      </c>
      <c r="T35" s="21">
        <v>0</v>
      </c>
      <c r="U35" s="22">
        <v>3761261.8300788491</v>
      </c>
      <c r="V35" s="22">
        <v>3990505.6274859933</v>
      </c>
      <c r="W35" s="22">
        <v>4233721.5228282996</v>
      </c>
      <c r="X35" s="22">
        <v>4491761.0964883901</v>
      </c>
      <c r="Y35" s="22">
        <v>4765527.8315160042</v>
      </c>
      <c r="Z35" s="23">
        <v>2.6731098555113984E-2</v>
      </c>
      <c r="AA35" s="23">
        <v>3.4621219740400486E-2</v>
      </c>
      <c r="AB35" s="23">
        <v>4.1869052887502582E-2</v>
      </c>
      <c r="AC35" s="23">
        <v>4.8495936546372811E-2</v>
      </c>
      <c r="AD35" s="23">
        <v>5.4522375806022441E-2</v>
      </c>
      <c r="AE35" s="23">
        <v>0.96669309080459698</v>
      </c>
      <c r="AF35" s="24">
        <v>37821929.841799997</v>
      </c>
      <c r="AG35" s="25">
        <f t="shared" si="2"/>
        <v>756.24909670849638</v>
      </c>
      <c r="AH35" s="25">
        <f t="shared" si="2"/>
        <v>744.61422300294851</v>
      </c>
      <c r="AI35" s="25">
        <f t="shared" si="2"/>
        <v>733.53611825325618</v>
      </c>
      <c r="AJ35" s="25">
        <f t="shared" si="2"/>
        <v>722.94713164900634</v>
      </c>
      <c r="AK35" s="25">
        <f t="shared" si="2"/>
        <v>712.78573515715459</v>
      </c>
      <c r="AL35" s="26">
        <f t="shared" si="3"/>
        <v>734.02646095417242</v>
      </c>
      <c r="AM35" s="26">
        <f t="shared" si="16"/>
        <v>712.78573515715459</v>
      </c>
      <c r="AN35" s="69"/>
      <c r="AO35" s="70"/>
      <c r="AP35" s="79">
        <f t="shared" si="4"/>
        <v>28394937.335675202</v>
      </c>
      <c r="AQ35" s="79">
        <f t="shared" si="5"/>
        <v>14049.133821034528</v>
      </c>
      <c r="AR35" s="84"/>
      <c r="AS35" s="63">
        <f>MAX($AP35-VLOOKUP($A35,'RE Generation'!$A$4:$M$52,'Mass Equivalents - States, Opt2'!AS$7-2016,0)-VLOOKUP('Mass Equivalents - States, Opt2'!$A35,'EE Avoided Generation'!$N$4:$S$52,'Mass Equivalents - States, Opt2'!AS$7-2018,0)-VLOOKUP($A35,'Under Construction Nuclear'!$B$5:$D$53,3,0),0)+U35+$T35+VLOOKUP('Mass Equivalents - States, Opt2'!$A35,'EE Avoided Generation'!$N$4:$S$52,'Mass Equivalents - States, Opt2'!AS$7-2018,0)</f>
        <v>31363567.6856752</v>
      </c>
      <c r="AT35" s="64">
        <f>MAX($AP35-VLOOKUP($A35,'RE Generation'!$A$4:$M$52,'Mass Equivalents - States, Opt2'!AT$7-2016,0)-VLOOKUP('Mass Equivalents - States, Opt2'!$A35,'EE Avoided Generation'!$N$4:$S$52,'Mass Equivalents - States, Opt2'!AT$7-2018,0)-VLOOKUP($A35,'Under Construction Nuclear'!$B$5:$D$53,3,0),0)+V35+$T35+VLOOKUP('Mass Equivalents - States, Opt2'!$A35,'EE Avoided Generation'!$N$4:$S$52,'Mass Equivalents - States, Opt2'!AT$7-2018,0)</f>
        <v>31363567.685675204</v>
      </c>
      <c r="AU35" s="64">
        <f>MAX($AP35-VLOOKUP($A35,'RE Generation'!$A$4:$M$52,'Mass Equivalents - States, Opt2'!AU$7-2016,0)-VLOOKUP('Mass Equivalents - States, Opt2'!$A35,'EE Avoided Generation'!$N$4:$S$52,'Mass Equivalents - States, Opt2'!AU$7-2018,0)-VLOOKUP($A35,'Under Construction Nuclear'!$B$5:$D$53,3,0),0)+W35+$T35+VLOOKUP('Mass Equivalents - States, Opt2'!$A35,'EE Avoided Generation'!$N$4:$S$52,'Mass Equivalents - States, Opt2'!AU$7-2018,0)</f>
        <v>31363567.6856752</v>
      </c>
      <c r="AV35" s="64">
        <f>MAX($AP35-VLOOKUP($A35,'RE Generation'!$A$4:$M$52,'Mass Equivalents - States, Opt2'!AV$7-2016,0)-VLOOKUP('Mass Equivalents - States, Opt2'!$A35,'EE Avoided Generation'!$N$4:$S$52,'Mass Equivalents - States, Opt2'!AV$7-2018,0)-VLOOKUP($A35,'Under Construction Nuclear'!$B$5:$D$53,3,0),0)+X35+$T35+VLOOKUP('Mass Equivalents - States, Opt2'!$A35,'EE Avoided Generation'!$N$4:$S$52,'Mass Equivalents - States, Opt2'!AV$7-2018,0)</f>
        <v>31363567.6856752</v>
      </c>
      <c r="AW35" s="65">
        <f>MAX($AP35-VLOOKUP($A35,'RE Generation'!$A$4:$M$52,'Mass Equivalents - States, Opt2'!AW$7-2016,0)-VLOOKUP('Mass Equivalents - States, Opt2'!$A35,'EE Avoided Generation'!$N$4:$S$52,'Mass Equivalents - States, Opt2'!AW$7-2018,0)-VLOOKUP($A35,'Under Construction Nuclear'!$B$5:$D$53,3,0),0)+Y35+$T35+VLOOKUP('Mass Equivalents - States, Opt2'!$A35,'EE Avoided Generation'!$N$4:$S$52,'Mass Equivalents - States, Opt2'!AW$7-2018,0)</f>
        <v>31363567.685675204</v>
      </c>
      <c r="AX35" s="29"/>
      <c r="AY35" s="71">
        <f t="shared" si="17"/>
        <v>10758.620411611824</v>
      </c>
      <c r="AZ35" s="72">
        <f t="shared" si="18"/>
        <v>10593.099301861286</v>
      </c>
      <c r="BA35" s="72">
        <f t="shared" si="19"/>
        <v>10435.498949806972</v>
      </c>
      <c r="BB35" s="72">
        <f t="shared" si="20"/>
        <v>10284.856935271544</v>
      </c>
      <c r="BC35" s="72">
        <f t="shared" si="21"/>
        <v>10140.297942495839</v>
      </c>
      <c r="BD35" s="75">
        <f t="shared" si="7"/>
        <v>10442.474708209493</v>
      </c>
      <c r="BE35" s="76">
        <f t="shared" si="22"/>
        <v>10140.297942495839</v>
      </c>
      <c r="BH35" s="63">
        <f>AS35+VLOOKUP($A35,'Incremental Demand for New Gen'!$AG$66:$AL$114,'Mass Equivalents - States, Opt2'!AS$7-2018,0)</f>
        <v>35021895.267080761</v>
      </c>
      <c r="BI35" s="64">
        <f>AT35+VLOOKUP($A35,'Incremental Demand for New Gen'!$AG$66:$AL$114,'Mass Equivalents - States, Opt2'!AT$7-2018,0)</f>
        <v>35503268.893466257</v>
      </c>
      <c r="BJ35" s="64">
        <f>AU35+VLOOKUP($A35,'Incremental Demand for New Gen'!$AG$66:$AL$114,'Mass Equivalents - States, Opt2'!AU$7-2018,0)</f>
        <v>35990201.608965814</v>
      </c>
      <c r="BK35" s="64">
        <f>AV35+VLOOKUP($A35,'Incremental Demand for New Gen'!$AG$66:$AL$114,'Mass Equivalents - States, Opt2'!AV$7-2018,0)</f>
        <v>36482757.612094037</v>
      </c>
      <c r="BL35" s="65">
        <f>AW35+VLOOKUP($A35,'Incremental Demand for New Gen'!$AG$66:$AL$114,'Mass Equivalents - States, Opt2'!AW$7-2018,0)</f>
        <v>36981001.842754841</v>
      </c>
      <c r="BM35" s="29"/>
      <c r="BN35" s="71">
        <f t="shared" si="23"/>
        <v>12013.533697757161</v>
      </c>
      <c r="BO35" s="72">
        <f t="shared" si="24"/>
        <v>11991.290554006191</v>
      </c>
      <c r="BP35" s="72">
        <f t="shared" si="25"/>
        <v>11974.9039668482</v>
      </c>
      <c r="BQ35" s="72">
        <f t="shared" si="26"/>
        <v>11963.560600153014</v>
      </c>
      <c r="BR35" s="72">
        <f t="shared" si="27"/>
        <v>11956.496169560332</v>
      </c>
      <c r="BS35" s="75">
        <f t="shared" si="9"/>
        <v>11979.956997664978</v>
      </c>
      <c r="BT35" s="76">
        <f t="shared" si="28"/>
        <v>11956.496169560332</v>
      </c>
    </row>
    <row r="36" spans="1:72" x14ac:dyDescent="0.25">
      <c r="A36" s="16" t="s">
        <v>70</v>
      </c>
      <c r="B36" s="17">
        <v>2382.0218552000001</v>
      </c>
      <c r="C36" s="17">
        <v>877.57721819999995</v>
      </c>
      <c r="D36" s="17">
        <v>1889.4471039</v>
      </c>
      <c r="E36" s="17">
        <v>0</v>
      </c>
      <c r="F36" s="17">
        <v>1281341</v>
      </c>
      <c r="G36" s="17">
        <v>6946868.9999000002</v>
      </c>
      <c r="H36" s="17">
        <v>72614</v>
      </c>
      <c r="I36" s="17">
        <v>0</v>
      </c>
      <c r="J36" s="17">
        <v>1505.5</v>
      </c>
      <c r="K36" s="17">
        <v>0</v>
      </c>
      <c r="L36" s="18">
        <f t="shared" si="10"/>
        <v>2286.740980992</v>
      </c>
      <c r="M36" s="19">
        <f t="shared" si="29"/>
        <v>0</v>
      </c>
      <c r="N36" s="19">
        <f t="shared" si="30"/>
        <v>0</v>
      </c>
      <c r="O36" s="19">
        <f t="shared" si="11"/>
        <v>8300823.9999000002</v>
      </c>
      <c r="P36" s="19">
        <f t="shared" si="12"/>
        <v>0</v>
      </c>
      <c r="Q36" s="19">
        <f t="shared" si="13"/>
        <v>0</v>
      </c>
      <c r="R36" s="20">
        <f t="shared" si="14"/>
        <v>0.52531042824004759</v>
      </c>
      <c r="S36" s="20">
        <f t="shared" si="15"/>
        <v>0.6276942044243965</v>
      </c>
      <c r="T36" s="21">
        <v>575615.28855389054</v>
      </c>
      <c r="U36" s="22">
        <v>2219729.5940269795</v>
      </c>
      <c r="V36" s="22">
        <v>2499218.6993625145</v>
      </c>
      <c r="W36" s="22">
        <v>2813898.6496601808</v>
      </c>
      <c r="X36" s="22">
        <v>3168200.3710115771</v>
      </c>
      <c r="Y36" s="22">
        <v>3567112.6933054491</v>
      </c>
      <c r="Z36" s="23">
        <v>2.5565919175774839E-2</v>
      </c>
      <c r="AA36" s="23">
        <v>3.3797071063267493E-2</v>
      </c>
      <c r="AB36" s="23">
        <v>4.1420601112954543E-2</v>
      </c>
      <c r="AC36" s="23">
        <v>4.844932613863534E-2</v>
      </c>
      <c r="AD36" s="23">
        <v>5.4895576739642821E-2</v>
      </c>
      <c r="AE36" s="23">
        <v>1.9497193290751607</v>
      </c>
      <c r="AF36" s="24">
        <v>11686617.6011</v>
      </c>
      <c r="AG36" s="25">
        <f t="shared" si="2"/>
        <v>639.28453489712547</v>
      </c>
      <c r="AH36" s="25">
        <f t="shared" si="2"/>
        <v>618.88048027296031</v>
      </c>
      <c r="AI36" s="25">
        <f t="shared" si="2"/>
        <v>598.35484654651771</v>
      </c>
      <c r="AJ36" s="25">
        <f t="shared" si="2"/>
        <v>577.64662609940376</v>
      </c>
      <c r="AK36" s="25">
        <f t="shared" si="2"/>
        <v>556.71079982967876</v>
      </c>
      <c r="AL36" s="26">
        <f t="shared" si="3"/>
        <v>598.17545752913725</v>
      </c>
      <c r="AM36" s="26">
        <f t="shared" si="16"/>
        <v>556.71079982967876</v>
      </c>
      <c r="AN36" s="69"/>
      <c r="AO36" s="70"/>
      <c r="AP36" s="79">
        <f t="shared" si="4"/>
        <v>8300823.9999000002</v>
      </c>
      <c r="AQ36" s="79">
        <f t="shared" si="5"/>
        <v>4211.9714735865937</v>
      </c>
      <c r="AR36" s="84"/>
      <c r="AS36" s="63">
        <f>MAX($AP36-VLOOKUP($A36,'RE Generation'!$A$4:$M$52,'Mass Equivalents - States, Opt2'!AS$7-2016,0)-VLOOKUP('Mass Equivalents - States, Opt2'!$A36,'EE Avoided Generation'!$N$4:$S$52,'Mass Equivalents - States, Opt2'!AS$7-2018,0)-VLOOKUP($A36,'Under Construction Nuclear'!$B$5:$D$53,3,0),0)+U36+$T36+VLOOKUP('Mass Equivalents - States, Opt2'!$A36,'EE Avoided Generation'!$N$4:$S$52,'Mass Equivalents - States, Opt2'!AS$7-2018,0)</f>
        <v>10257724.348453891</v>
      </c>
      <c r="AT36" s="64">
        <f>MAX($AP36-VLOOKUP($A36,'RE Generation'!$A$4:$M$52,'Mass Equivalents - States, Opt2'!AT$7-2016,0)-VLOOKUP('Mass Equivalents - States, Opt2'!$A36,'EE Avoided Generation'!$N$4:$S$52,'Mass Equivalents - States, Opt2'!AT$7-2018,0)-VLOOKUP($A36,'Under Construction Nuclear'!$B$5:$D$53,3,0),0)+V36+$T36+VLOOKUP('Mass Equivalents - States, Opt2'!$A36,'EE Avoided Generation'!$N$4:$S$52,'Mass Equivalents - States, Opt2'!AT$7-2018,0)</f>
        <v>10257724.348453892</v>
      </c>
      <c r="AU36" s="64">
        <f>MAX($AP36-VLOOKUP($A36,'RE Generation'!$A$4:$M$52,'Mass Equivalents - States, Opt2'!AU$7-2016,0)-VLOOKUP('Mass Equivalents - States, Opt2'!$A36,'EE Avoided Generation'!$N$4:$S$52,'Mass Equivalents - States, Opt2'!AU$7-2018,0)-VLOOKUP($A36,'Under Construction Nuclear'!$B$5:$D$53,3,0),0)+W36+$T36+VLOOKUP('Mass Equivalents - States, Opt2'!$A36,'EE Avoided Generation'!$N$4:$S$52,'Mass Equivalents - States, Opt2'!AU$7-2018,0)</f>
        <v>10257724.348453891</v>
      </c>
      <c r="AV36" s="64">
        <f>MAX($AP36-VLOOKUP($A36,'RE Generation'!$A$4:$M$52,'Mass Equivalents - States, Opt2'!AV$7-2016,0)-VLOOKUP('Mass Equivalents - States, Opt2'!$A36,'EE Avoided Generation'!$N$4:$S$52,'Mass Equivalents - States, Opt2'!AV$7-2018,0)-VLOOKUP($A36,'Under Construction Nuclear'!$B$5:$D$53,3,0),0)+X36+$T36+VLOOKUP('Mass Equivalents - States, Opt2'!$A36,'EE Avoided Generation'!$N$4:$S$52,'Mass Equivalents - States, Opt2'!AV$7-2018,0)</f>
        <v>10257724.348453891</v>
      </c>
      <c r="AW36" s="65">
        <f>MAX($AP36-VLOOKUP($A36,'RE Generation'!$A$4:$M$52,'Mass Equivalents - States, Opt2'!AW$7-2016,0)-VLOOKUP('Mass Equivalents - States, Opt2'!$A36,'EE Avoided Generation'!$N$4:$S$52,'Mass Equivalents - States, Opt2'!AW$7-2018,0)-VLOOKUP($A36,'Under Construction Nuclear'!$B$5:$D$53,3,0),0)+Y36+$T36+VLOOKUP('Mass Equivalents - States, Opt2'!$A36,'EE Avoided Generation'!$N$4:$S$52,'Mass Equivalents - States, Opt2'!AW$7-2018,0)</f>
        <v>10257724.348453891</v>
      </c>
      <c r="AX36" s="29"/>
      <c r="AY36" s="71">
        <f t="shared" si="17"/>
        <v>2974.4829218660202</v>
      </c>
      <c r="AZ36" s="72">
        <f t="shared" si="18"/>
        <v>2879.5463033442429</v>
      </c>
      <c r="BA36" s="72">
        <f t="shared" si="19"/>
        <v>2784.0439978026175</v>
      </c>
      <c r="BB36" s="72">
        <f t="shared" si="20"/>
        <v>2687.692147101131</v>
      </c>
      <c r="BC36" s="72">
        <f t="shared" si="21"/>
        <v>2590.281284965271</v>
      </c>
      <c r="BD36" s="75">
        <f t="shared" si="7"/>
        <v>2783.2093310158566</v>
      </c>
      <c r="BE36" s="76">
        <f t="shared" si="22"/>
        <v>2590.281284965271</v>
      </c>
      <c r="BH36" s="63">
        <f>AS36+VLOOKUP($A36,'Incremental Demand for New Gen'!$AG$66:$AL$114,'Mass Equivalents - States, Opt2'!AS$7-2018,0)</f>
        <v>10647769.43523464</v>
      </c>
      <c r="BI36" s="64">
        <f>AT36+VLOOKUP($A36,'Incremental Demand for New Gen'!$AG$66:$AL$114,'Mass Equivalents - States, Opt2'!AT$7-2018,0)</f>
        <v>10697427.372798664</v>
      </c>
      <c r="BJ36" s="64">
        <f>AU36+VLOOKUP($A36,'Incremental Demand for New Gen'!$AG$66:$AL$114,'Mass Equivalents - States, Opt2'!AU$7-2018,0)</f>
        <v>10747288.564054227</v>
      </c>
      <c r="BK36" s="64">
        <f>AV36+VLOOKUP($A36,'Incremental Demand for New Gen'!$AG$66:$AL$114,'Mass Equivalents - States, Opt2'!AV$7-2018,0)</f>
        <v>10797353.840934055</v>
      </c>
      <c r="BL36" s="65">
        <f>AW36+VLOOKUP($A36,'Incremental Demand for New Gen'!$AG$66:$AL$114,'Mass Equivalents - States, Opt2'!AW$7-2018,0)</f>
        <v>10847624.038776031</v>
      </c>
      <c r="BM36" s="29"/>
      <c r="BN36" s="71">
        <f t="shared" si="23"/>
        <v>3087.5862194372753</v>
      </c>
      <c r="BO36" s="72">
        <f t="shared" si="24"/>
        <v>3002.9796473599758</v>
      </c>
      <c r="BP36" s="72">
        <f t="shared" si="25"/>
        <v>2916.9163844725222</v>
      </c>
      <c r="BQ36" s="72">
        <f t="shared" si="26"/>
        <v>2829.0839314788927</v>
      </c>
      <c r="BR36" s="72">
        <f t="shared" si="27"/>
        <v>2739.2427968895572</v>
      </c>
      <c r="BS36" s="75">
        <f t="shared" si="9"/>
        <v>2915.1617959276446</v>
      </c>
      <c r="BT36" s="76">
        <f t="shared" si="28"/>
        <v>2739.2427968895572</v>
      </c>
    </row>
    <row r="37" spans="1:72" x14ac:dyDescent="0.25">
      <c r="A37" s="16" t="s">
        <v>71</v>
      </c>
      <c r="B37" s="17">
        <v>2101.7207950000002</v>
      </c>
      <c r="C37" s="17">
        <v>889.19617849999997</v>
      </c>
      <c r="D37" s="17">
        <v>1472.6911917</v>
      </c>
      <c r="E37" s="17">
        <v>2431861783.9217291</v>
      </c>
      <c r="F37" s="17">
        <v>2602990</v>
      </c>
      <c r="G37" s="17">
        <v>20015729.511599999</v>
      </c>
      <c r="H37" s="17">
        <v>173972</v>
      </c>
      <c r="I37" s="17">
        <v>2295215.174348</v>
      </c>
      <c r="J37" s="17">
        <v>5832.3</v>
      </c>
      <c r="K37" s="17">
        <v>0</v>
      </c>
      <c r="L37" s="18">
        <f t="shared" si="10"/>
        <v>2017.6519632000002</v>
      </c>
      <c r="M37" s="19">
        <f t="shared" si="29"/>
        <v>0</v>
      </c>
      <c r="N37" s="19">
        <f t="shared" si="30"/>
        <v>0</v>
      </c>
      <c r="O37" s="19">
        <f t="shared" si="11"/>
        <v>22792691.511599999</v>
      </c>
      <c r="P37" s="19">
        <f t="shared" si="12"/>
        <v>2431861783.9217291</v>
      </c>
      <c r="Q37" s="19">
        <f t="shared" si="13"/>
        <v>2295215.174348</v>
      </c>
      <c r="R37" s="20">
        <f t="shared" si="14"/>
        <v>0.39069624869848135</v>
      </c>
      <c r="S37" s="20">
        <f t="shared" si="15"/>
        <v>0.44490104975504319</v>
      </c>
      <c r="T37" s="21">
        <v>1616036.9202884741</v>
      </c>
      <c r="U37" s="22">
        <v>2421244.2101994306</v>
      </c>
      <c r="V37" s="22">
        <v>2839129.1617259495</v>
      </c>
      <c r="W37" s="22">
        <v>3329137.2935482459</v>
      </c>
      <c r="X37" s="22">
        <v>3903716.4172397573</v>
      </c>
      <c r="Y37" s="22">
        <v>4577462.7245802898</v>
      </c>
      <c r="Z37" s="23">
        <v>9.6260563439104496E-3</v>
      </c>
      <c r="AA37" s="23">
        <v>1.5247606492111581E-2</v>
      </c>
      <c r="AB37" s="23">
        <v>2.195353845230023E-2</v>
      </c>
      <c r="AC37" s="23">
        <v>2.9638085482325265E-2</v>
      </c>
      <c r="AD37" s="23">
        <v>3.7434145752190708E-2</v>
      </c>
      <c r="AE37" s="23">
        <v>0.76186477247071394</v>
      </c>
      <c r="AF37" s="24">
        <v>80689387.841399997</v>
      </c>
      <c r="AG37" s="25">
        <f t="shared" si="2"/>
        <v>763.84153328037974</v>
      </c>
      <c r="AH37" s="25">
        <f t="shared" si="2"/>
        <v>744.70900423110868</v>
      </c>
      <c r="AI37" s="25">
        <f t="shared" si="2"/>
        <v>723.29862581534951</v>
      </c>
      <c r="AJ37" s="25">
        <f t="shared" si="2"/>
        <v>699.94713010242469</v>
      </c>
      <c r="AK37" s="25">
        <f t="shared" si="2"/>
        <v>675.91560777550956</v>
      </c>
      <c r="AL37" s="26">
        <f t="shared" si="3"/>
        <v>721.54238024095446</v>
      </c>
      <c r="AM37" s="26">
        <f t="shared" si="16"/>
        <v>675.91560777550956</v>
      </c>
      <c r="AN37" s="69"/>
      <c r="AO37" s="70"/>
      <c r="AP37" s="79">
        <f t="shared" si="4"/>
        <v>25087906.685947999</v>
      </c>
      <c r="AQ37" s="79">
        <f t="shared" si="5"/>
        <v>11773.791954942624</v>
      </c>
      <c r="AR37" s="84"/>
      <c r="AS37" s="63">
        <f>MAX($AP37-VLOOKUP($A37,'RE Generation'!$A$4:$M$52,'Mass Equivalents - States, Opt2'!AS$7-2016,0)-VLOOKUP('Mass Equivalents - States, Opt2'!$A37,'EE Avoided Generation'!$N$4:$S$52,'Mass Equivalents - States, Opt2'!AS$7-2018,0)-VLOOKUP($A37,'Under Construction Nuclear'!$B$5:$D$53,3,0),0)+U37+$T37+VLOOKUP('Mass Equivalents - States, Opt2'!$A37,'EE Avoided Generation'!$N$4:$S$52,'Mass Equivalents - States, Opt2'!AS$7-2018,0)</f>
        <v>27984658.246236473</v>
      </c>
      <c r="AT37" s="64">
        <f>MAX($AP37-VLOOKUP($A37,'RE Generation'!$A$4:$M$52,'Mass Equivalents - States, Opt2'!AT$7-2016,0)-VLOOKUP('Mass Equivalents - States, Opt2'!$A37,'EE Avoided Generation'!$N$4:$S$52,'Mass Equivalents - States, Opt2'!AT$7-2018,0)-VLOOKUP($A37,'Under Construction Nuclear'!$B$5:$D$53,3,0),0)+V37+$T37+VLOOKUP('Mass Equivalents - States, Opt2'!$A37,'EE Avoided Generation'!$N$4:$S$52,'Mass Equivalents - States, Opt2'!AT$7-2018,0)</f>
        <v>27984658.246236473</v>
      </c>
      <c r="AU37" s="64">
        <f>MAX($AP37-VLOOKUP($A37,'RE Generation'!$A$4:$M$52,'Mass Equivalents - States, Opt2'!AU$7-2016,0)-VLOOKUP('Mass Equivalents - States, Opt2'!$A37,'EE Avoided Generation'!$N$4:$S$52,'Mass Equivalents - States, Opt2'!AU$7-2018,0)-VLOOKUP($A37,'Under Construction Nuclear'!$B$5:$D$53,3,0),0)+W37+$T37+VLOOKUP('Mass Equivalents - States, Opt2'!$A37,'EE Avoided Generation'!$N$4:$S$52,'Mass Equivalents - States, Opt2'!AU$7-2018,0)</f>
        <v>27984658.246236473</v>
      </c>
      <c r="AV37" s="64">
        <f>MAX($AP37-VLOOKUP($A37,'RE Generation'!$A$4:$M$52,'Mass Equivalents - States, Opt2'!AV$7-2016,0)-VLOOKUP('Mass Equivalents - States, Opt2'!$A37,'EE Avoided Generation'!$N$4:$S$52,'Mass Equivalents - States, Opt2'!AV$7-2018,0)-VLOOKUP($A37,'Under Construction Nuclear'!$B$5:$D$53,3,0),0)+X37+$T37+VLOOKUP('Mass Equivalents - States, Opt2'!$A37,'EE Avoided Generation'!$N$4:$S$52,'Mass Equivalents - States, Opt2'!AV$7-2018,0)</f>
        <v>27984658.246236473</v>
      </c>
      <c r="AW37" s="65">
        <f>MAX($AP37-VLOOKUP($A37,'RE Generation'!$A$4:$M$52,'Mass Equivalents - States, Opt2'!AW$7-2016,0)-VLOOKUP('Mass Equivalents - States, Opt2'!$A37,'EE Avoided Generation'!$N$4:$S$52,'Mass Equivalents - States, Opt2'!AW$7-2018,0)-VLOOKUP($A37,'Under Construction Nuclear'!$B$5:$D$53,3,0),0)+Y37+$T37+VLOOKUP('Mass Equivalents - States, Opt2'!$A37,'EE Avoided Generation'!$N$4:$S$52,'Mass Equivalents - States, Opt2'!AW$7-2018,0)</f>
        <v>27984658.246236473</v>
      </c>
      <c r="AX37" s="29"/>
      <c r="AY37" s="71">
        <f t="shared" si="17"/>
        <v>9695.9313909574867</v>
      </c>
      <c r="AZ37" s="72">
        <f t="shared" si="18"/>
        <v>9453.06990606211</v>
      </c>
      <c r="BA37" s="72">
        <f t="shared" si="19"/>
        <v>9181.2942155178825</v>
      </c>
      <c r="BB37" s="72">
        <f t="shared" si="20"/>
        <v>8884.8786758490696</v>
      </c>
      <c r="BC37" s="72">
        <f t="shared" si="21"/>
        <v>8579.8311214154164</v>
      </c>
      <c r="BD37" s="75">
        <f t="shared" si="7"/>
        <v>9159.0010619603927</v>
      </c>
      <c r="BE37" s="76">
        <f t="shared" si="22"/>
        <v>8579.8311214154164</v>
      </c>
      <c r="BH37" s="63">
        <f>AS37+VLOOKUP($A37,'Incremental Demand for New Gen'!$AG$66:$AL$114,'Mass Equivalents - States, Opt2'!AS$7-2018,0)</f>
        <v>31776636.229957845</v>
      </c>
      <c r="BI37" s="64">
        <f>AT37+VLOOKUP($A37,'Incremental Demand for New Gen'!$AG$66:$AL$114,'Mass Equivalents - States, Opt2'!AT$7-2018,0)</f>
        <v>32262970.097911134</v>
      </c>
      <c r="BJ37" s="64">
        <f>AU37+VLOOKUP($A37,'Incremental Demand for New Gen'!$AG$66:$AL$114,'Mass Equivalents - States, Opt2'!AU$7-2018,0)</f>
        <v>32752098.114035383</v>
      </c>
      <c r="BK37" s="64">
        <f>AV37+VLOOKUP($A37,'Incremental Demand for New Gen'!$AG$66:$AL$114,'Mass Equivalents - States, Opt2'!AV$7-2018,0)</f>
        <v>33244036.331631649</v>
      </c>
      <c r="BL37" s="65">
        <f>AW37+VLOOKUP($A37,'Incremental Demand for New Gen'!$AG$66:$AL$114,'Mass Equivalents - States, Opt2'!AW$7-2018,0)</f>
        <v>33738800.896232508</v>
      </c>
      <c r="BM37" s="29"/>
      <c r="BN37" s="71">
        <f t="shared" si="23"/>
        <v>11009.7497711097</v>
      </c>
      <c r="BO37" s="72">
        <f t="shared" si="24"/>
        <v>10898.261076808445</v>
      </c>
      <c r="BP37" s="72">
        <f t="shared" si="25"/>
        <v>10745.410800251879</v>
      </c>
      <c r="BQ37" s="72">
        <f t="shared" si="26"/>
        <v>10554.684173846883</v>
      </c>
      <c r="BR37" s="72">
        <f t="shared" si="27"/>
        <v>10343.996749278291</v>
      </c>
      <c r="BS37" s="75">
        <f t="shared" si="9"/>
        <v>10710.42051425904</v>
      </c>
      <c r="BT37" s="76">
        <f t="shared" si="28"/>
        <v>10343.996749278291</v>
      </c>
    </row>
    <row r="38" spans="1:72" x14ac:dyDescent="0.25">
      <c r="A38" s="16" t="s">
        <v>72</v>
      </c>
      <c r="B38" s="17">
        <v>2340.9359761999999</v>
      </c>
      <c r="C38" s="17">
        <v>907.40862790000006</v>
      </c>
      <c r="D38" s="17">
        <v>1313.4459059999999</v>
      </c>
      <c r="E38" s="17">
        <v>0</v>
      </c>
      <c r="F38" s="17">
        <v>11353987</v>
      </c>
      <c r="G38" s="17">
        <v>5730957</v>
      </c>
      <c r="H38" s="17">
        <v>2208001</v>
      </c>
      <c r="I38" s="17">
        <v>0</v>
      </c>
      <c r="J38" s="17">
        <v>1662.4</v>
      </c>
      <c r="K38" s="17">
        <v>0</v>
      </c>
      <c r="L38" s="18">
        <f t="shared" si="10"/>
        <v>2247.2985371519999</v>
      </c>
      <c r="M38" s="19">
        <f t="shared" si="29"/>
        <v>8205574.3194038002</v>
      </c>
      <c r="N38" s="19">
        <f t="shared" si="30"/>
        <v>1595731.6405961986</v>
      </c>
      <c r="O38" s="19">
        <f t="shared" si="11"/>
        <v>9491639.040000001</v>
      </c>
      <c r="P38" s="19">
        <f t="shared" si="12"/>
        <v>0</v>
      </c>
      <c r="Q38" s="19">
        <f t="shared" si="13"/>
        <v>0</v>
      </c>
      <c r="R38" s="20">
        <f t="shared" si="14"/>
        <v>0.39246351808169894</v>
      </c>
      <c r="S38" s="20">
        <f t="shared" si="15"/>
        <v>0.65</v>
      </c>
      <c r="T38" s="21">
        <v>0</v>
      </c>
      <c r="U38" s="22">
        <v>3261075.8320251782</v>
      </c>
      <c r="V38" s="22">
        <v>3459833.9725480471</v>
      </c>
      <c r="W38" s="22">
        <v>3670706.1516455952</v>
      </c>
      <c r="X38" s="22">
        <v>3894430.70350732</v>
      </c>
      <c r="Y38" s="22">
        <v>4131790.9627882536</v>
      </c>
      <c r="Z38" s="23">
        <v>2.8141874291353258E-2</v>
      </c>
      <c r="AA38" s="23">
        <v>3.580778093954716E-2</v>
      </c>
      <c r="AB38" s="23">
        <v>4.2821154289317577E-2</v>
      </c>
      <c r="AC38" s="23">
        <v>4.9206905772203893E-2</v>
      </c>
      <c r="AD38" s="23">
        <v>5.4988916372842742E-2</v>
      </c>
      <c r="AE38" s="23">
        <v>1.5006422353948949</v>
      </c>
      <c r="AF38" s="24">
        <v>24919278.456799999</v>
      </c>
      <c r="AG38" s="25">
        <f t="shared" si="2"/>
        <v>1253.4382478022053</v>
      </c>
      <c r="AH38" s="25">
        <f t="shared" si="2"/>
        <v>1232.7754344304333</v>
      </c>
      <c r="AI38" s="25">
        <f t="shared" si="2"/>
        <v>1212.9920936710303</v>
      </c>
      <c r="AJ38" s="25">
        <f t="shared" si="2"/>
        <v>1193.969993004421</v>
      </c>
      <c r="AK38" s="25">
        <f t="shared" si="2"/>
        <v>1175.6020933399577</v>
      </c>
      <c r="AL38" s="26">
        <f t="shared" si="3"/>
        <v>1213.7555724496094</v>
      </c>
      <c r="AM38" s="26">
        <f t="shared" si="16"/>
        <v>1175.6020933399577</v>
      </c>
      <c r="AN38" s="69"/>
      <c r="AO38" s="70"/>
      <c r="AP38" s="79">
        <f t="shared" si="4"/>
        <v>19292945</v>
      </c>
      <c r="AQ38" s="79">
        <f t="shared" si="5"/>
        <v>15730.314677098509</v>
      </c>
      <c r="AR38" s="84"/>
      <c r="AS38" s="63">
        <f>MAX($AP38-VLOOKUP($A38,'RE Generation'!$A$4:$M$52,'Mass Equivalents - States, Opt2'!AS$7-2016,0)-VLOOKUP('Mass Equivalents - States, Opt2'!$A38,'EE Avoided Generation'!$N$4:$S$52,'Mass Equivalents - States, Opt2'!AS$7-2018,0)-VLOOKUP($A38,'Under Construction Nuclear'!$B$5:$D$53,3,0),0)+U38+$T38+VLOOKUP('Mass Equivalents - States, Opt2'!$A38,'EE Avoided Generation'!$N$4:$S$52,'Mass Equivalents - States, Opt2'!AS$7-2018,0)</f>
        <v>21866796.309999999</v>
      </c>
      <c r="AT38" s="64">
        <f>MAX($AP38-VLOOKUP($A38,'RE Generation'!$A$4:$M$52,'Mass Equivalents - States, Opt2'!AT$7-2016,0)-VLOOKUP('Mass Equivalents - States, Opt2'!$A38,'EE Avoided Generation'!$N$4:$S$52,'Mass Equivalents - States, Opt2'!AT$7-2018,0)-VLOOKUP($A38,'Under Construction Nuclear'!$B$5:$D$53,3,0),0)+V38+$T38+VLOOKUP('Mass Equivalents - States, Opt2'!$A38,'EE Avoided Generation'!$N$4:$S$52,'Mass Equivalents - States, Opt2'!AT$7-2018,0)</f>
        <v>21866796.310000002</v>
      </c>
      <c r="AU38" s="64">
        <f>MAX($AP38-VLOOKUP($A38,'RE Generation'!$A$4:$M$52,'Mass Equivalents - States, Opt2'!AU$7-2016,0)-VLOOKUP('Mass Equivalents - States, Opt2'!$A38,'EE Avoided Generation'!$N$4:$S$52,'Mass Equivalents - States, Opt2'!AU$7-2018,0)-VLOOKUP($A38,'Under Construction Nuclear'!$B$5:$D$53,3,0),0)+W38+$T38+VLOOKUP('Mass Equivalents - States, Opt2'!$A38,'EE Avoided Generation'!$N$4:$S$52,'Mass Equivalents - States, Opt2'!AU$7-2018,0)</f>
        <v>21866796.309999999</v>
      </c>
      <c r="AV38" s="64">
        <f>MAX($AP38-VLOOKUP($A38,'RE Generation'!$A$4:$M$52,'Mass Equivalents - States, Opt2'!AV$7-2016,0)-VLOOKUP('Mass Equivalents - States, Opt2'!$A38,'EE Avoided Generation'!$N$4:$S$52,'Mass Equivalents - States, Opt2'!AV$7-2018,0)-VLOOKUP($A38,'Under Construction Nuclear'!$B$5:$D$53,3,0),0)+X38+$T38+VLOOKUP('Mass Equivalents - States, Opt2'!$A38,'EE Avoided Generation'!$N$4:$S$52,'Mass Equivalents - States, Opt2'!AV$7-2018,0)</f>
        <v>21866796.310000002</v>
      </c>
      <c r="AW38" s="65">
        <f>MAX($AP38-VLOOKUP($A38,'RE Generation'!$A$4:$M$52,'Mass Equivalents - States, Opt2'!AW$7-2016,0)-VLOOKUP('Mass Equivalents - States, Opt2'!$A38,'EE Avoided Generation'!$N$4:$S$52,'Mass Equivalents - States, Opt2'!AW$7-2018,0)-VLOOKUP($A38,'Under Construction Nuclear'!$B$5:$D$53,3,0),0)+Y38+$T38+VLOOKUP('Mass Equivalents - States, Opt2'!$A38,'EE Avoided Generation'!$N$4:$S$52,'Mass Equivalents - States, Opt2'!AW$7-2018,0)</f>
        <v>21866796.310000002</v>
      </c>
      <c r="AX38" s="29"/>
      <c r="AY38" s="71">
        <f t="shared" si="17"/>
        <v>12432.382384199604</v>
      </c>
      <c r="AZ38" s="72">
        <f t="shared" si="18"/>
        <v>12227.435712577246</v>
      </c>
      <c r="BA38" s="72">
        <f t="shared" si="19"/>
        <v>12031.212198902695</v>
      </c>
      <c r="BB38" s="72">
        <f t="shared" si="20"/>
        <v>11842.539139298293</v>
      </c>
      <c r="BC38" s="72">
        <f t="shared" si="21"/>
        <v>11660.354853296472</v>
      </c>
      <c r="BD38" s="75">
        <f t="shared" si="7"/>
        <v>12038.78485765486</v>
      </c>
      <c r="BE38" s="76">
        <f t="shared" si="22"/>
        <v>11660.354853296472</v>
      </c>
      <c r="BH38" s="63">
        <f>AS38+VLOOKUP($A38,'Incremental Demand for New Gen'!$AG$66:$AL$114,'Mass Equivalents - States, Opt2'!AS$7-2018,0)</f>
        <v>24649964.006759826</v>
      </c>
      <c r="BI38" s="64">
        <f>AT38+VLOOKUP($A38,'Incremental Demand for New Gen'!$AG$66:$AL$114,'Mass Equivalents - States, Opt2'!AT$7-2018,0)</f>
        <v>25018917.583859332</v>
      </c>
      <c r="BJ38" s="64">
        <f>AU38+VLOOKUP($A38,'Incremental Demand for New Gen'!$AG$66:$AL$114,'Mass Equivalents - States, Opt2'!AU$7-2018,0)</f>
        <v>25392758.841595016</v>
      </c>
      <c r="BK38" s="64">
        <f>AV38+VLOOKUP($A38,'Incremental Demand for New Gen'!$AG$66:$AL$114,'Mass Equivalents - States, Opt2'!AV$7-2018,0)</f>
        <v>25771552.529093839</v>
      </c>
      <c r="BL38" s="65">
        <f>AW38+VLOOKUP($A38,'Incremental Demand for New Gen'!$AG$66:$AL$114,'Mass Equivalents - States, Opt2'!AW$7-2018,0)</f>
        <v>26155364.253241196</v>
      </c>
      <c r="BM38" s="29"/>
      <c r="BN38" s="71">
        <f t="shared" si="23"/>
        <v>14014.754330914384</v>
      </c>
      <c r="BO38" s="72">
        <f t="shared" si="24"/>
        <v>13990.033200016962</v>
      </c>
      <c r="BP38" s="72">
        <f t="shared" si="25"/>
        <v>13971.213048665941</v>
      </c>
      <c r="BQ38" s="72">
        <f t="shared" si="26"/>
        <v>13957.262654278398</v>
      </c>
      <c r="BR38" s="72">
        <f t="shared" si="27"/>
        <v>13947.211296359215</v>
      </c>
      <c r="BS38" s="75">
        <f t="shared" si="9"/>
        <v>13976.094906046981</v>
      </c>
      <c r="BT38" s="76">
        <f t="shared" si="28"/>
        <v>13947.211296359215</v>
      </c>
    </row>
    <row r="39" spans="1:72" x14ac:dyDescent="0.25">
      <c r="A39" s="16" t="s">
        <v>73</v>
      </c>
      <c r="B39" s="17">
        <v>2219.4027956</v>
      </c>
      <c r="C39" s="17">
        <v>933.76639460000001</v>
      </c>
      <c r="D39" s="17">
        <v>1366.2534776</v>
      </c>
      <c r="E39" s="17">
        <v>1921012399.6359246</v>
      </c>
      <c r="F39" s="17">
        <v>4156143.4079999998</v>
      </c>
      <c r="G39" s="17">
        <v>44002776.7729</v>
      </c>
      <c r="H39" s="17">
        <v>12502558</v>
      </c>
      <c r="I39" s="17">
        <v>2590211.4823018005</v>
      </c>
      <c r="J39" s="17">
        <v>9847.6</v>
      </c>
      <c r="K39" s="17">
        <v>0</v>
      </c>
      <c r="L39" s="18">
        <f t="shared" si="10"/>
        <v>2130.6266837759999</v>
      </c>
      <c r="M39" s="19">
        <f t="shared" si="29"/>
        <v>1106633.5512067792</v>
      </c>
      <c r="N39" s="19">
        <f t="shared" si="30"/>
        <v>3328987.669693213</v>
      </c>
      <c r="O39" s="19">
        <f t="shared" si="11"/>
        <v>56225856.960000008</v>
      </c>
      <c r="P39" s="19">
        <f t="shared" si="12"/>
        <v>1921012399.6359246</v>
      </c>
      <c r="Q39" s="19">
        <f t="shared" si="13"/>
        <v>2590211.4823018005</v>
      </c>
      <c r="R39" s="20">
        <f t="shared" si="14"/>
        <v>0.50869486831890876</v>
      </c>
      <c r="S39" s="20">
        <f t="shared" si="15"/>
        <v>0.65</v>
      </c>
      <c r="T39" s="21">
        <v>2410637.290132205</v>
      </c>
      <c r="U39" s="22">
        <v>8344247.8219562788</v>
      </c>
      <c r="V39" s="22">
        <v>9394883.1627347302</v>
      </c>
      <c r="W39" s="22">
        <v>10577805.396573586</v>
      </c>
      <c r="X39" s="22">
        <v>11909670.942114362</v>
      </c>
      <c r="Y39" s="22">
        <v>13409233.449822094</v>
      </c>
      <c r="Z39" s="23">
        <v>3.5425738679413565E-2</v>
      </c>
      <c r="AA39" s="23">
        <v>4.2952953475503798E-2</v>
      </c>
      <c r="AB39" s="23">
        <v>4.988728056930837E-2</v>
      </c>
      <c r="AC39" s="23">
        <v>5.6241039932068103E-2</v>
      </c>
      <c r="AD39" s="23">
        <v>6.2026078845708855E-2</v>
      </c>
      <c r="AE39" s="23">
        <v>0.93050619567916049</v>
      </c>
      <c r="AF39" s="24">
        <v>153914184.36679998</v>
      </c>
      <c r="AG39" s="25">
        <f t="shared" si="2"/>
        <v>775.52795992915571</v>
      </c>
      <c r="AH39" s="25">
        <f t="shared" si="2"/>
        <v>755.19960744697812</v>
      </c>
      <c r="AI39" s="25">
        <f t="shared" si="2"/>
        <v>735.49163586248278</v>
      </c>
      <c r="AJ39" s="25">
        <f t="shared" si="2"/>
        <v>716.23533930263034</v>
      </c>
      <c r="AK39" s="25">
        <f t="shared" si="2"/>
        <v>697.27723499900117</v>
      </c>
      <c r="AL39" s="26">
        <f t="shared" si="3"/>
        <v>735.94635550804958</v>
      </c>
      <c r="AM39" s="26">
        <f t="shared" si="16"/>
        <v>697.27723499900117</v>
      </c>
      <c r="AN39" s="69"/>
      <c r="AO39" s="70"/>
      <c r="AP39" s="79">
        <f t="shared" si="4"/>
        <v>63251689.663201801</v>
      </c>
      <c r="AQ39" s="79">
        <f t="shared" si="5"/>
        <v>31440.858861972032</v>
      </c>
      <c r="AR39" s="84"/>
      <c r="AS39" s="63">
        <f>MAX($AP39-VLOOKUP($A39,'RE Generation'!$A$4:$M$52,'Mass Equivalents - States, Opt2'!AS$7-2016,0)-VLOOKUP('Mass Equivalents - States, Opt2'!$A39,'EE Avoided Generation'!$N$4:$S$52,'Mass Equivalents - States, Opt2'!AS$7-2018,0)-VLOOKUP($A39,'Under Construction Nuclear'!$B$5:$D$53,3,0),0)+U39+$T39+VLOOKUP('Mass Equivalents - States, Opt2'!$A39,'EE Avoided Generation'!$N$4:$S$52,'Mass Equivalents - States, Opt2'!AS$7-2018,0)</f>
        <v>70854754.393334001</v>
      </c>
      <c r="AT39" s="64">
        <f>MAX($AP39-VLOOKUP($A39,'RE Generation'!$A$4:$M$52,'Mass Equivalents - States, Opt2'!AT$7-2016,0)-VLOOKUP('Mass Equivalents - States, Opt2'!$A39,'EE Avoided Generation'!$N$4:$S$52,'Mass Equivalents - States, Opt2'!AT$7-2018,0)-VLOOKUP($A39,'Under Construction Nuclear'!$B$5:$D$53,3,0),0)+V39+$T39+VLOOKUP('Mass Equivalents - States, Opt2'!$A39,'EE Avoided Generation'!$N$4:$S$52,'Mass Equivalents - States, Opt2'!AT$7-2018,0)</f>
        <v>70854754.393334001</v>
      </c>
      <c r="AU39" s="64">
        <f>MAX($AP39-VLOOKUP($A39,'RE Generation'!$A$4:$M$52,'Mass Equivalents - States, Opt2'!AU$7-2016,0)-VLOOKUP('Mass Equivalents - States, Opt2'!$A39,'EE Avoided Generation'!$N$4:$S$52,'Mass Equivalents - States, Opt2'!AU$7-2018,0)-VLOOKUP($A39,'Under Construction Nuclear'!$B$5:$D$53,3,0),0)+W39+$T39+VLOOKUP('Mass Equivalents - States, Opt2'!$A39,'EE Avoided Generation'!$N$4:$S$52,'Mass Equivalents - States, Opt2'!AU$7-2018,0)</f>
        <v>70854754.393334001</v>
      </c>
      <c r="AV39" s="64">
        <f>MAX($AP39-VLOOKUP($A39,'RE Generation'!$A$4:$M$52,'Mass Equivalents - States, Opt2'!AV$7-2016,0)-VLOOKUP('Mass Equivalents - States, Opt2'!$A39,'EE Avoided Generation'!$N$4:$S$52,'Mass Equivalents - States, Opt2'!AV$7-2018,0)-VLOOKUP($A39,'Under Construction Nuclear'!$B$5:$D$53,3,0),0)+X39+$T39+VLOOKUP('Mass Equivalents - States, Opt2'!$A39,'EE Avoided Generation'!$N$4:$S$52,'Mass Equivalents - States, Opt2'!AV$7-2018,0)</f>
        <v>70854754.393334001</v>
      </c>
      <c r="AW39" s="65">
        <f>MAX($AP39-VLOOKUP($A39,'RE Generation'!$A$4:$M$52,'Mass Equivalents - States, Opt2'!AW$7-2016,0)-VLOOKUP('Mass Equivalents - States, Opt2'!$A39,'EE Avoided Generation'!$N$4:$S$52,'Mass Equivalents - States, Opt2'!AW$7-2018,0)-VLOOKUP($A39,'Under Construction Nuclear'!$B$5:$D$53,3,0),0)+Y39+$T39+VLOOKUP('Mass Equivalents - States, Opt2'!$A39,'EE Avoided Generation'!$N$4:$S$52,'Mass Equivalents - States, Opt2'!AW$7-2018,0)</f>
        <v>70854754.393334001</v>
      </c>
      <c r="AX39" s="29"/>
      <c r="AY39" s="71">
        <f t="shared" si="17"/>
        <v>24924.859216528792</v>
      </c>
      <c r="AZ39" s="72">
        <f t="shared" si="18"/>
        <v>24271.521941921008</v>
      </c>
      <c r="BA39" s="72">
        <f t="shared" si="19"/>
        <v>23638.123221864844</v>
      </c>
      <c r="BB39" s="72">
        <f t="shared" si="20"/>
        <v>23019.24098217113</v>
      </c>
      <c r="BC39" s="72">
        <f t="shared" si="21"/>
        <v>22409.942407270759</v>
      </c>
      <c r="BD39" s="75">
        <f t="shared" si="7"/>
        <v>23652.737553951309</v>
      </c>
      <c r="BE39" s="76">
        <f t="shared" si="22"/>
        <v>22409.942407270759</v>
      </c>
      <c r="BH39" s="63">
        <f>AS39+VLOOKUP($A39,'Incremental Demand for New Gen'!$AG$66:$AL$114,'Mass Equivalents - States, Opt2'!AS$7-2018,0)</f>
        <v>72839224.250797793</v>
      </c>
      <c r="BI39" s="64">
        <f>AT39+VLOOKUP($A39,'Incremental Demand for New Gen'!$AG$66:$AL$114,'Mass Equivalents - States, Opt2'!AT$7-2018,0)</f>
        <v>73089058.771404862</v>
      </c>
      <c r="BJ39" s="64">
        <f>AU39+VLOOKUP($A39,'Incremental Demand for New Gen'!$AG$66:$AL$114,'Mass Equivalents - States, Opt2'!AU$7-2018,0)</f>
        <v>73339290.002304763</v>
      </c>
      <c r="BK39" s="64">
        <f>AV39+VLOOKUP($A39,'Incremental Demand for New Gen'!$AG$66:$AL$114,'Mass Equivalents - States, Opt2'!AV$7-2018,0)</f>
        <v>73589918.573430672</v>
      </c>
      <c r="BL39" s="65">
        <f>AW39+VLOOKUP($A39,'Incremental Demand for New Gen'!$AG$66:$AL$114,'Mass Equivalents - States, Opt2'!AW$7-2018,0)</f>
        <v>73840945.11571604</v>
      </c>
      <c r="BM39" s="29"/>
      <c r="BN39" s="71">
        <f t="shared" si="23"/>
        <v>25622.944083807412</v>
      </c>
      <c r="BO39" s="72">
        <f t="shared" si="24"/>
        <v>25036.890027684622</v>
      </c>
      <c r="BP39" s="72">
        <f t="shared" si="25"/>
        <v>24466.998565189537</v>
      </c>
      <c r="BQ39" s="72">
        <f t="shared" si="26"/>
        <v>23907.839128146374</v>
      </c>
      <c r="BR39" s="72">
        <f t="shared" si="27"/>
        <v>23354.414837931017</v>
      </c>
      <c r="BS39" s="75">
        <f t="shared" si="9"/>
        <v>24477.817328551791</v>
      </c>
      <c r="BT39" s="76">
        <f t="shared" si="28"/>
        <v>23354.414837931017</v>
      </c>
    </row>
    <row r="40" spans="1:72" x14ac:dyDescent="0.25">
      <c r="A40" s="16" t="s">
        <v>74</v>
      </c>
      <c r="B40" s="17">
        <v>2044.2853448000001</v>
      </c>
      <c r="C40" s="17">
        <v>851.23011589999999</v>
      </c>
      <c r="D40" s="17">
        <v>0</v>
      </c>
      <c r="E40" s="17">
        <v>826846418.97859919</v>
      </c>
      <c r="F40" s="17">
        <v>50607838</v>
      </c>
      <c r="G40" s="17">
        <v>15195335.001800001</v>
      </c>
      <c r="H40" s="17">
        <v>0</v>
      </c>
      <c r="I40" s="17">
        <v>362531.25863500009</v>
      </c>
      <c r="J40" s="17">
        <v>4709.1000000000004</v>
      </c>
      <c r="K40" s="17">
        <v>2249</v>
      </c>
      <c r="L40" s="18">
        <f t="shared" si="10"/>
        <v>1962.5139310080001</v>
      </c>
      <c r="M40" s="19">
        <f t="shared" si="29"/>
        <v>36940574.041799992</v>
      </c>
      <c r="N40" s="19">
        <f t="shared" si="30"/>
        <v>0</v>
      </c>
      <c r="O40" s="19">
        <f t="shared" si="11"/>
        <v>28862598.960000005</v>
      </c>
      <c r="P40" s="19">
        <f t="shared" si="12"/>
        <v>10075775561.898846</v>
      </c>
      <c r="Q40" s="19">
        <f t="shared" si="13"/>
        <v>11227900.058635</v>
      </c>
      <c r="R40" s="20">
        <f t="shared" si="14"/>
        <v>0.36734999564750009</v>
      </c>
      <c r="S40" s="20">
        <f t="shared" si="15"/>
        <v>0.65</v>
      </c>
      <c r="T40" s="21">
        <v>2295625.0875564399</v>
      </c>
      <c r="U40" s="22">
        <v>4476628.244452402</v>
      </c>
      <c r="V40" s="22">
        <v>5077972.6318094656</v>
      </c>
      <c r="W40" s="22">
        <v>5760095.4650099985</v>
      </c>
      <c r="X40" s="22">
        <v>6533847.6931109373</v>
      </c>
      <c r="Y40" s="22">
        <v>7411537.8705267711</v>
      </c>
      <c r="Z40" s="23">
        <v>2.0915154272456382E-2</v>
      </c>
      <c r="AA40" s="23">
        <v>2.8727967819277216E-2</v>
      </c>
      <c r="AB40" s="23">
        <v>3.6395365060931044E-2</v>
      </c>
      <c r="AC40" s="23">
        <v>4.3420972955697967E-2</v>
      </c>
      <c r="AD40" s="23">
        <v>4.9827339088528232E-2</v>
      </c>
      <c r="AE40" s="23">
        <v>0.86123824559614315</v>
      </c>
      <c r="AF40" s="24">
        <v>137704068.46430001</v>
      </c>
      <c r="AG40" s="25">
        <f t="shared" ref="AG40:AK55" si="32">(($L40*$M40)+($N40*$D40)+($C40*$O40)+$P40)/($M40+$N40+$O40+$Q40+$T40+U40+(MIN(Z40*$AF40,$AF40*$AE40*Z40)))</f>
        <v>1241.7267752107618</v>
      </c>
      <c r="AH40" s="25">
        <f t="shared" si="32"/>
        <v>1220.1208786102786</v>
      </c>
      <c r="AI40" s="25">
        <f t="shared" si="32"/>
        <v>1198.4017759271526</v>
      </c>
      <c r="AJ40" s="25">
        <f t="shared" si="32"/>
        <v>1177.2416489815805</v>
      </c>
      <c r="AK40" s="25">
        <f t="shared" si="32"/>
        <v>1156.4349952930033</v>
      </c>
      <c r="AL40" s="26">
        <f t="shared" si="3"/>
        <v>1198.7852148045554</v>
      </c>
      <c r="AM40" s="26">
        <f t="shared" si="16"/>
        <v>1156.4349952930033</v>
      </c>
      <c r="AN40" s="69"/>
      <c r="AO40" s="70"/>
      <c r="AP40" s="79">
        <f t="shared" ref="AP40:AP56" si="33">M40+N40+O40+Q40</f>
        <v>77031073.060434997</v>
      </c>
      <c r="AQ40" s="79">
        <f t="shared" ref="AQ40:AQ56" si="34">((B40*F40)+(C40*G40)+(D40*H40)+E40)/2204.62*10^-3</f>
        <v>53169.450857341719</v>
      </c>
      <c r="AR40" s="84"/>
      <c r="AS40" s="63">
        <f>MAX($AP40-VLOOKUP($A40,'RE Generation'!$A$4:$M$52,'Mass Equivalents - States, Opt2'!AS$7-2016,0)-VLOOKUP('Mass Equivalents - States, Opt2'!$A40,'EE Avoided Generation'!$N$4:$S$52,'Mass Equivalents - States, Opt2'!AS$7-2018,0)-VLOOKUP($A40,'Under Construction Nuclear'!$B$5:$D$53,3,0),0)+U40+$T40+VLOOKUP('Mass Equivalents - States, Opt2'!$A40,'EE Avoided Generation'!$N$4:$S$52,'Mass Equivalents - States, Opt2'!AS$7-2018,0)</f>
        <v>82030617.467991441</v>
      </c>
      <c r="AT40" s="64">
        <f>MAX($AP40-VLOOKUP($A40,'RE Generation'!$A$4:$M$52,'Mass Equivalents - States, Opt2'!AT$7-2016,0)-VLOOKUP('Mass Equivalents - States, Opt2'!$A40,'EE Avoided Generation'!$N$4:$S$52,'Mass Equivalents - States, Opt2'!AT$7-2018,0)-VLOOKUP($A40,'Under Construction Nuclear'!$B$5:$D$53,3,0),0)+V40+$T40+VLOOKUP('Mass Equivalents - States, Opt2'!$A40,'EE Avoided Generation'!$N$4:$S$52,'Mass Equivalents - States, Opt2'!AT$7-2018,0)</f>
        <v>82030617.467991441</v>
      </c>
      <c r="AU40" s="64">
        <f>MAX($AP40-VLOOKUP($A40,'RE Generation'!$A$4:$M$52,'Mass Equivalents - States, Opt2'!AU$7-2016,0)-VLOOKUP('Mass Equivalents - States, Opt2'!$A40,'EE Avoided Generation'!$N$4:$S$52,'Mass Equivalents - States, Opt2'!AU$7-2018,0)-VLOOKUP($A40,'Under Construction Nuclear'!$B$5:$D$53,3,0),0)+W40+$T40+VLOOKUP('Mass Equivalents - States, Opt2'!$A40,'EE Avoided Generation'!$N$4:$S$52,'Mass Equivalents - States, Opt2'!AU$7-2018,0)</f>
        <v>82030617.467991441</v>
      </c>
      <c r="AV40" s="64">
        <f>MAX($AP40-VLOOKUP($A40,'RE Generation'!$A$4:$M$52,'Mass Equivalents - States, Opt2'!AV$7-2016,0)-VLOOKUP('Mass Equivalents - States, Opt2'!$A40,'EE Avoided Generation'!$N$4:$S$52,'Mass Equivalents - States, Opt2'!AV$7-2018,0)-VLOOKUP($A40,'Under Construction Nuclear'!$B$5:$D$53,3,0),0)+X40+$T40+VLOOKUP('Mass Equivalents - States, Opt2'!$A40,'EE Avoided Generation'!$N$4:$S$52,'Mass Equivalents - States, Opt2'!AV$7-2018,0)</f>
        <v>82030617.467991441</v>
      </c>
      <c r="AW40" s="65">
        <f>MAX($AP40-VLOOKUP($A40,'RE Generation'!$A$4:$M$52,'Mass Equivalents - States, Opt2'!AW$7-2016,0)-VLOOKUP('Mass Equivalents - States, Opt2'!$A40,'EE Avoided Generation'!$N$4:$S$52,'Mass Equivalents - States, Opt2'!AW$7-2018,0)-VLOOKUP($A40,'Under Construction Nuclear'!$B$5:$D$53,3,0),0)+Y40+$T40+VLOOKUP('Mass Equivalents - States, Opt2'!$A40,'EE Avoided Generation'!$N$4:$S$52,'Mass Equivalents - States, Opt2'!AW$7-2018,0)</f>
        <v>82030617.467991441</v>
      </c>
      <c r="AX40" s="29"/>
      <c r="AY40" s="71">
        <f t="shared" si="17"/>
        <v>46202.798712284479</v>
      </c>
      <c r="AZ40" s="72">
        <f t="shared" si="18"/>
        <v>45398.875569481082</v>
      </c>
      <c r="BA40" s="72">
        <f t="shared" si="19"/>
        <v>44590.740197422623</v>
      </c>
      <c r="BB40" s="72">
        <f t="shared" si="20"/>
        <v>43803.403477694788</v>
      </c>
      <c r="BC40" s="72">
        <f t="shared" si="21"/>
        <v>43029.218969926267</v>
      </c>
      <c r="BD40" s="75">
        <f t="shared" ref="BD40:BD56" si="35">AVERAGE(AY40:BC40)</f>
        <v>44605.007385361845</v>
      </c>
      <c r="BE40" s="76">
        <f t="shared" si="22"/>
        <v>43029.218969926267</v>
      </c>
      <c r="BH40" s="63">
        <f>AS40+VLOOKUP($A40,'Incremental Demand for New Gen'!$AG$66:$AL$114,'Mass Equivalents - States, Opt2'!AS$7-2018,0)</f>
        <v>84460814.282086313</v>
      </c>
      <c r="BI40" s="64">
        <f>AT40+VLOOKUP($A40,'Incremental Demand for New Gen'!$AG$66:$AL$114,'Mass Equivalents - States, Opt2'!AT$7-2018,0)</f>
        <v>86206179.179207787</v>
      </c>
      <c r="BJ40" s="64">
        <f>AU40+VLOOKUP($A40,'Incremental Demand for New Gen'!$AG$66:$AL$114,'Mass Equivalents - States, Opt2'!AU$7-2018,0)</f>
        <v>87971654.912231714</v>
      </c>
      <c r="BK40" s="64">
        <f>AV40+VLOOKUP($A40,'Incremental Demand for New Gen'!$AG$66:$AL$114,'Mass Equivalents - States, Opt2'!AV$7-2018,0)</f>
        <v>89757473.20675388</v>
      </c>
      <c r="BL40" s="65">
        <f>AW40+VLOOKUP($A40,'Incremental Demand for New Gen'!$AG$66:$AL$114,'Mass Equivalents - States, Opt2'!AW$7-2018,0)</f>
        <v>91563868.458410889</v>
      </c>
      <c r="BM40" s="29"/>
      <c r="BN40" s="71">
        <f t="shared" si="23"/>
        <v>47571.57902503384</v>
      </c>
      <c r="BO40" s="72">
        <f t="shared" si="24"/>
        <v>47709.790840040514</v>
      </c>
      <c r="BP40" s="72">
        <f t="shared" si="25"/>
        <v>47820.208234557023</v>
      </c>
      <c r="BQ40" s="72">
        <f t="shared" si="26"/>
        <v>47929.455310365956</v>
      </c>
      <c r="BR40" s="72">
        <f t="shared" si="27"/>
        <v>48029.892584532288</v>
      </c>
      <c r="BS40" s="75">
        <f t="shared" ref="BS40:BS56" si="36">AVERAGE(BN40:BR40)</f>
        <v>47812.185198905921</v>
      </c>
      <c r="BT40" s="76">
        <f t="shared" si="28"/>
        <v>48029.892584532288</v>
      </c>
    </row>
    <row r="41" spans="1:72" x14ac:dyDescent="0.25">
      <c r="A41" s="16" t="s">
        <v>75</v>
      </c>
      <c r="B41" s="17">
        <v>2367.8470266999998</v>
      </c>
      <c r="C41" s="17">
        <v>0</v>
      </c>
      <c r="D41" s="17">
        <v>0</v>
      </c>
      <c r="E41" s="17">
        <v>0</v>
      </c>
      <c r="F41" s="17">
        <v>28186691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8">
        <f t="shared" si="10"/>
        <v>2273.1331456319999</v>
      </c>
      <c r="M41" s="19">
        <f t="shared" si="29"/>
        <v>28186691</v>
      </c>
      <c r="N41" s="19">
        <f t="shared" si="30"/>
        <v>0</v>
      </c>
      <c r="O41" s="19">
        <f t="shared" si="11"/>
        <v>0</v>
      </c>
      <c r="P41" s="19">
        <f t="shared" si="12"/>
        <v>0</v>
      </c>
      <c r="Q41" s="19">
        <f t="shared" si="13"/>
        <v>0</v>
      </c>
      <c r="R41" s="20"/>
      <c r="S41" s="20"/>
      <c r="T41" s="21">
        <v>0</v>
      </c>
      <c r="U41" s="22">
        <v>5459956.5101004001</v>
      </c>
      <c r="V41" s="22">
        <v>5459956.5101004001</v>
      </c>
      <c r="W41" s="22">
        <v>5459956.5101004001</v>
      </c>
      <c r="X41" s="22">
        <v>5459956.5101004001</v>
      </c>
      <c r="Y41" s="22">
        <v>5459956.5101004001</v>
      </c>
      <c r="Z41" s="23">
        <v>1.1060057868368837E-2</v>
      </c>
      <c r="AA41" s="23">
        <v>1.697078211303155E-2</v>
      </c>
      <c r="AB41" s="23">
        <v>2.3935890865384876E-2</v>
      </c>
      <c r="AC41" s="23">
        <v>3.1849026087177455E-2</v>
      </c>
      <c r="AD41" s="23">
        <v>3.9460294108027053E-2</v>
      </c>
      <c r="AE41" s="23">
        <v>2.5949466162513546</v>
      </c>
      <c r="AF41" s="24">
        <v>15822199.395599999</v>
      </c>
      <c r="AG41" s="25">
        <f t="shared" si="32"/>
        <v>1894.4113260549059</v>
      </c>
      <c r="AH41" s="25">
        <f t="shared" si="32"/>
        <v>1889.1875093517949</v>
      </c>
      <c r="AI41" s="25">
        <f t="shared" si="32"/>
        <v>1883.0686986746557</v>
      </c>
      <c r="AJ41" s="25">
        <f t="shared" si="32"/>
        <v>1876.1649708888287</v>
      </c>
      <c r="AK41" s="25">
        <f t="shared" si="32"/>
        <v>1869.5721972655269</v>
      </c>
      <c r="AL41" s="26">
        <f t="shared" si="3"/>
        <v>1882.4809404471423</v>
      </c>
      <c r="AM41" s="26">
        <f t="shared" si="16"/>
        <v>1869.5721972655269</v>
      </c>
      <c r="AN41" s="69"/>
      <c r="AO41" s="70"/>
      <c r="AP41" s="79">
        <f t="shared" si="33"/>
        <v>28186691</v>
      </c>
      <c r="AQ41" s="79">
        <f t="shared" si="34"/>
        <v>30273.594758671177</v>
      </c>
      <c r="AR41" s="84"/>
      <c r="AS41" s="63">
        <f>MAX($AP41-VLOOKUP($A41,'RE Generation'!$A$4:$M$52,'Mass Equivalents - States, Opt2'!AS$7-2016,0)-VLOOKUP('Mass Equivalents - States, Opt2'!$A41,'EE Avoided Generation'!$N$4:$S$52,'Mass Equivalents - States, Opt2'!AS$7-2018,0)-VLOOKUP($A41,'Under Construction Nuclear'!$B$5:$D$53,3,0),0)+U41+$T41+VLOOKUP('Mass Equivalents - States, Opt2'!$A41,'EE Avoided Generation'!$N$4:$S$52,'Mass Equivalents - States, Opt2'!AS$7-2018,0)</f>
        <v>33466742.999999996</v>
      </c>
      <c r="AT41" s="64">
        <f>MAX($AP41-VLOOKUP($A41,'RE Generation'!$A$4:$M$52,'Mass Equivalents - States, Opt2'!AT$7-2016,0)-VLOOKUP('Mass Equivalents - States, Opt2'!$A41,'EE Avoided Generation'!$N$4:$S$52,'Mass Equivalents - States, Opt2'!AT$7-2018,0)-VLOOKUP($A41,'Under Construction Nuclear'!$B$5:$D$53,3,0),0)+V41+$T41+VLOOKUP('Mass Equivalents - States, Opt2'!$A41,'EE Avoided Generation'!$N$4:$S$52,'Mass Equivalents - States, Opt2'!AT$7-2018,0)</f>
        <v>33466743</v>
      </c>
      <c r="AU41" s="64">
        <f>MAX($AP41-VLOOKUP($A41,'RE Generation'!$A$4:$M$52,'Mass Equivalents - States, Opt2'!AU$7-2016,0)-VLOOKUP('Mass Equivalents - States, Opt2'!$A41,'EE Avoided Generation'!$N$4:$S$52,'Mass Equivalents - States, Opt2'!AU$7-2018,0)-VLOOKUP($A41,'Under Construction Nuclear'!$B$5:$D$53,3,0),0)+W41+$T41+VLOOKUP('Mass Equivalents - States, Opt2'!$A41,'EE Avoided Generation'!$N$4:$S$52,'Mass Equivalents - States, Opt2'!AU$7-2018,0)</f>
        <v>33466743</v>
      </c>
      <c r="AV41" s="64">
        <f>MAX($AP41-VLOOKUP($A41,'RE Generation'!$A$4:$M$52,'Mass Equivalents - States, Opt2'!AV$7-2016,0)-VLOOKUP('Mass Equivalents - States, Opt2'!$A41,'EE Avoided Generation'!$N$4:$S$52,'Mass Equivalents - States, Opt2'!AV$7-2018,0)-VLOOKUP($A41,'Under Construction Nuclear'!$B$5:$D$53,3,0),0)+X41+$T41+VLOOKUP('Mass Equivalents - States, Opt2'!$A41,'EE Avoided Generation'!$N$4:$S$52,'Mass Equivalents - States, Opt2'!AV$7-2018,0)</f>
        <v>33466743</v>
      </c>
      <c r="AW41" s="65">
        <f>MAX($AP41-VLOOKUP($A41,'RE Generation'!$A$4:$M$52,'Mass Equivalents - States, Opt2'!AW$7-2016,0)-VLOOKUP('Mass Equivalents - States, Opt2'!$A41,'EE Avoided Generation'!$N$4:$S$52,'Mass Equivalents - States, Opt2'!AW$7-2018,0)-VLOOKUP($A41,'Under Construction Nuclear'!$B$5:$D$53,3,0),0)+Y41+$T41+VLOOKUP('Mass Equivalents - States, Opt2'!$A41,'EE Avoided Generation'!$N$4:$S$52,'Mass Equivalents - States, Opt2'!AW$7-2018,0)</f>
        <v>33466742.999999996</v>
      </c>
      <c r="AX41" s="29"/>
      <c r="AY41" s="71">
        <f t="shared" si="17"/>
        <v>28757.689300364116</v>
      </c>
      <c r="AZ41" s="72">
        <f t="shared" si="18"/>
        <v>28678.390314107019</v>
      </c>
      <c r="BA41" s="72">
        <f t="shared" si="19"/>
        <v>28585.505071118445</v>
      </c>
      <c r="BB41" s="72">
        <f t="shared" si="20"/>
        <v>28480.704568741516</v>
      </c>
      <c r="BC41" s="72">
        <f t="shared" si="21"/>
        <v>28380.624436787606</v>
      </c>
      <c r="BD41" s="75">
        <f t="shared" si="35"/>
        <v>28576.58273822374</v>
      </c>
      <c r="BE41" s="76">
        <f t="shared" si="22"/>
        <v>28380.624436787606</v>
      </c>
      <c r="BH41" s="63">
        <f>AS41+VLOOKUP($A41,'Incremental Demand for New Gen'!$AG$66:$AL$114,'Mass Equivalents - States, Opt2'!AS$7-2018,0)</f>
        <v>34229743.290096015</v>
      </c>
      <c r="BI41" s="64">
        <f>AT41+VLOOKUP($A41,'Incremental Demand for New Gen'!$AG$66:$AL$114,'Mass Equivalents - States, Opt2'!AT$7-2018,0)</f>
        <v>34327668.084541485</v>
      </c>
      <c r="BJ41" s="64">
        <f>AU41+VLOOKUP($A41,'Incremental Demand for New Gen'!$AG$66:$AL$114,'Mass Equivalents - States, Opt2'!AU$7-2018,0)</f>
        <v>34426170.674170665</v>
      </c>
      <c r="BK41" s="64">
        <f>AV41+VLOOKUP($A41,'Incremental Demand for New Gen'!$AG$66:$AL$114,'Mass Equivalents - States, Opt2'!AV$7-2018,0)</f>
        <v>34525254.468204647</v>
      </c>
      <c r="BL41" s="65">
        <f>AW41+VLOOKUP($A41,'Incremental Demand for New Gen'!$AG$66:$AL$114,'Mass Equivalents - States, Opt2'!AW$7-2018,0)</f>
        <v>34624922.895980261</v>
      </c>
      <c r="BM41" s="29"/>
      <c r="BN41" s="71">
        <f t="shared" si="23"/>
        <v>29413.328998516663</v>
      </c>
      <c r="BO41" s="72">
        <f t="shared" si="24"/>
        <v>29416.136010056169</v>
      </c>
      <c r="BP41" s="72">
        <f t="shared" si="25"/>
        <v>29404.996966262737</v>
      </c>
      <c r="BQ41" s="72">
        <f t="shared" si="26"/>
        <v>29381.513841055868</v>
      </c>
      <c r="BR41" s="72">
        <f t="shared" si="27"/>
        <v>29362.789586771087</v>
      </c>
      <c r="BS41" s="75">
        <f t="shared" si="36"/>
        <v>29395.753080532508</v>
      </c>
      <c r="BT41" s="76">
        <f t="shared" si="28"/>
        <v>29362.789586771087</v>
      </c>
    </row>
    <row r="42" spans="1:72" x14ac:dyDescent="0.25">
      <c r="A42" s="30" t="s">
        <v>76</v>
      </c>
      <c r="B42" s="17">
        <v>2126.4919454000001</v>
      </c>
      <c r="C42" s="17">
        <v>962.64416500000004</v>
      </c>
      <c r="D42" s="17">
        <v>1331.8594760999999</v>
      </c>
      <c r="E42" s="17">
        <v>284732505.57003486</v>
      </c>
      <c r="F42" s="17">
        <v>86473075</v>
      </c>
      <c r="G42" s="17">
        <v>20907183.119899999</v>
      </c>
      <c r="H42" s="17">
        <v>321602</v>
      </c>
      <c r="I42" s="17">
        <v>214178.34231189999</v>
      </c>
      <c r="J42" s="17">
        <v>4342.5</v>
      </c>
      <c r="K42" s="17">
        <v>539</v>
      </c>
      <c r="L42" s="18">
        <f t="shared" si="10"/>
        <v>2041.4322675840001</v>
      </c>
      <c r="M42" s="19">
        <f t="shared" si="29"/>
        <v>82129018.499765277</v>
      </c>
      <c r="N42" s="19">
        <f t="shared" si="30"/>
        <v>305446.02013472415</v>
      </c>
      <c r="O42" s="19">
        <f t="shared" si="11"/>
        <v>25267395.600000001</v>
      </c>
      <c r="P42" s="19">
        <f t="shared" si="12"/>
        <v>2791474083.6520076</v>
      </c>
      <c r="Q42" s="19">
        <f t="shared" si="13"/>
        <v>2818195.1423119004</v>
      </c>
      <c r="R42" s="20">
        <f t="shared" si="14"/>
        <v>0.54810450150899792</v>
      </c>
      <c r="S42" s="20">
        <f t="shared" si="15"/>
        <v>0.65</v>
      </c>
      <c r="T42" s="21">
        <v>993077.25115620636</v>
      </c>
      <c r="U42" s="22">
        <v>3286936.6168206702</v>
      </c>
      <c r="V42" s="22">
        <v>3854232.2836537608</v>
      </c>
      <c r="W42" s="22">
        <v>4519438.0750571536</v>
      </c>
      <c r="X42" s="22">
        <v>5299452.3970188377</v>
      </c>
      <c r="Y42" s="22">
        <v>6214090.1682591476</v>
      </c>
      <c r="Z42" s="23">
        <v>3.4676753555524638E-2</v>
      </c>
      <c r="AA42" s="23">
        <v>4.2182902333554755E-2</v>
      </c>
      <c r="AB42" s="23">
        <v>4.9087889235972744E-2</v>
      </c>
      <c r="AC42" s="23">
        <v>5.5406067178868687E-2</v>
      </c>
      <c r="AD42" s="23">
        <v>6.1151250081496064E-2</v>
      </c>
      <c r="AE42" s="23">
        <v>0.85969038999059932</v>
      </c>
      <c r="AF42" s="24">
        <v>163906374.48639998</v>
      </c>
      <c r="AG42" s="25">
        <f t="shared" si="32"/>
        <v>1630.7846535318415</v>
      </c>
      <c r="AH42" s="25">
        <f t="shared" si="32"/>
        <v>1608.9401226934333</v>
      </c>
      <c r="AI42" s="25">
        <f t="shared" si="32"/>
        <v>1587.5026064613085</v>
      </c>
      <c r="AJ42" s="25">
        <f t="shared" si="32"/>
        <v>1566.2250310434026</v>
      </c>
      <c r="AK42" s="25">
        <f t="shared" si="32"/>
        <v>1544.8511535497901</v>
      </c>
      <c r="AL42" s="26">
        <f t="shared" si="3"/>
        <v>1587.6607134559551</v>
      </c>
      <c r="AM42" s="26">
        <f t="shared" si="16"/>
        <v>1544.8511535497901</v>
      </c>
      <c r="AN42" s="69"/>
      <c r="AO42" s="70"/>
      <c r="AP42" s="79">
        <f t="shared" si="33"/>
        <v>110520055.26221189</v>
      </c>
      <c r="AQ42" s="79">
        <f t="shared" si="34"/>
        <v>92861.14454882525</v>
      </c>
      <c r="AR42" s="84"/>
      <c r="AS42" s="63">
        <f>MAX($AP42-VLOOKUP($A42,'RE Generation'!$A$4:$M$52,'Mass Equivalents - States, Opt2'!AS$7-2016,0)-VLOOKUP('Mass Equivalents - States, Opt2'!$A42,'EE Avoided Generation'!$N$4:$S$52,'Mass Equivalents - States, Opt2'!AS$7-2018,0)-VLOOKUP($A42,'Under Construction Nuclear'!$B$5:$D$53,3,0),0)+U42+$T42+VLOOKUP('Mass Equivalents - States, Opt2'!$A42,'EE Avoided Generation'!$N$4:$S$52,'Mass Equivalents - States, Opt2'!AS$7-2018,0)</f>
        <v>113251754.2633681</v>
      </c>
      <c r="AT42" s="64">
        <f>MAX($AP42-VLOOKUP($A42,'RE Generation'!$A$4:$M$52,'Mass Equivalents - States, Opt2'!AT$7-2016,0)-VLOOKUP('Mass Equivalents - States, Opt2'!$A42,'EE Avoided Generation'!$N$4:$S$52,'Mass Equivalents - States, Opt2'!AT$7-2018,0)-VLOOKUP($A42,'Under Construction Nuclear'!$B$5:$D$53,3,0),0)+V42+$T42+VLOOKUP('Mass Equivalents - States, Opt2'!$A42,'EE Avoided Generation'!$N$4:$S$52,'Mass Equivalents - States, Opt2'!AT$7-2018,0)</f>
        <v>113251754.2633681</v>
      </c>
      <c r="AU42" s="64">
        <f>MAX($AP42-VLOOKUP($A42,'RE Generation'!$A$4:$M$52,'Mass Equivalents - States, Opt2'!AU$7-2016,0)-VLOOKUP('Mass Equivalents - States, Opt2'!$A42,'EE Avoided Generation'!$N$4:$S$52,'Mass Equivalents - States, Opt2'!AU$7-2018,0)-VLOOKUP($A42,'Under Construction Nuclear'!$B$5:$D$53,3,0),0)+W42+$T42+VLOOKUP('Mass Equivalents - States, Opt2'!$A42,'EE Avoided Generation'!$N$4:$S$52,'Mass Equivalents - States, Opt2'!AU$7-2018,0)</f>
        <v>113251754.2633681</v>
      </c>
      <c r="AV42" s="64">
        <f>MAX($AP42-VLOOKUP($A42,'RE Generation'!$A$4:$M$52,'Mass Equivalents - States, Opt2'!AV$7-2016,0)-VLOOKUP('Mass Equivalents - States, Opt2'!$A42,'EE Avoided Generation'!$N$4:$S$52,'Mass Equivalents - States, Opt2'!AV$7-2018,0)-VLOOKUP($A42,'Under Construction Nuclear'!$B$5:$D$53,3,0),0)+X42+$T42+VLOOKUP('Mass Equivalents - States, Opt2'!$A42,'EE Avoided Generation'!$N$4:$S$52,'Mass Equivalents - States, Opt2'!AV$7-2018,0)</f>
        <v>113251754.2633681</v>
      </c>
      <c r="AW42" s="65">
        <f>MAX($AP42-VLOOKUP($A42,'RE Generation'!$A$4:$M$52,'Mass Equivalents - States, Opt2'!AW$7-2016,0)-VLOOKUP('Mass Equivalents - States, Opt2'!$A42,'EE Avoided Generation'!$N$4:$S$52,'Mass Equivalents - States, Opt2'!AW$7-2018,0)-VLOOKUP($A42,'Under Construction Nuclear'!$B$5:$D$53,3,0),0)+Y42+$T42+VLOOKUP('Mass Equivalents - States, Opt2'!$A42,'EE Avoided Generation'!$N$4:$S$52,'Mass Equivalents - States, Opt2'!AW$7-2018,0)</f>
        <v>113251754.2633681</v>
      </c>
      <c r="AX42" s="29"/>
      <c r="AY42" s="71">
        <f t="shared" si="17"/>
        <v>83773.721928613566</v>
      </c>
      <c r="AZ42" s="72">
        <f t="shared" si="18"/>
        <v>82651.564169675519</v>
      </c>
      <c r="BA42" s="72">
        <f t="shared" si="19"/>
        <v>81550.314829500101</v>
      </c>
      <c r="BB42" s="72">
        <f t="shared" si="20"/>
        <v>80457.281679774067</v>
      </c>
      <c r="BC42" s="72">
        <f t="shared" si="21"/>
        <v>79359.301473860163</v>
      </c>
      <c r="BD42" s="75">
        <f t="shared" si="35"/>
        <v>81558.43681628468</v>
      </c>
      <c r="BE42" s="76">
        <f t="shared" si="22"/>
        <v>79359.301473860163</v>
      </c>
      <c r="BH42" s="63">
        <f>AS42+VLOOKUP($A42,'Incremental Demand for New Gen'!$AG$66:$AL$114,'Mass Equivalents - States, Opt2'!AS$7-2018,0)</f>
        <v>117975708.5144079</v>
      </c>
      <c r="BI42" s="64">
        <f>AT42+VLOOKUP($A42,'Incremental Demand for New Gen'!$AG$66:$AL$114,'Mass Equivalents - States, Opt2'!AT$7-2018,0)</f>
        <v>118913320.39262271</v>
      </c>
      <c r="BJ42" s="64">
        <f>AU42+VLOOKUP($A42,'Incremental Demand for New Gen'!$AG$66:$AL$114,'Mass Equivalents - States, Opt2'!AU$7-2018,0)</f>
        <v>119856024.16429621</v>
      </c>
      <c r="BK42" s="64">
        <f>AV42+VLOOKUP($A42,'Incremental Demand for New Gen'!$AG$66:$AL$114,'Mass Equivalents - States, Opt2'!AV$7-2018,0)</f>
        <v>120803847.48199932</v>
      </c>
      <c r="BL42" s="65">
        <f>AW42+VLOOKUP($A42,'Incremental Demand for New Gen'!$AG$66:$AL$114,'Mass Equivalents - States, Opt2'!AW$7-2018,0)</f>
        <v>121756818.148476</v>
      </c>
      <c r="BM42" s="29"/>
      <c r="BN42" s="71">
        <f t="shared" si="23"/>
        <v>87268.0892556732</v>
      </c>
      <c r="BO42" s="72">
        <f t="shared" si="24"/>
        <v>86783.396822304945</v>
      </c>
      <c r="BP42" s="72">
        <f t="shared" si="25"/>
        <v>86305.917011053971</v>
      </c>
      <c r="BQ42" s="72">
        <f t="shared" si="26"/>
        <v>85822.504455487506</v>
      </c>
      <c r="BR42" s="72">
        <f t="shared" si="27"/>
        <v>85319.08490770527</v>
      </c>
      <c r="BS42" s="75">
        <f t="shared" si="36"/>
        <v>86299.798490444984</v>
      </c>
      <c r="BT42" s="76">
        <f t="shared" si="28"/>
        <v>85319.08490770527</v>
      </c>
    </row>
    <row r="43" spans="1:72" x14ac:dyDescent="0.25">
      <c r="A43" s="16" t="s">
        <v>77</v>
      </c>
      <c r="B43" s="17">
        <v>2304.7120074999998</v>
      </c>
      <c r="C43" s="17">
        <v>891.47868089999997</v>
      </c>
      <c r="D43" s="17">
        <v>1382.0249091000001</v>
      </c>
      <c r="E43" s="17">
        <v>13854903.0142067</v>
      </c>
      <c r="F43" s="17">
        <v>29102160</v>
      </c>
      <c r="G43" s="17">
        <v>29943376.000300001</v>
      </c>
      <c r="H43" s="17">
        <v>8488757.7226999998</v>
      </c>
      <c r="I43" s="17">
        <v>13846.757718600027</v>
      </c>
      <c r="J43" s="17">
        <v>8035.1</v>
      </c>
      <c r="K43" s="17">
        <v>0</v>
      </c>
      <c r="L43" s="18">
        <f t="shared" si="10"/>
        <v>2212.5235271999995</v>
      </c>
      <c r="M43" s="19">
        <f t="shared" si="29"/>
        <v>16766496.863951486</v>
      </c>
      <c r="N43" s="19">
        <f t="shared" si="30"/>
        <v>4890589.8990485072</v>
      </c>
      <c r="O43" s="19">
        <f t="shared" si="11"/>
        <v>45877206.960000008</v>
      </c>
      <c r="P43" s="19">
        <f t="shared" si="12"/>
        <v>13854903.0142067</v>
      </c>
      <c r="Q43" s="19">
        <f t="shared" si="13"/>
        <v>13846.757718600027</v>
      </c>
      <c r="R43" s="20">
        <f t="shared" si="14"/>
        <v>0.42424540833893432</v>
      </c>
      <c r="S43" s="20">
        <f t="shared" si="15"/>
        <v>0.65</v>
      </c>
      <c r="T43" s="21">
        <v>0</v>
      </c>
      <c r="U43" s="22">
        <v>11742784.579366207</v>
      </c>
      <c r="V43" s="22">
        <v>12723152.778090764</v>
      </c>
      <c r="W43" s="22">
        <v>13785368.838246694</v>
      </c>
      <c r="X43" s="22">
        <v>14936265.980688779</v>
      </c>
      <c r="Y43" s="22">
        <v>15579317.626</v>
      </c>
      <c r="Z43" s="23">
        <v>1.5737887560981254E-2</v>
      </c>
      <c r="AA43" s="23">
        <v>2.2552998057595336E-2</v>
      </c>
      <c r="AB43" s="23">
        <v>3.0307596821666189E-2</v>
      </c>
      <c r="AC43" s="23">
        <v>3.7916705203196586E-2</v>
      </c>
      <c r="AD43" s="23">
        <v>4.4897817516286853E-2</v>
      </c>
      <c r="AE43" s="23">
        <v>1.1444401272607516</v>
      </c>
      <c r="AF43" s="24">
        <v>63797104.862399995</v>
      </c>
      <c r="AG43" s="25">
        <f t="shared" si="32"/>
        <v>1055.7025764430525</v>
      </c>
      <c r="AH43" s="25">
        <f t="shared" si="32"/>
        <v>1037.418667965836</v>
      </c>
      <c r="AI43" s="25">
        <f t="shared" si="32"/>
        <v>1018.0208918655493</v>
      </c>
      <c r="AJ43" s="25">
        <f t="shared" si="32"/>
        <v>998.40065510536442</v>
      </c>
      <c r="AK43" s="25">
        <f t="shared" si="32"/>
        <v>985.76357205562181</v>
      </c>
      <c r="AL43" s="26">
        <f t="shared" si="3"/>
        <v>1019.061272687085</v>
      </c>
      <c r="AM43" s="26">
        <f t="shared" si="16"/>
        <v>985.76357205562181</v>
      </c>
      <c r="AN43" s="69"/>
      <c r="AO43" s="70"/>
      <c r="AP43" s="79">
        <f t="shared" si="33"/>
        <v>67548140.480718598</v>
      </c>
      <c r="AQ43" s="79">
        <f t="shared" si="34"/>
        <v>47859.272100283481</v>
      </c>
      <c r="AR43" s="84"/>
      <c r="AS43" s="63">
        <f>MAX($AP43-VLOOKUP($A43,'RE Generation'!$A$4:$M$52,'Mass Equivalents - States, Opt2'!AS$7-2016,0)-VLOOKUP('Mass Equivalents - States, Opt2'!$A43,'EE Avoided Generation'!$N$4:$S$52,'Mass Equivalents - States, Opt2'!AS$7-2018,0)-VLOOKUP($A43,'Under Construction Nuclear'!$B$5:$D$53,3,0),0)+U43+$T43+VLOOKUP('Mass Equivalents - States, Opt2'!$A43,'EE Avoided Generation'!$N$4:$S$52,'Mass Equivalents - States, Opt2'!AS$7-2018,0)</f>
        <v>76068864.530718595</v>
      </c>
      <c r="AT43" s="64">
        <f>MAX($AP43-VLOOKUP($A43,'RE Generation'!$A$4:$M$52,'Mass Equivalents - States, Opt2'!AT$7-2016,0)-VLOOKUP('Mass Equivalents - States, Opt2'!$A43,'EE Avoided Generation'!$N$4:$S$52,'Mass Equivalents - States, Opt2'!AT$7-2018,0)-VLOOKUP($A43,'Under Construction Nuclear'!$B$5:$D$53,3,0),0)+V43+$T43+VLOOKUP('Mass Equivalents - States, Opt2'!$A43,'EE Avoided Generation'!$N$4:$S$52,'Mass Equivalents - States, Opt2'!AT$7-2018,0)</f>
        <v>76068864.530718595</v>
      </c>
      <c r="AU43" s="64">
        <f>MAX($AP43-VLOOKUP($A43,'RE Generation'!$A$4:$M$52,'Mass Equivalents - States, Opt2'!AU$7-2016,0)-VLOOKUP('Mass Equivalents - States, Opt2'!$A43,'EE Avoided Generation'!$N$4:$S$52,'Mass Equivalents - States, Opt2'!AU$7-2018,0)-VLOOKUP($A43,'Under Construction Nuclear'!$B$5:$D$53,3,0),0)+W43+$T43+VLOOKUP('Mass Equivalents - States, Opt2'!$A43,'EE Avoided Generation'!$N$4:$S$52,'Mass Equivalents - States, Opt2'!AU$7-2018,0)</f>
        <v>76068864.530718595</v>
      </c>
      <c r="AV43" s="64">
        <f>MAX($AP43-VLOOKUP($A43,'RE Generation'!$A$4:$M$52,'Mass Equivalents - States, Opt2'!AV$7-2016,0)-VLOOKUP('Mass Equivalents - States, Opt2'!$A43,'EE Avoided Generation'!$N$4:$S$52,'Mass Equivalents - States, Opt2'!AV$7-2018,0)-VLOOKUP($A43,'Under Construction Nuclear'!$B$5:$D$53,3,0),0)+X43+$T43+VLOOKUP('Mass Equivalents - States, Opt2'!$A43,'EE Avoided Generation'!$N$4:$S$52,'Mass Equivalents - States, Opt2'!AV$7-2018,0)</f>
        <v>76068864.530718595</v>
      </c>
      <c r="AW43" s="65">
        <f>MAX($AP43-VLOOKUP($A43,'RE Generation'!$A$4:$M$52,'Mass Equivalents - States, Opt2'!AW$7-2016,0)-VLOOKUP('Mass Equivalents - States, Opt2'!$A43,'EE Avoided Generation'!$N$4:$S$52,'Mass Equivalents - States, Opt2'!AW$7-2018,0)-VLOOKUP($A43,'Under Construction Nuclear'!$B$5:$D$53,3,0),0)+Y43+$T43+VLOOKUP('Mass Equivalents - States, Opt2'!$A43,'EE Avoided Generation'!$N$4:$S$52,'Mass Equivalents - States, Opt2'!AW$7-2018,0)</f>
        <v>76068864.530718595</v>
      </c>
      <c r="AX43" s="29"/>
      <c r="AY43" s="71">
        <f t="shared" si="17"/>
        <v>36426.275853515421</v>
      </c>
      <c r="AZ43" s="72">
        <f t="shared" si="18"/>
        <v>35795.402434492891</v>
      </c>
      <c r="BA43" s="72">
        <f t="shared" si="19"/>
        <v>35126.095795539273</v>
      </c>
      <c r="BB43" s="72">
        <f t="shared" si="20"/>
        <v>34449.113307776708</v>
      </c>
      <c r="BC43" s="72">
        <f t="shared" si="21"/>
        <v>34013.079633685789</v>
      </c>
      <c r="BD43" s="75">
        <f t="shared" si="35"/>
        <v>35161.993405002017</v>
      </c>
      <c r="BE43" s="76">
        <f t="shared" si="22"/>
        <v>34013.079633685789</v>
      </c>
      <c r="BH43" s="63">
        <f>AS43+VLOOKUP($A43,'Incremental Demand for New Gen'!$AG$66:$AL$114,'Mass Equivalents - States, Opt2'!AS$7-2018,0)</f>
        <v>81188242.278301015</v>
      </c>
      <c r="BI43" s="64">
        <f>AT43+VLOOKUP($A43,'Incremental Demand for New Gen'!$AG$66:$AL$114,'Mass Equivalents - States, Opt2'!AT$7-2018,0)</f>
        <v>81856339.711005881</v>
      </c>
      <c r="BJ43" s="64">
        <f>AU43+VLOOKUP($A43,'Incremental Demand for New Gen'!$AG$66:$AL$114,'Mass Equivalents - States, Opt2'!AU$7-2018,0)</f>
        <v>82530901.364641756</v>
      </c>
      <c r="BK43" s="64">
        <f>AV43+VLOOKUP($A43,'Incremental Demand for New Gen'!$AG$66:$AL$114,'Mass Equivalents - States, Opt2'!AV$7-2018,0)</f>
        <v>83211989.784206107</v>
      </c>
      <c r="BL43" s="65">
        <f>AW43+VLOOKUP($A43,'Incremental Demand for New Gen'!$AG$66:$AL$114,'Mass Equivalents - States, Opt2'!AW$7-2018,0)</f>
        <v>83899668.119854674</v>
      </c>
      <c r="BM43" s="29"/>
      <c r="BN43" s="71">
        <f t="shared" si="23"/>
        <v>38877.737002333808</v>
      </c>
      <c r="BO43" s="72">
        <f t="shared" si="24"/>
        <v>38518.790044339024</v>
      </c>
      <c r="BP43" s="72">
        <f t="shared" si="25"/>
        <v>38110.05153436886</v>
      </c>
      <c r="BQ43" s="72">
        <f t="shared" si="26"/>
        <v>37684.002283011258</v>
      </c>
      <c r="BR43" s="72">
        <f t="shared" si="27"/>
        <v>37514.508867790879</v>
      </c>
      <c r="BS43" s="75">
        <f t="shared" si="36"/>
        <v>38141.01794636876</v>
      </c>
      <c r="BT43" s="76">
        <f t="shared" si="28"/>
        <v>37514.508867790879</v>
      </c>
    </row>
    <row r="44" spans="1:72" x14ac:dyDescent="0.25">
      <c r="A44" s="16" t="s">
        <v>78</v>
      </c>
      <c r="B44" s="17">
        <v>2079.5252223000002</v>
      </c>
      <c r="C44" s="17">
        <v>852.62905750000004</v>
      </c>
      <c r="D44" s="17">
        <v>0</v>
      </c>
      <c r="E44" s="17">
        <v>103545341.24990836</v>
      </c>
      <c r="F44" s="17">
        <v>2640259</v>
      </c>
      <c r="G44" s="17">
        <v>11424290.9999</v>
      </c>
      <c r="H44" s="17">
        <v>0</v>
      </c>
      <c r="I44" s="17">
        <v>123816.30492919998</v>
      </c>
      <c r="J44" s="17">
        <v>3434.6</v>
      </c>
      <c r="K44" s="17">
        <v>0</v>
      </c>
      <c r="L44" s="18">
        <f t="shared" si="10"/>
        <v>1996.3442134080001</v>
      </c>
      <c r="M44" s="19">
        <f t="shared" si="29"/>
        <v>0</v>
      </c>
      <c r="N44" s="19">
        <f t="shared" si="30"/>
        <v>0</v>
      </c>
      <c r="O44" s="19">
        <f t="shared" si="11"/>
        <v>14064549.9999</v>
      </c>
      <c r="P44" s="19">
        <f t="shared" si="12"/>
        <v>103545341.24990836</v>
      </c>
      <c r="Q44" s="19">
        <f t="shared" si="13"/>
        <v>123816.30492919998</v>
      </c>
      <c r="R44" s="20">
        <f t="shared" si="14"/>
        <v>0.37866988193424211</v>
      </c>
      <c r="S44" s="20">
        <f t="shared" si="15"/>
        <v>0.4661839835808626</v>
      </c>
      <c r="T44" s="21">
        <v>0</v>
      </c>
      <c r="U44" s="22">
        <v>9131577.0351819769</v>
      </c>
      <c r="V44" s="22">
        <v>9688134.2466795612</v>
      </c>
      <c r="W44" s="22">
        <v>10278612.863918623</v>
      </c>
      <c r="X44" s="22">
        <v>10905080.350483691</v>
      </c>
      <c r="Y44" s="22">
        <v>11569730.179055318</v>
      </c>
      <c r="Z44" s="23">
        <v>3.5450051504817809E-2</v>
      </c>
      <c r="AA44" s="23">
        <v>4.2654371536373935E-2</v>
      </c>
      <c r="AB44" s="23">
        <v>4.9239284113587876E-2</v>
      </c>
      <c r="AC44" s="23">
        <v>5.5225235045928606E-2</v>
      </c>
      <c r="AD44" s="23">
        <v>6.0631870244054316E-2</v>
      </c>
      <c r="AE44" s="23">
        <v>1.1121495781525226</v>
      </c>
      <c r="AF44" s="24">
        <v>50195189.085599996</v>
      </c>
      <c r="AG44" s="25">
        <f t="shared" si="32"/>
        <v>481.90020621956626</v>
      </c>
      <c r="AH44" s="25">
        <f t="shared" si="32"/>
        <v>464.89357264937888</v>
      </c>
      <c r="AI44" s="25">
        <f t="shared" si="32"/>
        <v>448.99920006102741</v>
      </c>
      <c r="AJ44" s="25">
        <f t="shared" si="32"/>
        <v>434.06343543452971</v>
      </c>
      <c r="AK44" s="25">
        <f t="shared" si="32"/>
        <v>419.95656438833873</v>
      </c>
      <c r="AL44" s="26">
        <f t="shared" si="3"/>
        <v>449.9625957505682</v>
      </c>
      <c r="AM44" s="26">
        <f t="shared" si="16"/>
        <v>419.95656438833873</v>
      </c>
      <c r="AN44" s="69"/>
      <c r="AO44" s="70"/>
      <c r="AP44" s="79">
        <f t="shared" si="33"/>
        <v>14188366.304829201</v>
      </c>
      <c r="AQ44" s="79">
        <f t="shared" si="34"/>
        <v>6955.7170818576242</v>
      </c>
      <c r="AR44" s="84"/>
      <c r="AS44" s="63">
        <f>MAX($AP44-VLOOKUP($A44,'RE Generation'!$A$4:$M$52,'Mass Equivalents - States, Opt2'!AS$7-2016,0)-VLOOKUP('Mass Equivalents - States, Opt2'!$A44,'EE Avoided Generation'!$N$4:$S$52,'Mass Equivalents - States, Opt2'!AS$7-2018,0)-VLOOKUP($A44,'Under Construction Nuclear'!$B$5:$D$53,3,0),0)+U44+$T44+VLOOKUP('Mass Equivalents - States, Opt2'!$A44,'EE Avoided Generation'!$N$4:$S$52,'Mass Equivalents - States, Opt2'!AS$7-2018,0)</f>
        <v>21395595.6748292</v>
      </c>
      <c r="AT44" s="64">
        <f>MAX($AP44-VLOOKUP($A44,'RE Generation'!$A$4:$M$52,'Mass Equivalents - States, Opt2'!AT$7-2016,0)-VLOOKUP('Mass Equivalents - States, Opt2'!$A44,'EE Avoided Generation'!$N$4:$S$52,'Mass Equivalents - States, Opt2'!AT$7-2018,0)-VLOOKUP($A44,'Under Construction Nuclear'!$B$5:$D$53,3,0),0)+V44+$T44+VLOOKUP('Mass Equivalents - States, Opt2'!$A44,'EE Avoided Generation'!$N$4:$S$52,'Mass Equivalents - States, Opt2'!AT$7-2018,0)</f>
        <v>21395595.674829204</v>
      </c>
      <c r="AU44" s="64">
        <f>MAX($AP44-VLOOKUP($A44,'RE Generation'!$A$4:$M$52,'Mass Equivalents - States, Opt2'!AU$7-2016,0)-VLOOKUP('Mass Equivalents - States, Opt2'!$A44,'EE Avoided Generation'!$N$4:$S$52,'Mass Equivalents - States, Opt2'!AU$7-2018,0)-VLOOKUP($A44,'Under Construction Nuclear'!$B$5:$D$53,3,0),0)+W44+$T44+VLOOKUP('Mass Equivalents - States, Opt2'!$A44,'EE Avoided Generation'!$N$4:$S$52,'Mass Equivalents - States, Opt2'!AU$7-2018,0)</f>
        <v>21395595.6748292</v>
      </c>
      <c r="AV44" s="64">
        <f>MAX($AP44-VLOOKUP($A44,'RE Generation'!$A$4:$M$52,'Mass Equivalents - States, Opt2'!AV$7-2016,0)-VLOOKUP('Mass Equivalents - States, Opt2'!$A44,'EE Avoided Generation'!$N$4:$S$52,'Mass Equivalents - States, Opt2'!AV$7-2018,0)-VLOOKUP($A44,'Under Construction Nuclear'!$B$5:$D$53,3,0),0)+X44+$T44+VLOOKUP('Mass Equivalents - States, Opt2'!$A44,'EE Avoided Generation'!$N$4:$S$52,'Mass Equivalents - States, Opt2'!AV$7-2018,0)</f>
        <v>21395595.6748292</v>
      </c>
      <c r="AW44" s="65">
        <f>MAX($AP44-VLOOKUP($A44,'RE Generation'!$A$4:$M$52,'Mass Equivalents - States, Opt2'!AW$7-2016,0)-VLOOKUP('Mass Equivalents - States, Opt2'!$A44,'EE Avoided Generation'!$N$4:$S$52,'Mass Equivalents - States, Opt2'!AW$7-2018,0)-VLOOKUP($A44,'Under Construction Nuclear'!$B$5:$D$53,3,0),0)+Y44+$T44+VLOOKUP('Mass Equivalents - States, Opt2'!$A44,'EE Avoided Generation'!$N$4:$S$52,'Mass Equivalents - States, Opt2'!AW$7-2018,0)</f>
        <v>21395595.6748292</v>
      </c>
      <c r="AX44" s="29"/>
      <c r="AY44" s="71">
        <f t="shared" si="17"/>
        <v>4676.7887290737872</v>
      </c>
      <c r="AZ44" s="72">
        <f t="shared" si="18"/>
        <v>4511.7412126502286</v>
      </c>
      <c r="BA44" s="72">
        <f t="shared" si="19"/>
        <v>4357.4880672530808</v>
      </c>
      <c r="BB44" s="72">
        <f t="shared" si="20"/>
        <v>4212.5381071497704</v>
      </c>
      <c r="BC44" s="72">
        <f t="shared" si="21"/>
        <v>4075.6324684722404</v>
      </c>
      <c r="BD44" s="75">
        <f t="shared" si="35"/>
        <v>4366.8377169198229</v>
      </c>
      <c r="BE44" s="76">
        <f t="shared" si="22"/>
        <v>4075.6324684722404</v>
      </c>
      <c r="BH44" s="63">
        <f>AS44+VLOOKUP($A44,'Incremental Demand for New Gen'!$AG$66:$AL$114,'Mass Equivalents - States, Opt2'!AS$7-2018,0)</f>
        <v>26277670.263002984</v>
      </c>
      <c r="BI44" s="64">
        <f>AT44+VLOOKUP($A44,'Incremental Demand for New Gen'!$AG$66:$AL$114,'Mass Equivalents - States, Opt2'!AT$7-2018,0)</f>
        <v>26920068.161085896</v>
      </c>
      <c r="BJ44" s="64">
        <f>AU44+VLOOKUP($A44,'Incremental Demand for New Gen'!$AG$66:$AL$114,'Mass Equivalents - States, Opt2'!AU$7-2018,0)</f>
        <v>27569884.718950711</v>
      </c>
      <c r="BK44" s="64">
        <f>AV44+VLOOKUP($A44,'Incremental Demand for New Gen'!$AG$66:$AL$114,'Mass Equivalents - States, Opt2'!AV$7-2018,0)</f>
        <v>28227205.610154465</v>
      </c>
      <c r="BL44" s="65">
        <f>AW44+VLOOKUP($A44,'Incremental Demand for New Gen'!$AG$66:$AL$114,'Mass Equivalents - States, Opt2'!AW$7-2018,0)</f>
        <v>28892117.497645609</v>
      </c>
      <c r="BM44" s="29"/>
      <c r="BN44" s="71">
        <f t="shared" si="23"/>
        <v>5743.9444070682939</v>
      </c>
      <c r="BO44" s="72">
        <f t="shared" si="24"/>
        <v>5676.7001403289541</v>
      </c>
      <c r="BP44" s="72">
        <f t="shared" si="25"/>
        <v>5614.9613922506433</v>
      </c>
      <c r="BQ44" s="72">
        <f t="shared" si="26"/>
        <v>5557.6007837452607</v>
      </c>
      <c r="BR44" s="72">
        <f t="shared" si="27"/>
        <v>5503.6398119473906</v>
      </c>
      <c r="BS44" s="75">
        <f t="shared" si="36"/>
        <v>5619.3693070681084</v>
      </c>
      <c r="BT44" s="76">
        <f t="shared" si="28"/>
        <v>5503.6398119473906</v>
      </c>
    </row>
    <row r="45" spans="1:72" x14ac:dyDescent="0.25">
      <c r="A45" s="16" t="s">
        <v>79</v>
      </c>
      <c r="B45" s="17">
        <v>2107.9581696</v>
      </c>
      <c r="C45" s="17">
        <v>854.6162266</v>
      </c>
      <c r="D45" s="17">
        <v>1514.9898418</v>
      </c>
      <c r="E45" s="17">
        <v>3150956118.2280765</v>
      </c>
      <c r="F45" s="17">
        <v>87052562</v>
      </c>
      <c r="G45" s="17">
        <v>50028719.1127</v>
      </c>
      <c r="H45" s="17">
        <v>1638387</v>
      </c>
      <c r="I45" s="17">
        <v>3804205.3246400007</v>
      </c>
      <c r="J45" s="17">
        <v>9581.7999999999993</v>
      </c>
      <c r="K45" s="17">
        <v>0</v>
      </c>
      <c r="L45" s="18">
        <f t="shared" si="10"/>
        <v>2023.6398428160001</v>
      </c>
      <c r="M45" s="19">
        <f t="shared" si="29"/>
        <v>82459480.672056317</v>
      </c>
      <c r="N45" s="19">
        <f t="shared" si="30"/>
        <v>1551942.1606436849</v>
      </c>
      <c r="O45" s="19">
        <f t="shared" si="11"/>
        <v>54708245.279999994</v>
      </c>
      <c r="P45" s="19">
        <f t="shared" si="12"/>
        <v>3150956118.2280765</v>
      </c>
      <c r="Q45" s="19">
        <f t="shared" si="13"/>
        <v>3804205.3246400007</v>
      </c>
      <c r="R45" s="20">
        <f t="shared" si="14"/>
        <v>0.59440157981347352</v>
      </c>
      <c r="S45" s="20">
        <f t="shared" si="15"/>
        <v>0.65</v>
      </c>
      <c r="T45" s="21">
        <v>4480395.0401000939</v>
      </c>
      <c r="U45" s="22">
        <v>8430147.0121484883</v>
      </c>
      <c r="V45" s="22">
        <v>9885114.4874214325</v>
      </c>
      <c r="W45" s="22">
        <v>11591196.249438304</v>
      </c>
      <c r="X45" s="22">
        <v>13591732.363237385</v>
      </c>
      <c r="Y45" s="22">
        <v>15937542.998879563</v>
      </c>
      <c r="Z45" s="23">
        <v>3.5847727360893152E-2</v>
      </c>
      <c r="AA45" s="23">
        <v>4.32210058488562E-2</v>
      </c>
      <c r="AB45" s="23">
        <v>4.9991668604074405E-2</v>
      </c>
      <c r="AC45" s="23">
        <v>5.617507583326984E-2</v>
      </c>
      <c r="AD45" s="23">
        <v>6.1786011540218878E-2</v>
      </c>
      <c r="AE45" s="23">
        <v>1.4220124802014906</v>
      </c>
      <c r="AF45" s="24">
        <v>155577427.49770001</v>
      </c>
      <c r="AG45" s="25">
        <f t="shared" si="32"/>
        <v>1360.9273878076665</v>
      </c>
      <c r="AH45" s="25">
        <f t="shared" si="32"/>
        <v>1339.2834269929265</v>
      </c>
      <c r="AI45" s="25">
        <f t="shared" si="32"/>
        <v>1317.0702265038731</v>
      </c>
      <c r="AJ45" s="25">
        <f t="shared" si="32"/>
        <v>1294.0280142470774</v>
      </c>
      <c r="AK45" s="25">
        <f t="shared" si="32"/>
        <v>1269.8898359349839</v>
      </c>
      <c r="AL45" s="26">
        <f t="shared" si="3"/>
        <v>1316.2397782973053</v>
      </c>
      <c r="AM45" s="26">
        <f t="shared" si="16"/>
        <v>1269.8898359349839</v>
      </c>
      <c r="AN45" s="69"/>
      <c r="AO45" s="70"/>
      <c r="AP45" s="79">
        <f t="shared" si="33"/>
        <v>142523873.43733999</v>
      </c>
      <c r="AQ45" s="79">
        <f t="shared" si="34"/>
        <v>105184.39013635127</v>
      </c>
      <c r="AR45" s="84"/>
      <c r="AS45" s="63">
        <f>MAX($AP45-VLOOKUP($A45,'RE Generation'!$A$4:$M$52,'Mass Equivalents - States, Opt2'!AS$7-2016,0)-VLOOKUP('Mass Equivalents - States, Opt2'!$A45,'EE Avoided Generation'!$N$4:$S$52,'Mass Equivalents - States, Opt2'!AS$7-2018,0)-VLOOKUP($A45,'Under Construction Nuclear'!$B$5:$D$53,3,0),0)+U45+$T45+VLOOKUP('Mass Equivalents - States, Opt2'!$A45,'EE Avoided Generation'!$N$4:$S$52,'Mass Equivalents - States, Opt2'!AS$7-2018,0)</f>
        <v>151463386.0874401</v>
      </c>
      <c r="AT45" s="64">
        <f>MAX($AP45-VLOOKUP($A45,'RE Generation'!$A$4:$M$52,'Mass Equivalents - States, Opt2'!AT$7-2016,0)-VLOOKUP('Mass Equivalents - States, Opt2'!$A45,'EE Avoided Generation'!$N$4:$S$52,'Mass Equivalents - States, Opt2'!AT$7-2018,0)-VLOOKUP($A45,'Under Construction Nuclear'!$B$5:$D$53,3,0),0)+V45+$T45+VLOOKUP('Mass Equivalents - States, Opt2'!$A45,'EE Avoided Generation'!$N$4:$S$52,'Mass Equivalents - States, Opt2'!AT$7-2018,0)</f>
        <v>151463386.08744007</v>
      </c>
      <c r="AU45" s="64">
        <f>MAX($AP45-VLOOKUP($A45,'RE Generation'!$A$4:$M$52,'Mass Equivalents - States, Opt2'!AU$7-2016,0)-VLOOKUP('Mass Equivalents - States, Opt2'!$A45,'EE Avoided Generation'!$N$4:$S$52,'Mass Equivalents - States, Opt2'!AU$7-2018,0)-VLOOKUP($A45,'Under Construction Nuclear'!$B$5:$D$53,3,0),0)+W45+$T45+VLOOKUP('Mass Equivalents - States, Opt2'!$A45,'EE Avoided Generation'!$N$4:$S$52,'Mass Equivalents - States, Opt2'!AU$7-2018,0)</f>
        <v>151463386.08744007</v>
      </c>
      <c r="AV45" s="64">
        <f>MAX($AP45-VLOOKUP($A45,'RE Generation'!$A$4:$M$52,'Mass Equivalents - States, Opt2'!AV$7-2016,0)-VLOOKUP('Mass Equivalents - States, Opt2'!$A45,'EE Avoided Generation'!$N$4:$S$52,'Mass Equivalents - States, Opt2'!AV$7-2018,0)-VLOOKUP($A45,'Under Construction Nuclear'!$B$5:$D$53,3,0),0)+X45+$T45+VLOOKUP('Mass Equivalents - States, Opt2'!$A45,'EE Avoided Generation'!$N$4:$S$52,'Mass Equivalents - States, Opt2'!AV$7-2018,0)</f>
        <v>151463386.08744007</v>
      </c>
      <c r="AW45" s="65">
        <f>MAX($AP45-VLOOKUP($A45,'RE Generation'!$A$4:$M$52,'Mass Equivalents - States, Opt2'!AW$7-2016,0)-VLOOKUP('Mass Equivalents - States, Opt2'!$A45,'EE Avoided Generation'!$N$4:$S$52,'Mass Equivalents - States, Opt2'!AW$7-2018,0)-VLOOKUP($A45,'Under Construction Nuclear'!$B$5:$D$53,3,0),0)+Y45+$T45+VLOOKUP('Mass Equivalents - States, Opt2'!$A45,'EE Avoided Generation'!$N$4:$S$52,'Mass Equivalents - States, Opt2'!AW$7-2018,0)</f>
        <v>151463386.0874401</v>
      </c>
      <c r="AX45" s="29"/>
      <c r="AY45" s="71">
        <f t="shared" si="17"/>
        <v>93499.410499988167</v>
      </c>
      <c r="AZ45" s="72">
        <f t="shared" si="18"/>
        <v>92012.411564414506</v>
      </c>
      <c r="BA45" s="72">
        <f t="shared" si="19"/>
        <v>90486.304316040085</v>
      </c>
      <c r="BB45" s="72">
        <f t="shared" si="20"/>
        <v>88903.241705994005</v>
      </c>
      <c r="BC45" s="72">
        <f t="shared" si="21"/>
        <v>87244.883249147912</v>
      </c>
      <c r="BD45" s="75">
        <f t="shared" si="35"/>
        <v>90429.250267116935</v>
      </c>
      <c r="BE45" s="76">
        <f t="shared" si="22"/>
        <v>87244.883249147912</v>
      </c>
      <c r="BH45" s="63">
        <f>AS45+VLOOKUP($A45,'Incremental Demand for New Gen'!$AG$66:$AL$114,'Mass Equivalents - States, Opt2'!AS$7-2018,0)</f>
        <v>158836932.908099</v>
      </c>
      <c r="BI45" s="64">
        <f>AT45+VLOOKUP($A45,'Incremental Demand for New Gen'!$AG$66:$AL$114,'Mass Equivalents - States, Opt2'!AT$7-2018,0)</f>
        <v>159782614.96670273</v>
      </c>
      <c r="BJ45" s="64">
        <f>AU45+VLOOKUP($A45,'Incremental Demand for New Gen'!$AG$66:$AL$114,'Mass Equivalents - States, Opt2'!AU$7-2018,0)</f>
        <v>160733730.28004867</v>
      </c>
      <c r="BK45" s="64">
        <f>AV45+VLOOKUP($A45,'Incremental Demand for New Gen'!$AG$66:$AL$114,'Mass Equivalents - States, Opt2'!AV$7-2018,0)</f>
        <v>161690310.06397393</v>
      </c>
      <c r="BL45" s="65">
        <f>AW45+VLOOKUP($A45,'Incremental Demand for New Gen'!$AG$66:$AL$114,'Mass Equivalents - States, Opt2'!AW$7-2018,0)</f>
        <v>162652385.71366093</v>
      </c>
      <c r="BM45" s="29"/>
      <c r="BN45" s="71">
        <f t="shared" si="23"/>
        <v>98051.152665765869</v>
      </c>
      <c r="BO45" s="72">
        <f t="shared" si="24"/>
        <v>97066.255475545404</v>
      </c>
      <c r="BP45" s="72">
        <f t="shared" si="25"/>
        <v>96024.535088476085</v>
      </c>
      <c r="BQ45" s="72">
        <f t="shared" si="26"/>
        <v>94906.056760384308</v>
      </c>
      <c r="BR45" s="72">
        <f t="shared" si="27"/>
        <v>93689.892774425796</v>
      </c>
      <c r="BS45" s="75">
        <f t="shared" si="36"/>
        <v>95947.578552919484</v>
      </c>
      <c r="BT45" s="76">
        <f t="shared" si="28"/>
        <v>93689.892774425796</v>
      </c>
    </row>
    <row r="46" spans="1:72" x14ac:dyDescent="0.25">
      <c r="A46" s="16" t="s">
        <v>80</v>
      </c>
      <c r="B46" s="17">
        <v>0</v>
      </c>
      <c r="C46" s="17">
        <v>917.88145899999995</v>
      </c>
      <c r="D46" s="17">
        <v>0</v>
      </c>
      <c r="E46" s="17">
        <v>0</v>
      </c>
      <c r="F46" s="17">
        <v>0</v>
      </c>
      <c r="G46" s="17">
        <v>8140017.2830999997</v>
      </c>
      <c r="H46" s="17">
        <v>0</v>
      </c>
      <c r="I46" s="17">
        <v>0</v>
      </c>
      <c r="J46" s="17">
        <v>1960.7</v>
      </c>
      <c r="K46" s="17">
        <v>0</v>
      </c>
      <c r="L46" s="18"/>
      <c r="M46" s="19"/>
      <c r="N46" s="19"/>
      <c r="O46" s="19">
        <f t="shared" si="11"/>
        <v>8140017.2830999997</v>
      </c>
      <c r="P46" s="19">
        <f t="shared" si="12"/>
        <v>0</v>
      </c>
      <c r="Q46" s="19">
        <f t="shared" si="13"/>
        <v>0</v>
      </c>
      <c r="R46" s="20">
        <f t="shared" si="14"/>
        <v>0.47263061619265745</v>
      </c>
      <c r="S46" s="20">
        <f t="shared" si="15"/>
        <v>0.47263061619265745</v>
      </c>
      <c r="T46" s="21">
        <v>0</v>
      </c>
      <c r="U46" s="22">
        <v>163745.59714949719</v>
      </c>
      <c r="V46" s="22">
        <v>184363.02306168678</v>
      </c>
      <c r="W46" s="22">
        <v>207576.41649083217</v>
      </c>
      <c r="X46" s="22">
        <v>233712.63915952627</v>
      </c>
      <c r="Y46" s="22">
        <v>263139.70838456665</v>
      </c>
      <c r="Z46" s="23">
        <v>3.3464619181867251E-2</v>
      </c>
      <c r="AA46" s="23">
        <v>4.1138297064042408E-2</v>
      </c>
      <c r="AB46" s="23">
        <v>4.8216284664315136E-2</v>
      </c>
      <c r="AC46" s="23">
        <v>5.4710950233161318E-2</v>
      </c>
      <c r="AD46" s="23">
        <v>6.0634188180549019E-2</v>
      </c>
      <c r="AE46" s="23">
        <v>0.97630150346734335</v>
      </c>
      <c r="AF46" s="24">
        <v>8287229.8833999997</v>
      </c>
      <c r="AG46" s="25">
        <f t="shared" si="32"/>
        <v>871.3690440317331</v>
      </c>
      <c r="AH46" s="25">
        <f t="shared" si="32"/>
        <v>863.04471146452272</v>
      </c>
      <c r="AI46" s="25">
        <f t="shared" si="32"/>
        <v>855.09547979333138</v>
      </c>
      <c r="AJ46" s="25">
        <f t="shared" si="32"/>
        <v>847.46402086649653</v>
      </c>
      <c r="AK46" s="25">
        <f t="shared" si="32"/>
        <v>840.09341960371034</v>
      </c>
      <c r="AL46" s="26">
        <f t="shared" si="3"/>
        <v>855.41333515195879</v>
      </c>
      <c r="AM46" s="26">
        <f t="shared" si="16"/>
        <v>840.09341960371034</v>
      </c>
      <c r="AN46" s="69"/>
      <c r="AO46" s="70"/>
      <c r="AP46" s="79">
        <f t="shared" si="33"/>
        <v>8140017.2830999997</v>
      </c>
      <c r="AQ46" s="79">
        <f t="shared" si="34"/>
        <v>3389.0516007733954</v>
      </c>
      <c r="AR46" s="84"/>
      <c r="AS46" s="63">
        <f>MAX($AP46-VLOOKUP($A46,'RE Generation'!$A$4:$M$52,'Mass Equivalents - States, Opt2'!AS$7-2016,0)-VLOOKUP('Mass Equivalents - States, Opt2'!$A46,'EE Avoided Generation'!$N$4:$S$52,'Mass Equivalents - States, Opt2'!AS$7-2018,0)-VLOOKUP($A46,'Under Construction Nuclear'!$B$5:$D$53,3,0),0)+U46+$T46+VLOOKUP('Mass Equivalents - States, Opt2'!$A46,'EE Avoided Generation'!$N$4:$S$52,'Mass Equivalents - States, Opt2'!AS$7-2018,0)</f>
        <v>8241912.2830999997</v>
      </c>
      <c r="AT46" s="64">
        <f>MAX($AP46-VLOOKUP($A46,'RE Generation'!$A$4:$M$52,'Mass Equivalents - States, Opt2'!AT$7-2016,0)-VLOOKUP('Mass Equivalents - States, Opt2'!$A46,'EE Avoided Generation'!$N$4:$S$52,'Mass Equivalents - States, Opt2'!AT$7-2018,0)-VLOOKUP($A46,'Under Construction Nuclear'!$B$5:$D$53,3,0),0)+V46+$T46+VLOOKUP('Mass Equivalents - States, Opt2'!$A46,'EE Avoided Generation'!$N$4:$S$52,'Mass Equivalents - States, Opt2'!AT$7-2018,0)</f>
        <v>8241912.2830999997</v>
      </c>
      <c r="AU46" s="64">
        <f>MAX($AP46-VLOOKUP($A46,'RE Generation'!$A$4:$M$52,'Mass Equivalents - States, Opt2'!AU$7-2016,0)-VLOOKUP('Mass Equivalents - States, Opt2'!$A46,'EE Avoided Generation'!$N$4:$S$52,'Mass Equivalents - States, Opt2'!AU$7-2018,0)-VLOOKUP($A46,'Under Construction Nuclear'!$B$5:$D$53,3,0),0)+W46+$T46+VLOOKUP('Mass Equivalents - States, Opt2'!$A46,'EE Avoided Generation'!$N$4:$S$52,'Mass Equivalents - States, Opt2'!AU$7-2018,0)</f>
        <v>8241912.2830999997</v>
      </c>
      <c r="AV46" s="64">
        <f>MAX($AP46-VLOOKUP($A46,'RE Generation'!$A$4:$M$52,'Mass Equivalents - States, Opt2'!AV$7-2016,0)-VLOOKUP('Mass Equivalents - States, Opt2'!$A46,'EE Avoided Generation'!$N$4:$S$52,'Mass Equivalents - States, Opt2'!AV$7-2018,0)-VLOOKUP($A46,'Under Construction Nuclear'!$B$5:$D$53,3,0),0)+X46+$T46+VLOOKUP('Mass Equivalents - States, Opt2'!$A46,'EE Avoided Generation'!$N$4:$S$52,'Mass Equivalents - States, Opt2'!AV$7-2018,0)</f>
        <v>8241912.2830999997</v>
      </c>
      <c r="AW46" s="65">
        <f>MAX($AP46-VLOOKUP($A46,'RE Generation'!$A$4:$M$52,'Mass Equivalents - States, Opt2'!AW$7-2016,0)-VLOOKUP('Mass Equivalents - States, Opt2'!$A46,'EE Avoided Generation'!$N$4:$S$52,'Mass Equivalents - States, Opt2'!AW$7-2018,0)-VLOOKUP($A46,'Under Construction Nuclear'!$B$5:$D$53,3,0),0)+Y46+$T46+VLOOKUP('Mass Equivalents - States, Opt2'!$A46,'EE Avoided Generation'!$N$4:$S$52,'Mass Equivalents - States, Opt2'!AW$7-2018,0)</f>
        <v>8241912.2830999997</v>
      </c>
      <c r="AX46" s="29"/>
      <c r="AY46" s="71">
        <f t="shared" si="17"/>
        <v>3257.5896195799028</v>
      </c>
      <c r="AZ46" s="72">
        <f t="shared" si="18"/>
        <v>3226.4693272690738</v>
      </c>
      <c r="BA46" s="72">
        <f t="shared" si="19"/>
        <v>3196.7513395197111</v>
      </c>
      <c r="BB46" s="72">
        <f t="shared" si="20"/>
        <v>3168.2213365863017</v>
      </c>
      <c r="BC46" s="72">
        <f t="shared" si="21"/>
        <v>3140.6665429794261</v>
      </c>
      <c r="BD46" s="75">
        <f t="shared" si="35"/>
        <v>3197.9396331868834</v>
      </c>
      <c r="BE46" s="76">
        <f t="shared" si="22"/>
        <v>3140.6665429794261</v>
      </c>
      <c r="BH46" s="63">
        <f>AS46+VLOOKUP($A46,'Incremental Demand for New Gen'!$AG$66:$AL$114,'Mass Equivalents - States, Opt2'!AS$7-2018,0)</f>
        <v>8519335.108114209</v>
      </c>
      <c r="BI46" s="64">
        <f>AT46+VLOOKUP($A46,'Incremental Demand for New Gen'!$AG$66:$AL$114,'Mass Equivalents - States, Opt2'!AT$7-2018,0)</f>
        <v>8554654.730871398</v>
      </c>
      <c r="BJ46" s="64">
        <f>AU46+VLOOKUP($A46,'Incremental Demand for New Gen'!$AG$66:$AL$114,'Mass Equivalents - States, Opt2'!AU$7-2018,0)</f>
        <v>8590118.9195139483</v>
      </c>
      <c r="BK46" s="64">
        <f>AV46+VLOOKUP($A46,'Incremental Demand for New Gen'!$AG$66:$AL$114,'Mass Equivalents - States, Opt2'!AV$7-2018,0)</f>
        <v>8625728.2657609563</v>
      </c>
      <c r="BL46" s="65">
        <f>AW46+VLOOKUP($A46,'Incremental Demand for New Gen'!$AG$66:$AL$114,'Mass Equivalents - States, Opt2'!AW$7-2018,0)</f>
        <v>8661483.3637534697</v>
      </c>
      <c r="BM46" s="29"/>
      <c r="BN46" s="71">
        <f t="shared" si="23"/>
        <v>3367.2401089273708</v>
      </c>
      <c r="BO46" s="72">
        <f t="shared" si="24"/>
        <v>3348.8989140457406</v>
      </c>
      <c r="BP46" s="72">
        <f t="shared" si="25"/>
        <v>3331.8085923939516</v>
      </c>
      <c r="BQ46" s="72">
        <f t="shared" si="26"/>
        <v>3315.761609258544</v>
      </c>
      <c r="BR46" s="72">
        <f t="shared" si="27"/>
        <v>3300.5484745200083</v>
      </c>
      <c r="BS46" s="75">
        <f t="shared" si="36"/>
        <v>3332.8515398291229</v>
      </c>
      <c r="BT46" s="76">
        <f t="shared" si="28"/>
        <v>3300.5484745200083</v>
      </c>
    </row>
    <row r="47" spans="1:72" x14ac:dyDescent="0.25">
      <c r="A47" s="16" t="s">
        <v>81</v>
      </c>
      <c r="B47" s="17">
        <v>2164.0502320999999</v>
      </c>
      <c r="C47" s="17">
        <v>846.748332</v>
      </c>
      <c r="D47" s="17">
        <v>1730.3936679000001</v>
      </c>
      <c r="E47" s="17">
        <v>10850546.867435602</v>
      </c>
      <c r="F47" s="17">
        <v>28460318</v>
      </c>
      <c r="G47" s="17">
        <v>11209393.612</v>
      </c>
      <c r="H47" s="17">
        <v>405616</v>
      </c>
      <c r="I47" s="17">
        <v>14670.8146452</v>
      </c>
      <c r="J47" s="17">
        <v>2839.2</v>
      </c>
      <c r="K47" s="17">
        <v>0</v>
      </c>
      <c r="L47" s="18">
        <f t="shared" si="10"/>
        <v>2077.488222816</v>
      </c>
      <c r="M47" s="19">
        <f t="shared" ref="M47:M56" si="37">MAX(F47-((O47-G47)*(F47/(F47+H47))), 0)</f>
        <v>23529292.193457898</v>
      </c>
      <c r="N47" s="19">
        <f t="shared" ref="N47:N56" si="38">MAX(H47-((O47-G47)*(H47/(H47+F47))),0)</f>
        <v>335339.09854210407</v>
      </c>
      <c r="O47" s="19">
        <f t="shared" si="11"/>
        <v>16210696.319999998</v>
      </c>
      <c r="P47" s="19">
        <f t="shared" si="12"/>
        <v>10850546.867435602</v>
      </c>
      <c r="Q47" s="19">
        <f t="shared" si="13"/>
        <v>14670.8146452</v>
      </c>
      <c r="R47" s="20">
        <f t="shared" si="14"/>
        <v>0.4494628548935769</v>
      </c>
      <c r="S47" s="20">
        <f t="shared" si="15"/>
        <v>0.65</v>
      </c>
      <c r="T47" s="21">
        <v>20340660.485616934</v>
      </c>
      <c r="U47" s="22">
        <v>3548748.6630712007</v>
      </c>
      <c r="V47" s="22">
        <v>4025451.2110934323</v>
      </c>
      <c r="W47" s="22">
        <v>4566189.0968829272</v>
      </c>
      <c r="X47" s="22">
        <v>5179564.1718457248</v>
      </c>
      <c r="Y47" s="22">
        <v>5875333.7720029447</v>
      </c>
      <c r="Z47" s="23">
        <v>2.0407167302326293E-2</v>
      </c>
      <c r="AA47" s="23">
        <v>2.8119432645309694E-2</v>
      </c>
      <c r="AB47" s="23">
        <v>3.5834899157899738E-2</v>
      </c>
      <c r="AC47" s="23">
        <v>4.2906877658546269E-2</v>
      </c>
      <c r="AD47" s="23">
        <v>4.9357983419065415E-2</v>
      </c>
      <c r="AE47" s="23">
        <v>1.1508102920268912</v>
      </c>
      <c r="AF47" s="24">
        <v>83622302.570299998</v>
      </c>
      <c r="AG47" s="25">
        <f t="shared" si="32"/>
        <v>962.14446128953705</v>
      </c>
      <c r="AH47" s="25">
        <f t="shared" si="32"/>
        <v>945.99118426811674</v>
      </c>
      <c r="AI47" s="25">
        <f t="shared" si="32"/>
        <v>929.49146624699756</v>
      </c>
      <c r="AJ47" s="25">
        <f t="shared" si="32"/>
        <v>913.30889051838301</v>
      </c>
      <c r="AK47" s="25">
        <f t="shared" si="32"/>
        <v>897.29173845984246</v>
      </c>
      <c r="AL47" s="26">
        <f t="shared" si="3"/>
        <v>929.64554815657539</v>
      </c>
      <c r="AM47" s="26">
        <f t="shared" si="16"/>
        <v>897.29173845984246</v>
      </c>
      <c r="AN47" s="69"/>
      <c r="AO47" s="70"/>
      <c r="AP47" s="79">
        <f t="shared" si="33"/>
        <v>40089998.426645204</v>
      </c>
      <c r="AQ47" s="79">
        <f t="shared" si="34"/>
        <v>32565.167249729489</v>
      </c>
      <c r="AR47" s="84"/>
      <c r="AS47" s="63">
        <f>MAX($AP47-VLOOKUP($A47,'RE Generation'!$A$4:$M$52,'Mass Equivalents - States, Opt2'!AS$7-2016,0)-VLOOKUP('Mass Equivalents - States, Opt2'!$A47,'EE Avoided Generation'!$N$4:$S$52,'Mass Equivalents - States, Opt2'!AS$7-2018,0)-VLOOKUP($A47,'Under Construction Nuclear'!$B$5:$D$53,3,0),0)+U47+$T47+VLOOKUP('Mass Equivalents - States, Opt2'!$A47,'EE Avoided Generation'!$N$4:$S$52,'Mass Equivalents - States, Opt2'!AS$7-2018,0)</f>
        <v>45181811.532262132</v>
      </c>
      <c r="AT47" s="64">
        <f>MAX($AP47-VLOOKUP($A47,'RE Generation'!$A$4:$M$52,'Mass Equivalents - States, Opt2'!AT$7-2016,0)-VLOOKUP('Mass Equivalents - States, Opt2'!$A47,'EE Avoided Generation'!$N$4:$S$52,'Mass Equivalents - States, Opt2'!AT$7-2018,0)-VLOOKUP($A47,'Under Construction Nuclear'!$B$5:$D$53,3,0),0)+V47+$T47+VLOOKUP('Mass Equivalents - States, Opt2'!$A47,'EE Avoided Generation'!$N$4:$S$52,'Mass Equivalents - States, Opt2'!AT$7-2018,0)</f>
        <v>45181811.532262139</v>
      </c>
      <c r="AU47" s="64">
        <f>MAX($AP47-VLOOKUP($A47,'RE Generation'!$A$4:$M$52,'Mass Equivalents - States, Opt2'!AU$7-2016,0)-VLOOKUP('Mass Equivalents - States, Opt2'!$A47,'EE Avoided Generation'!$N$4:$S$52,'Mass Equivalents - States, Opt2'!AU$7-2018,0)-VLOOKUP($A47,'Under Construction Nuclear'!$B$5:$D$53,3,0),0)+W47+$T47+VLOOKUP('Mass Equivalents - States, Opt2'!$A47,'EE Avoided Generation'!$N$4:$S$52,'Mass Equivalents - States, Opt2'!AU$7-2018,0)</f>
        <v>45181811.532262146</v>
      </c>
      <c r="AV47" s="64">
        <f>MAX($AP47-VLOOKUP($A47,'RE Generation'!$A$4:$M$52,'Mass Equivalents - States, Opt2'!AV$7-2016,0)-VLOOKUP('Mass Equivalents - States, Opt2'!$A47,'EE Avoided Generation'!$N$4:$S$52,'Mass Equivalents - States, Opt2'!AV$7-2018,0)-VLOOKUP($A47,'Under Construction Nuclear'!$B$5:$D$53,3,0),0)+X47+$T47+VLOOKUP('Mass Equivalents - States, Opt2'!$A47,'EE Avoided Generation'!$N$4:$S$52,'Mass Equivalents - States, Opt2'!AV$7-2018,0)</f>
        <v>45181811.532262139</v>
      </c>
      <c r="AW47" s="65">
        <f>MAX($AP47-VLOOKUP($A47,'RE Generation'!$A$4:$M$52,'Mass Equivalents - States, Opt2'!AW$7-2016,0)-VLOOKUP('Mass Equivalents - States, Opt2'!$A47,'EE Avoided Generation'!$N$4:$S$52,'Mass Equivalents - States, Opt2'!AW$7-2018,0)-VLOOKUP($A47,'Under Construction Nuclear'!$B$5:$D$53,3,0),0)+Y47+$T47+VLOOKUP('Mass Equivalents - States, Opt2'!$A47,'EE Avoided Generation'!$N$4:$S$52,'Mass Equivalents - States, Opt2'!AW$7-2018,0)</f>
        <v>45181811.532262132</v>
      </c>
      <c r="AX47" s="29"/>
      <c r="AY47" s="71">
        <f t="shared" si="17"/>
        <v>19718.3322825674</v>
      </c>
      <c r="AZ47" s="72">
        <f t="shared" si="18"/>
        <v>19387.284610855168</v>
      </c>
      <c r="BA47" s="72">
        <f t="shared" si="19"/>
        <v>19049.136925555355</v>
      </c>
      <c r="BB47" s="72">
        <f t="shared" si="20"/>
        <v>18717.488801762218</v>
      </c>
      <c r="BC47" s="72">
        <f t="shared" si="21"/>
        <v>18389.230895369019</v>
      </c>
      <c r="BD47" s="75">
        <f t="shared" si="35"/>
        <v>19052.294703221833</v>
      </c>
      <c r="BE47" s="76">
        <f t="shared" si="22"/>
        <v>18389.230895369019</v>
      </c>
      <c r="BH47" s="63">
        <f>AS47+VLOOKUP($A47,'Incremental Demand for New Gen'!$AG$66:$AL$114,'Mass Equivalents - States, Opt2'!AS$7-2018,0)</f>
        <v>53236444.915662944</v>
      </c>
      <c r="BI47" s="64">
        <f>AT47+VLOOKUP($A47,'Incremental Demand for New Gen'!$AG$66:$AL$114,'Mass Equivalents - States, Opt2'!AT$7-2018,0)</f>
        <v>54296176.770866826</v>
      </c>
      <c r="BJ47" s="64">
        <f>AU47+VLOOKUP($A47,'Incremental Demand for New Gen'!$AG$66:$AL$114,'Mass Equivalents - States, Opt2'!AU$7-2018,0)</f>
        <v>55368119.30675745</v>
      </c>
      <c r="BK47" s="64">
        <f>AV47+VLOOKUP($A47,'Incremental Demand for New Gen'!$AG$66:$AL$114,'Mass Equivalents - States, Opt2'!AV$7-2018,0)</f>
        <v>56452413.219985649</v>
      </c>
      <c r="BL47" s="65">
        <f>AW47+VLOOKUP($A47,'Incremental Demand for New Gen'!$AG$66:$AL$114,'Mass Equivalents - States, Opt2'!AW$7-2018,0)</f>
        <v>57549200.828368895</v>
      </c>
      <c r="BM47" s="29"/>
      <c r="BN47" s="71">
        <f t="shared" si="23"/>
        <v>23233.550731804411</v>
      </c>
      <c r="BO47" s="72">
        <f t="shared" si="24"/>
        <v>23298.212192896426</v>
      </c>
      <c r="BP47" s="72">
        <f t="shared" si="25"/>
        <v>23343.793668648876</v>
      </c>
      <c r="BQ47" s="72">
        <f t="shared" si="26"/>
        <v>23386.565886651846</v>
      </c>
      <c r="BR47" s="72">
        <f t="shared" si="27"/>
        <v>23422.82228150962</v>
      </c>
      <c r="BS47" s="75">
        <f t="shared" si="36"/>
        <v>23336.988952302236</v>
      </c>
      <c r="BT47" s="76">
        <f t="shared" si="28"/>
        <v>23422.82228150962</v>
      </c>
    </row>
    <row r="48" spans="1:72" x14ac:dyDescent="0.25">
      <c r="A48" s="16" t="s">
        <v>82</v>
      </c>
      <c r="B48" s="17">
        <v>2266.0022379000002</v>
      </c>
      <c r="C48" s="17">
        <v>1131.2330233</v>
      </c>
      <c r="D48" s="17">
        <v>0</v>
      </c>
      <c r="E48" s="17">
        <v>0</v>
      </c>
      <c r="F48" s="17">
        <v>2923161</v>
      </c>
      <c r="G48" s="17">
        <v>27096</v>
      </c>
      <c r="H48" s="17">
        <v>0</v>
      </c>
      <c r="I48" s="17">
        <v>0</v>
      </c>
      <c r="J48" s="17">
        <v>324</v>
      </c>
      <c r="K48" s="17">
        <v>0</v>
      </c>
      <c r="L48" s="18">
        <f t="shared" si="10"/>
        <v>2175.3621483840002</v>
      </c>
      <c r="M48" s="19">
        <f t="shared" si="37"/>
        <v>1100346.5999999999</v>
      </c>
      <c r="N48" s="19">
        <f t="shared" si="38"/>
        <v>0</v>
      </c>
      <c r="O48" s="19">
        <f t="shared" si="11"/>
        <v>1849910.4000000001</v>
      </c>
      <c r="P48" s="19">
        <f t="shared" si="12"/>
        <v>0</v>
      </c>
      <c r="Q48" s="19">
        <f t="shared" si="13"/>
        <v>0</v>
      </c>
      <c r="R48" s="20">
        <f t="shared" si="14"/>
        <v>9.5206773257775074E-3</v>
      </c>
      <c r="S48" s="20">
        <f t="shared" si="15"/>
        <v>0.65</v>
      </c>
      <c r="T48" s="21">
        <v>0</v>
      </c>
      <c r="U48" s="22">
        <v>1818849.89484</v>
      </c>
      <c r="V48" s="22">
        <v>1818849.89484</v>
      </c>
      <c r="W48" s="22">
        <v>1818849.89484</v>
      </c>
      <c r="X48" s="22">
        <v>1818849.89484</v>
      </c>
      <c r="Y48" s="22">
        <v>1818849.89484</v>
      </c>
      <c r="Z48" s="23">
        <v>1.3163310266508953E-2</v>
      </c>
      <c r="AA48" s="23">
        <v>1.9502504313279729E-2</v>
      </c>
      <c r="AB48" s="23">
        <v>2.6854824738597106E-2</v>
      </c>
      <c r="AC48" s="23">
        <v>3.485148291198522E-2</v>
      </c>
      <c r="AD48" s="23">
        <v>4.2227087958438138E-2</v>
      </c>
      <c r="AE48" s="23">
        <v>0.82317432466696505</v>
      </c>
      <c r="AF48" s="24">
        <v>12615449.171</v>
      </c>
      <c r="AG48" s="25">
        <f t="shared" si="32"/>
        <v>914.49474583040944</v>
      </c>
      <c r="AH48" s="25">
        <f t="shared" si="32"/>
        <v>902.38568185764245</v>
      </c>
      <c r="AI48" s="25">
        <f t="shared" si="32"/>
        <v>888.73692913901186</v>
      </c>
      <c r="AJ48" s="25">
        <f t="shared" si="32"/>
        <v>874.35319076819746</v>
      </c>
      <c r="AK48" s="25">
        <f t="shared" si="32"/>
        <v>861.49323307805469</v>
      </c>
      <c r="AL48" s="26">
        <f t="shared" si="3"/>
        <v>888.29275613466325</v>
      </c>
      <c r="AM48" s="26">
        <f t="shared" si="16"/>
        <v>861.49323307805469</v>
      </c>
      <c r="AN48" s="69"/>
      <c r="AO48" s="70"/>
      <c r="AP48" s="79">
        <f t="shared" si="33"/>
        <v>2950257</v>
      </c>
      <c r="AQ48" s="79">
        <f t="shared" si="34"/>
        <v>3018.4527300583959</v>
      </c>
      <c r="AR48" s="84"/>
      <c r="AS48" s="63">
        <f>MAX($AP48-VLOOKUP($A48,'RE Generation'!$A$4:$M$52,'Mass Equivalents - States, Opt2'!AS$7-2016,0)-VLOOKUP('Mass Equivalents - States, Opt2'!$A48,'EE Avoided Generation'!$N$4:$S$52,'Mass Equivalents - States, Opt2'!AS$7-2018,0)-VLOOKUP($A48,'Under Construction Nuclear'!$B$5:$D$53,3,0),0)+U48+$T48+VLOOKUP('Mass Equivalents - States, Opt2'!$A48,'EE Avoided Generation'!$N$4:$S$52,'Mass Equivalents - States, Opt2'!AS$7-2018,0)</f>
        <v>4769106.8948400002</v>
      </c>
      <c r="AT48" s="64">
        <f>MAX($AP48-VLOOKUP($A48,'RE Generation'!$A$4:$M$52,'Mass Equivalents - States, Opt2'!AT$7-2016,0)-VLOOKUP('Mass Equivalents - States, Opt2'!$A48,'EE Avoided Generation'!$N$4:$S$52,'Mass Equivalents - States, Opt2'!AT$7-2018,0)-VLOOKUP($A48,'Under Construction Nuclear'!$B$5:$D$53,3,0),0)+V48+$T48+VLOOKUP('Mass Equivalents - States, Opt2'!$A48,'EE Avoided Generation'!$N$4:$S$52,'Mass Equivalents - States, Opt2'!AT$7-2018,0)</f>
        <v>4769106.8948400002</v>
      </c>
      <c r="AU48" s="64">
        <f>MAX($AP48-VLOOKUP($A48,'RE Generation'!$A$4:$M$52,'Mass Equivalents - States, Opt2'!AU$7-2016,0)-VLOOKUP('Mass Equivalents - States, Opt2'!$A48,'EE Avoided Generation'!$N$4:$S$52,'Mass Equivalents - States, Opt2'!AU$7-2018,0)-VLOOKUP($A48,'Under Construction Nuclear'!$B$5:$D$53,3,0),0)+W48+$T48+VLOOKUP('Mass Equivalents - States, Opt2'!$A48,'EE Avoided Generation'!$N$4:$S$52,'Mass Equivalents - States, Opt2'!AU$7-2018,0)</f>
        <v>4769106.8948400002</v>
      </c>
      <c r="AV48" s="64">
        <f>MAX($AP48-VLOOKUP($A48,'RE Generation'!$A$4:$M$52,'Mass Equivalents - States, Opt2'!AV$7-2016,0)-VLOOKUP('Mass Equivalents - States, Opt2'!$A48,'EE Avoided Generation'!$N$4:$S$52,'Mass Equivalents - States, Opt2'!AV$7-2018,0)-VLOOKUP($A48,'Under Construction Nuclear'!$B$5:$D$53,3,0),0)+X48+$T48+VLOOKUP('Mass Equivalents - States, Opt2'!$A48,'EE Avoided Generation'!$N$4:$S$52,'Mass Equivalents - States, Opt2'!AV$7-2018,0)</f>
        <v>4769106.8948400002</v>
      </c>
      <c r="AW48" s="65">
        <f>MAX($AP48-VLOOKUP($A48,'RE Generation'!$A$4:$M$52,'Mass Equivalents - States, Opt2'!AW$7-2016,0)-VLOOKUP('Mass Equivalents - States, Opt2'!$A48,'EE Avoided Generation'!$N$4:$S$52,'Mass Equivalents - States, Opt2'!AW$7-2018,0)-VLOOKUP($A48,'Under Construction Nuclear'!$B$5:$D$53,3,0),0)+Y48+$T48+VLOOKUP('Mass Equivalents - States, Opt2'!$A48,'EE Avoided Generation'!$N$4:$S$52,'Mass Equivalents - States, Opt2'!AW$7-2018,0)</f>
        <v>4769106.8948400002</v>
      </c>
      <c r="AX48" s="29"/>
      <c r="AY48" s="71">
        <f t="shared" si="17"/>
        <v>1978.2652782042978</v>
      </c>
      <c r="AZ48" s="72">
        <f t="shared" si="18"/>
        <v>1952.070550549382</v>
      </c>
      <c r="BA48" s="72">
        <f t="shared" si="19"/>
        <v>1922.5451172790733</v>
      </c>
      <c r="BB48" s="72">
        <f t="shared" si="20"/>
        <v>1891.429738738633</v>
      </c>
      <c r="BC48" s="72">
        <f t="shared" si="21"/>
        <v>1863.6106529608523</v>
      </c>
      <c r="BD48" s="75">
        <f t="shared" si="35"/>
        <v>1921.5842675464476</v>
      </c>
      <c r="BE48" s="76">
        <f t="shared" si="22"/>
        <v>1863.6106529608523</v>
      </c>
      <c r="BH48" s="63">
        <f>AS48+VLOOKUP($A48,'Incremental Demand for New Gen'!$AG$66:$AL$114,'Mass Equivalents - States, Opt2'!AS$7-2018,0)</f>
        <v>5377830.4032632746</v>
      </c>
      <c r="BI48" s="64">
        <f>AT48+VLOOKUP($A48,'Incremental Demand for New Gen'!$AG$66:$AL$114,'Mass Equivalents - States, Opt2'!AT$7-2018,0)</f>
        <v>5455955.0451673726</v>
      </c>
      <c r="BJ48" s="64">
        <f>AU48+VLOOKUP($A48,'Incremental Demand for New Gen'!$AG$66:$AL$114,'Mass Equivalents - States, Opt2'!AU$7-2018,0)</f>
        <v>5534540.6534904139</v>
      </c>
      <c r="BK48" s="64">
        <f>AV48+VLOOKUP($A48,'Incremental Demand for New Gen'!$AG$66:$AL$114,'Mass Equivalents - States, Opt2'!AV$7-2018,0)</f>
        <v>5613589.9481173689</v>
      </c>
      <c r="BL48" s="65">
        <f>AW48+VLOOKUP($A48,'Incremental Demand for New Gen'!$AG$66:$AL$114,'Mass Equivalents - States, Opt2'!AW$7-2018,0)</f>
        <v>5693105.6649816101</v>
      </c>
      <c r="BM48" s="29"/>
      <c r="BN48" s="71">
        <f t="shared" si="23"/>
        <v>2230.7688616411433</v>
      </c>
      <c r="BO48" s="72">
        <f t="shared" si="24"/>
        <v>2233.2083141847593</v>
      </c>
      <c r="BP48" s="72">
        <f t="shared" si="25"/>
        <v>2231.1104247344624</v>
      </c>
      <c r="BQ48" s="72">
        <f t="shared" si="26"/>
        <v>2226.352061942966</v>
      </c>
      <c r="BR48" s="72">
        <f t="shared" si="27"/>
        <v>2224.6790855476211</v>
      </c>
      <c r="BS48" s="75">
        <f t="shared" si="36"/>
        <v>2229.2237496101907</v>
      </c>
      <c r="BT48" s="76">
        <f t="shared" si="28"/>
        <v>2224.6790855476211</v>
      </c>
    </row>
    <row r="49" spans="1:72" x14ac:dyDescent="0.25">
      <c r="A49" s="16" t="s">
        <v>83</v>
      </c>
      <c r="B49" s="17">
        <v>2244.4869758</v>
      </c>
      <c r="C49" s="17">
        <v>812.86077809999995</v>
      </c>
      <c r="D49" s="17">
        <v>0</v>
      </c>
      <c r="E49" s="17">
        <v>0</v>
      </c>
      <c r="F49" s="17">
        <v>34373696</v>
      </c>
      <c r="G49" s="17">
        <v>6548896.9570000004</v>
      </c>
      <c r="H49" s="17">
        <v>0</v>
      </c>
      <c r="I49" s="17">
        <v>0</v>
      </c>
      <c r="J49" s="17">
        <v>1601.3</v>
      </c>
      <c r="K49" s="17">
        <v>0</v>
      </c>
      <c r="L49" s="18">
        <f t="shared" si="10"/>
        <v>2154.7074967680001</v>
      </c>
      <c r="M49" s="19">
        <f t="shared" si="37"/>
        <v>31779810.476999998</v>
      </c>
      <c r="N49" s="19">
        <f t="shared" si="38"/>
        <v>0</v>
      </c>
      <c r="O49" s="19">
        <f t="shared" si="11"/>
        <v>9142782.4800000004</v>
      </c>
      <c r="P49" s="19">
        <f t="shared" si="12"/>
        <v>0</v>
      </c>
      <c r="Q49" s="19">
        <f t="shared" si="13"/>
        <v>0</v>
      </c>
      <c r="R49" s="20">
        <f t="shared" si="14"/>
        <v>0.46558944515652534</v>
      </c>
      <c r="S49" s="20">
        <f t="shared" si="15"/>
        <v>0.65</v>
      </c>
      <c r="T49" s="21">
        <v>10416619.073491586</v>
      </c>
      <c r="U49" s="22">
        <v>1384845.6235017879</v>
      </c>
      <c r="V49" s="22">
        <v>1570871.6005484168</v>
      </c>
      <c r="W49" s="22">
        <v>1781886.4020162455</v>
      </c>
      <c r="X49" s="22">
        <v>2021246.770634796</v>
      </c>
      <c r="Y49" s="22">
        <v>2292760.3595710834</v>
      </c>
      <c r="Z49" s="23">
        <v>1.9308350123018177E-2</v>
      </c>
      <c r="AA49" s="23">
        <v>2.6837552456114747E-2</v>
      </c>
      <c r="AB49" s="23">
        <v>3.4730097668256181E-2</v>
      </c>
      <c r="AC49" s="23">
        <v>4.1985478197359823E-2</v>
      </c>
      <c r="AD49" s="23">
        <v>4.862393360251939E-2</v>
      </c>
      <c r="AE49" s="23">
        <v>0.71806389617157262</v>
      </c>
      <c r="AF49" s="24">
        <v>103619720.54719999</v>
      </c>
      <c r="AG49" s="25">
        <f t="shared" si="32"/>
        <v>1401.532769018763</v>
      </c>
      <c r="AH49" s="25">
        <f t="shared" si="32"/>
        <v>1382.4845288634826</v>
      </c>
      <c r="AI49" s="25">
        <f t="shared" si="32"/>
        <v>1362.6733139465234</v>
      </c>
      <c r="AJ49" s="25">
        <f t="shared" si="32"/>
        <v>1343.8752670851231</v>
      </c>
      <c r="AK49" s="25">
        <f t="shared" si="32"/>
        <v>1325.9071611430275</v>
      </c>
      <c r="AL49" s="26">
        <f t="shared" si="3"/>
        <v>1363.2946080113838</v>
      </c>
      <c r="AM49" s="26">
        <f t="shared" si="16"/>
        <v>1325.9071611430275</v>
      </c>
      <c r="AN49" s="69"/>
      <c r="AO49" s="70"/>
      <c r="AP49" s="79">
        <f t="shared" si="33"/>
        <v>40922592.957000002</v>
      </c>
      <c r="AQ49" s="79">
        <f t="shared" si="34"/>
        <v>37409.918470426783</v>
      </c>
      <c r="AR49" s="84"/>
      <c r="AS49" s="63">
        <f>MAX($AP49-VLOOKUP($A49,'RE Generation'!$A$4:$M$52,'Mass Equivalents - States, Opt2'!AS$7-2016,0)-VLOOKUP('Mass Equivalents - States, Opt2'!$A49,'EE Avoided Generation'!$N$4:$S$52,'Mass Equivalents - States, Opt2'!AS$7-2018,0)-VLOOKUP($A49,'Under Construction Nuclear'!$B$5:$D$53,3,0),0)+U49+$T49+VLOOKUP('Mass Equivalents - States, Opt2'!$A49,'EE Avoided Generation'!$N$4:$S$52,'Mass Equivalents - States, Opt2'!AS$7-2018,0)</f>
        <v>43305586.680491582</v>
      </c>
      <c r="AT49" s="64">
        <f>MAX($AP49-VLOOKUP($A49,'RE Generation'!$A$4:$M$52,'Mass Equivalents - States, Opt2'!AT$7-2016,0)-VLOOKUP('Mass Equivalents - States, Opt2'!$A49,'EE Avoided Generation'!$N$4:$S$52,'Mass Equivalents - States, Opt2'!AT$7-2018,0)-VLOOKUP($A49,'Under Construction Nuclear'!$B$5:$D$53,3,0),0)+V49+$T49+VLOOKUP('Mass Equivalents - States, Opt2'!$A49,'EE Avoided Generation'!$N$4:$S$52,'Mass Equivalents - States, Opt2'!AT$7-2018,0)</f>
        <v>43305586.680491589</v>
      </c>
      <c r="AU49" s="64">
        <f>MAX($AP49-VLOOKUP($A49,'RE Generation'!$A$4:$M$52,'Mass Equivalents - States, Opt2'!AU$7-2016,0)-VLOOKUP('Mass Equivalents - States, Opt2'!$A49,'EE Avoided Generation'!$N$4:$S$52,'Mass Equivalents - States, Opt2'!AU$7-2018,0)-VLOOKUP($A49,'Under Construction Nuclear'!$B$5:$D$53,3,0),0)+W49+$T49+VLOOKUP('Mass Equivalents - States, Opt2'!$A49,'EE Avoided Generation'!$N$4:$S$52,'Mass Equivalents - States, Opt2'!AU$7-2018,0)</f>
        <v>43305586.680491589</v>
      </c>
      <c r="AV49" s="64">
        <f>MAX($AP49-VLOOKUP($A49,'RE Generation'!$A$4:$M$52,'Mass Equivalents - States, Opt2'!AV$7-2016,0)-VLOOKUP('Mass Equivalents - States, Opt2'!$A49,'EE Avoided Generation'!$N$4:$S$52,'Mass Equivalents - States, Opt2'!AV$7-2018,0)-VLOOKUP($A49,'Under Construction Nuclear'!$B$5:$D$53,3,0),0)+X49+$T49+VLOOKUP('Mass Equivalents - States, Opt2'!$A49,'EE Avoided Generation'!$N$4:$S$52,'Mass Equivalents - States, Opt2'!AV$7-2018,0)</f>
        <v>43305586.680491582</v>
      </c>
      <c r="AW49" s="65">
        <f>MAX($AP49-VLOOKUP($A49,'RE Generation'!$A$4:$M$52,'Mass Equivalents - States, Opt2'!AW$7-2016,0)-VLOOKUP('Mass Equivalents - States, Opt2'!$A49,'EE Avoided Generation'!$N$4:$S$52,'Mass Equivalents - States, Opt2'!AW$7-2018,0)-VLOOKUP($A49,'Under Construction Nuclear'!$B$5:$D$53,3,0),0)+Y49+$T49+VLOOKUP('Mass Equivalents - States, Opt2'!$A49,'EE Avoided Generation'!$N$4:$S$52,'Mass Equivalents - States, Opt2'!AW$7-2018,0)</f>
        <v>43305586.680491589</v>
      </c>
      <c r="AX49" s="29"/>
      <c r="AY49" s="71">
        <f t="shared" si="17"/>
        <v>27530.458226039606</v>
      </c>
      <c r="AZ49" s="72">
        <f t="shared" si="18"/>
        <v>27156.291605417769</v>
      </c>
      <c r="BA49" s="72">
        <f t="shared" si="19"/>
        <v>26767.137789870318</v>
      </c>
      <c r="BB49" s="72">
        <f t="shared" si="20"/>
        <v>26397.885742905164</v>
      </c>
      <c r="BC49" s="72">
        <f t="shared" si="21"/>
        <v>26044.936314269085</v>
      </c>
      <c r="BD49" s="75">
        <f t="shared" si="35"/>
        <v>26779.341935700388</v>
      </c>
      <c r="BE49" s="76">
        <f t="shared" si="22"/>
        <v>26044.936314269085</v>
      </c>
      <c r="BH49" s="63">
        <f>AS49+VLOOKUP($A49,'Incremental Demand for New Gen'!$AG$66:$AL$114,'Mass Equivalents - States, Opt2'!AS$7-2018,0)</f>
        <v>53474880.713332862</v>
      </c>
      <c r="BI49" s="64">
        <f>AT49+VLOOKUP($A49,'Incremental Demand for New Gen'!$AG$66:$AL$114,'Mass Equivalents - States, Opt2'!AT$7-2018,0)</f>
        <v>54814086.773474559</v>
      </c>
      <c r="BJ49" s="64">
        <f>AU49+VLOOKUP($A49,'Incremental Demand for New Gen'!$AG$66:$AL$114,'Mass Equivalents - States, Opt2'!AU$7-2018,0)</f>
        <v>56169009.304324403</v>
      </c>
      <c r="BK49" s="64">
        <f>AV49+VLOOKUP($A49,'Incremental Demand for New Gen'!$AG$66:$AL$114,'Mass Equivalents - States, Opt2'!AV$7-2018,0)</f>
        <v>57539832.749082632</v>
      </c>
      <c r="BL49" s="65">
        <f>AW49+VLOOKUP($A49,'Incremental Demand for New Gen'!$AG$66:$AL$114,'Mass Equivalents - States, Opt2'!AW$7-2018,0)</f>
        <v>58926743.7155127</v>
      </c>
      <c r="BM49" s="29"/>
      <c r="BN49" s="71">
        <f t="shared" si="23"/>
        <v>33995.335994005982</v>
      </c>
      <c r="BO49" s="72">
        <f t="shared" si="24"/>
        <v>34373.101454268319</v>
      </c>
      <c r="BP49" s="72">
        <f t="shared" si="25"/>
        <v>34718.005846729531</v>
      </c>
      <c r="BQ49" s="72">
        <f t="shared" si="26"/>
        <v>35074.687748322496</v>
      </c>
      <c r="BR49" s="72">
        <f t="shared" si="27"/>
        <v>35439.845177508221</v>
      </c>
      <c r="BS49" s="75">
        <f t="shared" si="36"/>
        <v>34720.195244166913</v>
      </c>
      <c r="BT49" s="76">
        <f t="shared" si="28"/>
        <v>35439.845177508221</v>
      </c>
    </row>
    <row r="50" spans="1:72" x14ac:dyDescent="0.25">
      <c r="A50" s="16" t="s">
        <v>84</v>
      </c>
      <c r="B50" s="17">
        <v>2238.6050648999999</v>
      </c>
      <c r="C50" s="17">
        <v>837.48263850000001</v>
      </c>
      <c r="D50" s="17">
        <v>1376.7255286</v>
      </c>
      <c r="E50" s="17">
        <v>23395881438.071762</v>
      </c>
      <c r="F50" s="17">
        <v>138705137.94580001</v>
      </c>
      <c r="G50" s="17">
        <v>148010277.7022</v>
      </c>
      <c r="H50" s="17">
        <v>20911868</v>
      </c>
      <c r="I50" s="17">
        <v>35025953.075113818</v>
      </c>
      <c r="J50" s="17">
        <v>37547.699999999997</v>
      </c>
      <c r="K50" s="17">
        <v>0</v>
      </c>
      <c r="L50" s="18">
        <f t="shared" si="10"/>
        <v>2149.0608623039998</v>
      </c>
      <c r="M50" s="19">
        <f t="shared" si="37"/>
        <v>81028657.292890519</v>
      </c>
      <c r="N50" s="19">
        <f t="shared" si="38"/>
        <v>12216278.435109492</v>
      </c>
      <c r="O50" s="19">
        <f t="shared" si="11"/>
        <v>214382347.91999999</v>
      </c>
      <c r="P50" s="19">
        <f t="shared" si="12"/>
        <v>23395881438.071762</v>
      </c>
      <c r="Q50" s="19">
        <f t="shared" si="13"/>
        <v>35025953.075113818</v>
      </c>
      <c r="R50" s="20">
        <f t="shared" si="14"/>
        <v>0.44876213662111297</v>
      </c>
      <c r="S50" s="20">
        <f t="shared" si="15"/>
        <v>0.65</v>
      </c>
      <c r="T50" s="21">
        <v>2291006.123597574</v>
      </c>
      <c r="U50" s="22">
        <v>46879905.640585087</v>
      </c>
      <c r="V50" s="22">
        <v>50793761.70586583</v>
      </c>
      <c r="W50" s="22">
        <v>55034373.320041567</v>
      </c>
      <c r="X50" s="22">
        <v>59629020.277502485</v>
      </c>
      <c r="Y50" s="22">
        <v>64607259.876982592</v>
      </c>
      <c r="Z50" s="23">
        <v>1.4999643207343491E-2</v>
      </c>
      <c r="AA50" s="23">
        <v>2.1664880220160873E-2</v>
      </c>
      <c r="AB50" s="23">
        <v>2.9283874906454781E-2</v>
      </c>
      <c r="AC50" s="23">
        <v>3.6969259440810823E-2</v>
      </c>
      <c r="AD50" s="23">
        <v>4.4023591626829783E-2</v>
      </c>
      <c r="AE50" s="23">
        <v>0.98116863932860832</v>
      </c>
      <c r="AF50" s="24">
        <v>392523451.23809999</v>
      </c>
      <c r="AG50" s="25">
        <f t="shared" si="32"/>
        <v>990.66996212933407</v>
      </c>
      <c r="AH50" s="25">
        <f t="shared" si="32"/>
        <v>974.78114216729114</v>
      </c>
      <c r="AI50" s="25">
        <f t="shared" si="32"/>
        <v>957.77477265468838</v>
      </c>
      <c r="AJ50" s="25">
        <f t="shared" si="32"/>
        <v>940.49839929032726</v>
      </c>
      <c r="AK50" s="25">
        <f t="shared" si="32"/>
        <v>923.5297984338024</v>
      </c>
      <c r="AL50" s="26">
        <f t="shared" si="3"/>
        <v>957.4508149350886</v>
      </c>
      <c r="AM50" s="26">
        <f t="shared" si="16"/>
        <v>923.5297984338024</v>
      </c>
      <c r="AN50" s="69"/>
      <c r="AO50" s="70"/>
      <c r="AP50" s="79">
        <f t="shared" si="33"/>
        <v>342653236.72311383</v>
      </c>
      <c r="AQ50" s="79">
        <f t="shared" si="34"/>
        <v>220740.01242511746</v>
      </c>
      <c r="AR50" s="84"/>
      <c r="AS50" s="63">
        <f>MAX($AP50-VLOOKUP($A50,'RE Generation'!$A$4:$M$52,'Mass Equivalents - States, Opt2'!AS$7-2016,0)-VLOOKUP('Mass Equivalents - States, Opt2'!$A50,'EE Avoided Generation'!$N$4:$S$52,'Mass Equivalents - States, Opt2'!AS$7-2018,0)-VLOOKUP($A50,'Under Construction Nuclear'!$B$5:$D$53,3,0),0)+U50+$T50+VLOOKUP('Mass Equivalents - States, Opt2'!$A50,'EE Avoided Generation'!$N$4:$S$52,'Mass Equivalents - States, Opt2'!AS$7-2018,0)</f>
        <v>378960939.37671137</v>
      </c>
      <c r="AT50" s="64">
        <f>MAX($AP50-VLOOKUP($A50,'RE Generation'!$A$4:$M$52,'Mass Equivalents - States, Opt2'!AT$7-2016,0)-VLOOKUP('Mass Equivalents - States, Opt2'!$A50,'EE Avoided Generation'!$N$4:$S$52,'Mass Equivalents - States, Opt2'!AT$7-2018,0)-VLOOKUP($A50,'Under Construction Nuclear'!$B$5:$D$53,3,0),0)+V50+$T50+VLOOKUP('Mass Equivalents - States, Opt2'!$A50,'EE Avoided Generation'!$N$4:$S$52,'Mass Equivalents - States, Opt2'!AT$7-2018,0)</f>
        <v>378960939.37671137</v>
      </c>
      <c r="AU50" s="64">
        <f>MAX($AP50-VLOOKUP($A50,'RE Generation'!$A$4:$M$52,'Mass Equivalents - States, Opt2'!AU$7-2016,0)-VLOOKUP('Mass Equivalents - States, Opt2'!$A50,'EE Avoided Generation'!$N$4:$S$52,'Mass Equivalents - States, Opt2'!AU$7-2018,0)-VLOOKUP($A50,'Under Construction Nuclear'!$B$5:$D$53,3,0),0)+W50+$T50+VLOOKUP('Mass Equivalents - States, Opt2'!$A50,'EE Avoided Generation'!$N$4:$S$52,'Mass Equivalents - States, Opt2'!AU$7-2018,0)</f>
        <v>378960939.37671137</v>
      </c>
      <c r="AV50" s="64">
        <f>MAX($AP50-VLOOKUP($A50,'RE Generation'!$A$4:$M$52,'Mass Equivalents - States, Opt2'!AV$7-2016,0)-VLOOKUP('Mass Equivalents - States, Opt2'!$A50,'EE Avoided Generation'!$N$4:$S$52,'Mass Equivalents - States, Opt2'!AV$7-2018,0)-VLOOKUP($A50,'Under Construction Nuclear'!$B$5:$D$53,3,0),0)+X50+$T50+VLOOKUP('Mass Equivalents - States, Opt2'!$A50,'EE Avoided Generation'!$N$4:$S$52,'Mass Equivalents - States, Opt2'!AV$7-2018,0)</f>
        <v>378960939.37671137</v>
      </c>
      <c r="AW50" s="65">
        <f>MAX($AP50-VLOOKUP($A50,'RE Generation'!$A$4:$M$52,'Mass Equivalents - States, Opt2'!AW$7-2016,0)-VLOOKUP('Mass Equivalents - States, Opt2'!$A50,'EE Avoided Generation'!$N$4:$S$52,'Mass Equivalents - States, Opt2'!AW$7-2018,0)-VLOOKUP($A50,'Under Construction Nuclear'!$B$5:$D$53,3,0),0)+Y50+$T50+VLOOKUP('Mass Equivalents - States, Opt2'!$A50,'EE Avoided Generation'!$N$4:$S$52,'Mass Equivalents - States, Opt2'!AW$7-2018,0)</f>
        <v>378960939.37671137</v>
      </c>
      <c r="AX50" s="29"/>
      <c r="AY50" s="71">
        <f t="shared" si="17"/>
        <v>170290.21757074847</v>
      </c>
      <c r="AZ50" s="72">
        <f t="shared" si="18"/>
        <v>167559.02483077371</v>
      </c>
      <c r="BA50" s="72">
        <f t="shared" si="19"/>
        <v>164635.73203388197</v>
      </c>
      <c r="BB50" s="72">
        <f t="shared" si="20"/>
        <v>161666.02719623144</v>
      </c>
      <c r="BC50" s="72">
        <f t="shared" si="21"/>
        <v>158749.22660452081</v>
      </c>
      <c r="BD50" s="75">
        <f t="shared" si="35"/>
        <v>164580.04564723128</v>
      </c>
      <c r="BE50" s="76">
        <f t="shared" si="22"/>
        <v>158749.22660452081</v>
      </c>
      <c r="BH50" s="63">
        <f>AS50+VLOOKUP($A50,'Incremental Demand for New Gen'!$AG$66:$AL$114,'Mass Equivalents - States, Opt2'!AS$7-2018,0)</f>
        <v>409486604.63270903</v>
      </c>
      <c r="BI50" s="64">
        <f>AT50+VLOOKUP($A50,'Incremental Demand for New Gen'!$AG$66:$AL$114,'Mass Equivalents - States, Opt2'!AT$7-2018,0)</f>
        <v>413465116.653611</v>
      </c>
      <c r="BJ50" s="64">
        <f>AU50+VLOOKUP($A50,'Incremental Demand for New Gen'!$AG$66:$AL$114,'Mass Equivalents - States, Opt2'!AU$7-2018,0)</f>
        <v>417480944.54530531</v>
      </c>
      <c r="BK50" s="64">
        <f>AV50+VLOOKUP($A50,'Incremental Demand for New Gen'!$AG$66:$AL$114,'Mass Equivalents - States, Opt2'!AV$7-2018,0)</f>
        <v>421534438.30653673</v>
      </c>
      <c r="BL50" s="65">
        <f>AW50+VLOOKUP($A50,'Incremental Demand for New Gen'!$AG$66:$AL$114,'Mass Equivalents - States, Opt2'!AW$7-2018,0)</f>
        <v>425625951.21881187</v>
      </c>
      <c r="BM50" s="29"/>
      <c r="BN50" s="71">
        <f t="shared" si="23"/>
        <v>184007.25708011154</v>
      </c>
      <c r="BO50" s="72">
        <f t="shared" si="24"/>
        <v>182815.1784243721</v>
      </c>
      <c r="BP50" s="72">
        <f t="shared" si="25"/>
        <v>181370.35713617061</v>
      </c>
      <c r="BQ50" s="72">
        <f t="shared" si="26"/>
        <v>179828.0268132581</v>
      </c>
      <c r="BR50" s="72">
        <f t="shared" si="27"/>
        <v>178297.50657133872</v>
      </c>
      <c r="BS50" s="75">
        <f t="shared" si="36"/>
        <v>181263.6652050502</v>
      </c>
      <c r="BT50" s="76">
        <f t="shared" si="28"/>
        <v>178297.50657133872</v>
      </c>
    </row>
    <row r="51" spans="1:72" x14ac:dyDescent="0.25">
      <c r="A51" s="16" t="s">
        <v>85</v>
      </c>
      <c r="B51" s="17">
        <v>2070.8755593999999</v>
      </c>
      <c r="C51" s="17">
        <v>884.48694069999999</v>
      </c>
      <c r="D51" s="17">
        <v>1866.9743576999999</v>
      </c>
      <c r="E51" s="17">
        <v>0</v>
      </c>
      <c r="F51" s="17">
        <v>27332140</v>
      </c>
      <c r="G51" s="17">
        <v>5447362</v>
      </c>
      <c r="H51" s="17">
        <v>120348</v>
      </c>
      <c r="I51" s="17">
        <v>0</v>
      </c>
      <c r="J51" s="17">
        <v>1953.4</v>
      </c>
      <c r="K51" s="17">
        <v>0</v>
      </c>
      <c r="L51" s="18">
        <f t="shared" si="10"/>
        <v>1988.0405370239998</v>
      </c>
      <c r="M51" s="19">
        <f t="shared" si="37"/>
        <v>21651382.687935255</v>
      </c>
      <c r="N51" s="19">
        <f t="shared" si="38"/>
        <v>95334.672064742539</v>
      </c>
      <c r="O51" s="19">
        <f t="shared" si="11"/>
        <v>11153132.640000001</v>
      </c>
      <c r="P51" s="19">
        <f t="shared" si="12"/>
        <v>0</v>
      </c>
      <c r="Q51" s="19">
        <f t="shared" si="13"/>
        <v>0</v>
      </c>
      <c r="R51" s="20">
        <f t="shared" si="14"/>
        <v>0.31747002517491801</v>
      </c>
      <c r="S51" s="20">
        <f t="shared" si="15"/>
        <v>0.65</v>
      </c>
      <c r="T51" s="21">
        <v>0</v>
      </c>
      <c r="U51" s="22">
        <v>1393352.8905496513</v>
      </c>
      <c r="V51" s="22">
        <v>1478275.8558171683</v>
      </c>
      <c r="W51" s="22">
        <v>1568374.7604168833</v>
      </c>
      <c r="X51" s="22">
        <v>1663965.0708175683</v>
      </c>
      <c r="Y51" s="22">
        <v>1765381.4807405835</v>
      </c>
      <c r="Z51" s="23">
        <v>3.1919523556313674E-2</v>
      </c>
      <c r="AA51" s="23">
        <v>3.9407584920773488E-2</v>
      </c>
      <c r="AB51" s="23">
        <v>4.6266797453602841E-2</v>
      </c>
      <c r="AC51" s="23">
        <v>5.251797558921497E-2</v>
      </c>
      <c r="AD51" s="23">
        <v>5.8181120007017327E-2</v>
      </c>
      <c r="AE51" s="23">
        <v>1.2729309156223021</v>
      </c>
      <c r="AF51" s="24">
        <v>31955592.936799999</v>
      </c>
      <c r="AG51" s="25">
        <f t="shared" si="32"/>
        <v>1503.3075082565854</v>
      </c>
      <c r="AH51" s="25">
        <f t="shared" si="32"/>
        <v>1489.6312951545765</v>
      </c>
      <c r="AI51" s="25">
        <f t="shared" si="32"/>
        <v>1476.8143568541866</v>
      </c>
      <c r="AJ51" s="25">
        <f t="shared" si="32"/>
        <v>1464.7792309610429</v>
      </c>
      <c r="AK51" s="25">
        <f t="shared" si="32"/>
        <v>1453.4544182103639</v>
      </c>
      <c r="AL51" s="26">
        <f t="shared" si="3"/>
        <v>1477.5973618873509</v>
      </c>
      <c r="AM51" s="26">
        <f t="shared" si="16"/>
        <v>1453.4544182103639</v>
      </c>
      <c r="AN51" s="69"/>
      <c r="AO51" s="70"/>
      <c r="AP51" s="79">
        <f t="shared" si="33"/>
        <v>32899850</v>
      </c>
      <c r="AQ51" s="79">
        <f t="shared" si="34"/>
        <v>27961.402823327844</v>
      </c>
      <c r="AR51" s="84"/>
      <c r="AS51" s="63">
        <f>MAX($AP51-VLOOKUP($A51,'RE Generation'!$A$4:$M$52,'Mass Equivalents - States, Opt2'!AS$7-2016,0)-VLOOKUP('Mass Equivalents - States, Opt2'!$A51,'EE Avoided Generation'!$N$4:$S$52,'Mass Equivalents - States, Opt2'!AS$7-2018,0)-VLOOKUP($A51,'Under Construction Nuclear'!$B$5:$D$53,3,0),0)+U51+$T51+VLOOKUP('Mass Equivalents - States, Opt2'!$A51,'EE Avoided Generation'!$N$4:$S$52,'Mass Equivalents - States, Opt2'!AS$7-2018,0)</f>
        <v>33999573.940000005</v>
      </c>
      <c r="AT51" s="64">
        <f>MAX($AP51-VLOOKUP($A51,'RE Generation'!$A$4:$M$52,'Mass Equivalents - States, Opt2'!AT$7-2016,0)-VLOOKUP('Mass Equivalents - States, Opt2'!$A51,'EE Avoided Generation'!$N$4:$S$52,'Mass Equivalents - States, Opt2'!AT$7-2018,0)-VLOOKUP($A51,'Under Construction Nuclear'!$B$5:$D$53,3,0),0)+V51+$T51+VLOOKUP('Mass Equivalents - States, Opt2'!$A51,'EE Avoided Generation'!$N$4:$S$52,'Mass Equivalents - States, Opt2'!AT$7-2018,0)</f>
        <v>33999573.939999998</v>
      </c>
      <c r="AU51" s="64">
        <f>MAX($AP51-VLOOKUP($A51,'RE Generation'!$A$4:$M$52,'Mass Equivalents - States, Opt2'!AU$7-2016,0)-VLOOKUP('Mass Equivalents - States, Opt2'!$A51,'EE Avoided Generation'!$N$4:$S$52,'Mass Equivalents - States, Opt2'!AU$7-2018,0)-VLOOKUP($A51,'Under Construction Nuclear'!$B$5:$D$53,3,0),0)+W51+$T51+VLOOKUP('Mass Equivalents - States, Opt2'!$A51,'EE Avoided Generation'!$N$4:$S$52,'Mass Equivalents - States, Opt2'!AU$7-2018,0)</f>
        <v>33999573.939999998</v>
      </c>
      <c r="AV51" s="64">
        <f>MAX($AP51-VLOOKUP($A51,'RE Generation'!$A$4:$M$52,'Mass Equivalents - States, Opt2'!AV$7-2016,0)-VLOOKUP('Mass Equivalents - States, Opt2'!$A51,'EE Avoided Generation'!$N$4:$S$52,'Mass Equivalents - States, Opt2'!AV$7-2018,0)-VLOOKUP($A51,'Under Construction Nuclear'!$B$5:$D$53,3,0),0)+X51+$T51+VLOOKUP('Mass Equivalents - States, Opt2'!$A51,'EE Avoided Generation'!$N$4:$S$52,'Mass Equivalents - States, Opt2'!AV$7-2018,0)</f>
        <v>33999573.939999998</v>
      </c>
      <c r="AW51" s="65">
        <f>MAX($AP51-VLOOKUP($A51,'RE Generation'!$A$4:$M$52,'Mass Equivalents - States, Opt2'!AW$7-2016,0)-VLOOKUP('Mass Equivalents - States, Opt2'!$A51,'EE Avoided Generation'!$N$4:$S$52,'Mass Equivalents - States, Opt2'!AW$7-2018,0)-VLOOKUP($A51,'Under Construction Nuclear'!$B$5:$D$53,3,0),0)+Y51+$T51+VLOOKUP('Mass Equivalents - States, Opt2'!$A51,'EE Avoided Generation'!$N$4:$S$52,'Mass Equivalents - States, Opt2'!AW$7-2018,0)</f>
        <v>33999573.939999998</v>
      </c>
      <c r="AX51" s="29"/>
      <c r="AY51" s="71">
        <f t="shared" si="17"/>
        <v>23183.956773288341</v>
      </c>
      <c r="AZ51" s="72">
        <f t="shared" si="18"/>
        <v>22973.042684429056</v>
      </c>
      <c r="BA51" s="72">
        <f t="shared" si="19"/>
        <v>22775.380302055437</v>
      </c>
      <c r="BB51" s="72">
        <f t="shared" si="20"/>
        <v>22589.775003781295</v>
      </c>
      <c r="BC51" s="72">
        <f t="shared" si="21"/>
        <v>22415.124130400225</v>
      </c>
      <c r="BD51" s="75">
        <f t="shared" si="35"/>
        <v>22787.455778790871</v>
      </c>
      <c r="BE51" s="76">
        <f t="shared" si="22"/>
        <v>22415.124130400225</v>
      </c>
      <c r="BH51" s="63">
        <f>AS51+VLOOKUP($A51,'Incremental Demand for New Gen'!$AG$66:$AL$114,'Mass Equivalents - States, Opt2'!AS$7-2018,0)</f>
        <v>37096699.563266218</v>
      </c>
      <c r="BI51" s="64">
        <f>AT51+VLOOKUP($A51,'Incremental Demand for New Gen'!$AG$66:$AL$114,'Mass Equivalents - States, Opt2'!AT$7-2018,0)</f>
        <v>37504228.566469982</v>
      </c>
      <c r="BJ51" s="64">
        <f>AU51+VLOOKUP($A51,'Incremental Demand for New Gen'!$AG$66:$AL$114,'Mass Equivalents - States, Opt2'!AU$7-2018,0)</f>
        <v>37916463.872473076</v>
      </c>
      <c r="BK51" s="64">
        <f>AV51+VLOOKUP($A51,'Incremental Demand for New Gen'!$AG$66:$AL$114,'Mass Equivalents - States, Opt2'!AV$7-2018,0)</f>
        <v>38333459.831483372</v>
      </c>
      <c r="BL51" s="65">
        <f>AW51+VLOOKUP($A51,'Incremental Demand for New Gen'!$AG$66:$AL$114,'Mass Equivalents - States, Opt2'!AW$7-2018,0)</f>
        <v>38755271.421365991</v>
      </c>
      <c r="BM51" s="29"/>
      <c r="BN51" s="71">
        <f t="shared" si="23"/>
        <v>25295.854607595367</v>
      </c>
      <c r="BO51" s="72">
        <f t="shared" si="24"/>
        <v>25341.089427313527</v>
      </c>
      <c r="BP51" s="72">
        <f t="shared" si="25"/>
        <v>25399.197234902767</v>
      </c>
      <c r="BQ51" s="72">
        <f t="shared" si="26"/>
        <v>25469.267180755072</v>
      </c>
      <c r="BR51" s="72">
        <f t="shared" si="27"/>
        <v>25550.44428351655</v>
      </c>
      <c r="BS51" s="75">
        <f t="shared" si="36"/>
        <v>25411.170546816655</v>
      </c>
      <c r="BT51" s="76">
        <f t="shared" si="28"/>
        <v>25550.44428351655</v>
      </c>
    </row>
    <row r="52" spans="1:72" x14ac:dyDescent="0.25">
      <c r="A52" s="16" t="s">
        <v>86</v>
      </c>
      <c r="B52" s="17">
        <v>2267.8419319999998</v>
      </c>
      <c r="C52" s="17">
        <v>903.25933120000002</v>
      </c>
      <c r="D52" s="17">
        <v>1652.3647022</v>
      </c>
      <c r="E52" s="17">
        <v>2581898592.1833081</v>
      </c>
      <c r="F52" s="17">
        <v>13641552</v>
      </c>
      <c r="G52" s="17">
        <v>23070349.8473</v>
      </c>
      <c r="H52" s="17">
        <v>343908</v>
      </c>
      <c r="I52" s="17">
        <v>1140287.9820959999</v>
      </c>
      <c r="J52" s="17">
        <v>4346.1000000000004</v>
      </c>
      <c r="K52" s="17">
        <v>1928</v>
      </c>
      <c r="L52" s="18">
        <f t="shared" si="10"/>
        <v>2177.1282547199999</v>
      </c>
      <c r="M52" s="19">
        <f t="shared" si="37"/>
        <v>10288388.44038962</v>
      </c>
      <c r="N52" s="19">
        <f t="shared" si="38"/>
        <v>259373.64691037452</v>
      </c>
      <c r="O52" s="19">
        <f t="shared" si="11"/>
        <v>26508047.760000005</v>
      </c>
      <c r="P52" s="19">
        <f t="shared" si="12"/>
        <v>10995356047.345861</v>
      </c>
      <c r="Q52" s="19">
        <f t="shared" si="13"/>
        <v>10454841.582096001</v>
      </c>
      <c r="R52" s="20">
        <f t="shared" si="14"/>
        <v>0.60431328041410481</v>
      </c>
      <c r="S52" s="20">
        <f t="shared" si="15"/>
        <v>0.65</v>
      </c>
      <c r="T52" s="21">
        <v>1645274.9621480964</v>
      </c>
      <c r="U52" s="22">
        <v>4458735.5631242758</v>
      </c>
      <c r="V52" s="22">
        <v>5228273.178048416</v>
      </c>
      <c r="W52" s="22">
        <v>6130626.0569412904</v>
      </c>
      <c r="X52" s="22">
        <v>7188716.918590107</v>
      </c>
      <c r="Y52" s="22">
        <v>8429424.7366649546</v>
      </c>
      <c r="Z52" s="23">
        <v>9.4526799383855102E-3</v>
      </c>
      <c r="AA52" s="23">
        <v>1.4976136146639341E-2</v>
      </c>
      <c r="AB52" s="23">
        <v>2.1552610617925128E-2</v>
      </c>
      <c r="AC52" s="23">
        <v>2.9073711582661029E-2</v>
      </c>
      <c r="AD52" s="23">
        <v>3.6695571052201489E-2</v>
      </c>
      <c r="AE52" s="23">
        <v>0.58009283195120465</v>
      </c>
      <c r="AF52" s="24">
        <v>115890388.37349999</v>
      </c>
      <c r="AG52" s="25">
        <f t="shared" si="32"/>
        <v>1064.8215769888805</v>
      </c>
      <c r="AH52" s="25">
        <f t="shared" si="32"/>
        <v>1042.8899173685411</v>
      </c>
      <c r="AI52" s="25">
        <f t="shared" si="32"/>
        <v>1018.1763672493888</v>
      </c>
      <c r="AJ52" s="25">
        <f t="shared" si="32"/>
        <v>990.86662238781321</v>
      </c>
      <c r="AK52" s="25">
        <f t="shared" si="32"/>
        <v>961.94029544997568</v>
      </c>
      <c r="AL52" s="26">
        <f t="shared" si="3"/>
        <v>1015.7389558889199</v>
      </c>
      <c r="AM52" s="26">
        <f t="shared" si="16"/>
        <v>961.94029544997568</v>
      </c>
      <c r="AN52" s="69"/>
      <c r="AO52" s="70"/>
      <c r="AP52" s="79">
        <f t="shared" si="33"/>
        <v>47510651.429396003</v>
      </c>
      <c r="AQ52" s="79">
        <f t="shared" si="34"/>
        <v>24913.841137687312</v>
      </c>
      <c r="AR52" s="84"/>
      <c r="AS52" s="63">
        <f>MAX($AP52-VLOOKUP($A52,'RE Generation'!$A$4:$M$52,'Mass Equivalents - States, Opt2'!AS$7-2016,0)-VLOOKUP('Mass Equivalents - States, Opt2'!$A52,'EE Avoided Generation'!$N$4:$S$52,'Mass Equivalents - States, Opt2'!AS$7-2018,0)-VLOOKUP($A52,'Under Construction Nuclear'!$B$5:$D$53,3,0),0)+U52+$T52+VLOOKUP('Mass Equivalents - States, Opt2'!$A52,'EE Avoided Generation'!$N$4:$S$52,'Mass Equivalents - States, Opt2'!AS$7-2018,0)</f>
        <v>51514369.991544105</v>
      </c>
      <c r="AT52" s="64">
        <f>MAX($AP52-VLOOKUP($A52,'RE Generation'!$A$4:$M$52,'Mass Equivalents - States, Opt2'!AT$7-2016,0)-VLOOKUP('Mass Equivalents - States, Opt2'!$A52,'EE Avoided Generation'!$N$4:$S$52,'Mass Equivalents - States, Opt2'!AT$7-2018,0)-VLOOKUP($A52,'Under Construction Nuclear'!$B$5:$D$53,3,0),0)+V52+$T52+VLOOKUP('Mass Equivalents - States, Opt2'!$A52,'EE Avoided Generation'!$N$4:$S$52,'Mass Equivalents - States, Opt2'!AT$7-2018,0)</f>
        <v>51514369.991544098</v>
      </c>
      <c r="AU52" s="64">
        <f>MAX($AP52-VLOOKUP($A52,'RE Generation'!$A$4:$M$52,'Mass Equivalents - States, Opt2'!AU$7-2016,0)-VLOOKUP('Mass Equivalents - States, Opt2'!$A52,'EE Avoided Generation'!$N$4:$S$52,'Mass Equivalents - States, Opt2'!AU$7-2018,0)-VLOOKUP($A52,'Under Construction Nuclear'!$B$5:$D$53,3,0),0)+W52+$T52+VLOOKUP('Mass Equivalents - States, Opt2'!$A52,'EE Avoided Generation'!$N$4:$S$52,'Mass Equivalents - States, Opt2'!AU$7-2018,0)</f>
        <v>51514369.991544098</v>
      </c>
      <c r="AV52" s="64">
        <f>MAX($AP52-VLOOKUP($A52,'RE Generation'!$A$4:$M$52,'Mass Equivalents - States, Opt2'!AV$7-2016,0)-VLOOKUP('Mass Equivalents - States, Opt2'!$A52,'EE Avoided Generation'!$N$4:$S$52,'Mass Equivalents - States, Opt2'!AV$7-2018,0)-VLOOKUP($A52,'Under Construction Nuclear'!$B$5:$D$53,3,0),0)+X52+$T52+VLOOKUP('Mass Equivalents - States, Opt2'!$A52,'EE Avoided Generation'!$N$4:$S$52,'Mass Equivalents - States, Opt2'!AV$7-2018,0)</f>
        <v>51514369.991544098</v>
      </c>
      <c r="AW52" s="65">
        <f>MAX($AP52-VLOOKUP($A52,'RE Generation'!$A$4:$M$52,'Mass Equivalents - States, Opt2'!AW$7-2016,0)-VLOOKUP('Mass Equivalents - States, Opt2'!$A52,'EE Avoided Generation'!$N$4:$S$52,'Mass Equivalents - States, Opt2'!AW$7-2018,0)-VLOOKUP($A52,'Under Construction Nuclear'!$B$5:$D$53,3,0),0)+Y52+$T52+VLOOKUP('Mass Equivalents - States, Opt2'!$A52,'EE Avoided Generation'!$N$4:$S$52,'Mass Equivalents - States, Opt2'!AW$7-2018,0)</f>
        <v>51514369.991544105</v>
      </c>
      <c r="AX52" s="29"/>
      <c r="AY52" s="71">
        <f t="shared" si="17"/>
        <v>24881.209774013056</v>
      </c>
      <c r="AZ52" s="72">
        <f t="shared" si="18"/>
        <v>24368.742487945263</v>
      </c>
      <c r="BA52" s="72">
        <f t="shared" si="19"/>
        <v>23791.272010201894</v>
      </c>
      <c r="BB52" s="72">
        <f t="shared" si="20"/>
        <v>23153.137410509487</v>
      </c>
      <c r="BC52" s="72">
        <f t="shared" si="21"/>
        <v>22477.228860114352</v>
      </c>
      <c r="BD52" s="75">
        <f t="shared" si="35"/>
        <v>23734.31810855681</v>
      </c>
      <c r="BE52" s="76">
        <f t="shared" si="22"/>
        <v>22477.228860114352</v>
      </c>
      <c r="BH52" s="63">
        <f>AS52+VLOOKUP($A52,'Incremental Demand for New Gen'!$AG$66:$AL$114,'Mass Equivalents - States, Opt2'!AS$7-2018,0)</f>
        <v>53351949.985530347</v>
      </c>
      <c r="BI52" s="64">
        <f>AT52+VLOOKUP($A52,'Incremental Demand for New Gen'!$AG$66:$AL$114,'Mass Equivalents - States, Opt2'!AT$7-2018,0)</f>
        <v>54815865.338340089</v>
      </c>
      <c r="BJ52" s="64">
        <f>AU52+VLOOKUP($A52,'Incremental Demand for New Gen'!$AG$66:$AL$114,'Mass Equivalents - States, Opt2'!AU$7-2018,0)</f>
        <v>56296648.545822501</v>
      </c>
      <c r="BK52" s="64">
        <f>AV52+VLOOKUP($A52,'Incremental Demand for New Gen'!$AG$66:$AL$114,'Mass Equivalents - States, Opt2'!AV$7-2018,0)</f>
        <v>57794493.96656581</v>
      </c>
      <c r="BL52" s="65">
        <f>AW52+VLOOKUP($A52,'Incremental Demand for New Gen'!$AG$66:$AL$114,'Mass Equivalents - States, Opt2'!AW$7-2018,0)</f>
        <v>59309598.198640481</v>
      </c>
      <c r="BM52" s="29"/>
      <c r="BN52" s="71">
        <f t="shared" si="23"/>
        <v>25768.752673487634</v>
      </c>
      <c r="BO52" s="72">
        <f t="shared" si="24"/>
        <v>25930.506515039586</v>
      </c>
      <c r="BP52" s="72">
        <f t="shared" si="25"/>
        <v>25999.90796813108</v>
      </c>
      <c r="BQ52" s="72">
        <f t="shared" si="26"/>
        <v>25975.739596512743</v>
      </c>
      <c r="BR52" s="72">
        <f t="shared" si="27"/>
        <v>25878.515306138732</v>
      </c>
      <c r="BS52" s="75">
        <f t="shared" si="36"/>
        <v>25910.684411861952</v>
      </c>
      <c r="BT52" s="76">
        <f t="shared" si="28"/>
        <v>25878.515306138732</v>
      </c>
    </row>
    <row r="53" spans="1:72" x14ac:dyDescent="0.25">
      <c r="A53" s="16" t="s">
        <v>87</v>
      </c>
      <c r="B53" s="17">
        <v>2431.8756291</v>
      </c>
      <c r="C53" s="17">
        <v>823.08344480000005</v>
      </c>
      <c r="D53" s="17">
        <v>0</v>
      </c>
      <c r="E53" s="17">
        <v>841079242.05249608</v>
      </c>
      <c r="F53" s="17">
        <v>3735730</v>
      </c>
      <c r="G53" s="17">
        <v>5665045</v>
      </c>
      <c r="H53" s="17">
        <v>0</v>
      </c>
      <c r="I53" s="17">
        <v>1181813.6844964998</v>
      </c>
      <c r="J53" s="17">
        <v>3485.1</v>
      </c>
      <c r="K53" s="17">
        <v>0</v>
      </c>
      <c r="L53" s="18">
        <f t="shared" si="10"/>
        <v>2334.600603936</v>
      </c>
      <c r="M53" s="19">
        <f t="shared" si="37"/>
        <v>0</v>
      </c>
      <c r="N53" s="19">
        <f t="shared" si="38"/>
        <v>0</v>
      </c>
      <c r="O53" s="19">
        <f t="shared" si="11"/>
        <v>9400775</v>
      </c>
      <c r="P53" s="19">
        <f t="shared" si="12"/>
        <v>841079242.05249608</v>
      </c>
      <c r="Q53" s="19">
        <f t="shared" si="13"/>
        <v>1181813.6844964998</v>
      </c>
      <c r="R53" s="20">
        <f t="shared" si="14"/>
        <v>0.18505285629444404</v>
      </c>
      <c r="S53" s="20">
        <f t="shared" si="15"/>
        <v>0.30708322089787499</v>
      </c>
      <c r="T53" s="21">
        <v>506700.34628760855</v>
      </c>
      <c r="U53" s="22">
        <v>10407601.523484629</v>
      </c>
      <c r="V53" s="22">
        <v>11041930.693569014</v>
      </c>
      <c r="W53" s="22">
        <v>11714921.364587309</v>
      </c>
      <c r="X53" s="22">
        <v>12428929.902484756</v>
      </c>
      <c r="Y53" s="22">
        <v>13186456.290508926</v>
      </c>
      <c r="Z53" s="23">
        <v>3.4535147472296981E-2</v>
      </c>
      <c r="AA53" s="23">
        <v>4.181418572062684E-2</v>
      </c>
      <c r="AB53" s="23">
        <v>4.8471335143931281E-2</v>
      </c>
      <c r="AC53" s="23">
        <v>5.4527138480939603E-2</v>
      </c>
      <c r="AD53" s="23">
        <v>6.0001334928509342E-2</v>
      </c>
      <c r="AE53" s="23">
        <v>1.0769131559142726</v>
      </c>
      <c r="AF53" s="24">
        <v>99270907.719099998</v>
      </c>
      <c r="AG53" s="25">
        <f t="shared" si="32"/>
        <v>344.17748170372226</v>
      </c>
      <c r="AH53" s="25">
        <f t="shared" si="32"/>
        <v>326.40788116080853</v>
      </c>
      <c r="AI53" s="25">
        <f t="shared" si="32"/>
        <v>310.64239288836569</v>
      </c>
      <c r="AJ53" s="25">
        <f t="shared" si="32"/>
        <v>296.52099445463239</v>
      </c>
      <c r="AK53" s="25">
        <f t="shared" si="32"/>
        <v>283.76104690789765</v>
      </c>
      <c r="AL53" s="26">
        <f t="shared" si="3"/>
        <v>312.30195942308529</v>
      </c>
      <c r="AM53" s="26">
        <f t="shared" si="16"/>
        <v>283.76104690789765</v>
      </c>
      <c r="AN53" s="69"/>
      <c r="AO53" s="70"/>
      <c r="AP53" s="79">
        <f t="shared" si="33"/>
        <v>10582588.6844965</v>
      </c>
      <c r="AQ53" s="79">
        <f t="shared" si="34"/>
        <v>6617.3375636151613</v>
      </c>
      <c r="AR53" s="84"/>
      <c r="AS53" s="63">
        <f>MAX($AP53-VLOOKUP($A53,'RE Generation'!$A$4:$M$52,'Mass Equivalents - States, Opt2'!AS$7-2016,0)-VLOOKUP('Mass Equivalents - States, Opt2'!$A53,'EE Avoided Generation'!$N$4:$S$52,'Mass Equivalents - States, Opt2'!AS$7-2018,0)-VLOOKUP($A53,'Under Construction Nuclear'!$B$5:$D$53,3,0),0)+U53+$T53+VLOOKUP('Mass Equivalents - States, Opt2'!$A53,'EE Avoided Generation'!$N$4:$S$52,'Mass Equivalents - States, Opt2'!AS$7-2018,0)</f>
        <v>19303639.200784106</v>
      </c>
      <c r="AT53" s="64">
        <f>MAX($AP53-VLOOKUP($A53,'RE Generation'!$A$4:$M$52,'Mass Equivalents - States, Opt2'!AT$7-2016,0)-VLOOKUP('Mass Equivalents - States, Opt2'!$A53,'EE Avoided Generation'!$N$4:$S$52,'Mass Equivalents - States, Opt2'!AT$7-2018,0)-VLOOKUP($A53,'Under Construction Nuclear'!$B$5:$D$53,3,0),0)+V53+$T53+VLOOKUP('Mass Equivalents - States, Opt2'!$A53,'EE Avoided Generation'!$N$4:$S$52,'Mass Equivalents - States, Opt2'!AT$7-2018,0)</f>
        <v>19303639.20078411</v>
      </c>
      <c r="AU53" s="64">
        <f>MAX($AP53-VLOOKUP($A53,'RE Generation'!$A$4:$M$52,'Mass Equivalents - States, Opt2'!AU$7-2016,0)-VLOOKUP('Mass Equivalents - States, Opt2'!$A53,'EE Avoided Generation'!$N$4:$S$52,'Mass Equivalents - States, Opt2'!AU$7-2018,0)-VLOOKUP($A53,'Under Construction Nuclear'!$B$5:$D$53,3,0),0)+W53+$T53+VLOOKUP('Mass Equivalents - States, Opt2'!$A53,'EE Avoided Generation'!$N$4:$S$52,'Mass Equivalents - States, Opt2'!AU$7-2018,0)</f>
        <v>19303639.20078411</v>
      </c>
      <c r="AV53" s="64">
        <f>MAX($AP53-VLOOKUP($A53,'RE Generation'!$A$4:$M$52,'Mass Equivalents - States, Opt2'!AV$7-2016,0)-VLOOKUP('Mass Equivalents - States, Opt2'!$A53,'EE Avoided Generation'!$N$4:$S$52,'Mass Equivalents - States, Opt2'!AV$7-2018,0)-VLOOKUP($A53,'Under Construction Nuclear'!$B$5:$D$53,3,0),0)+X53+$T53+VLOOKUP('Mass Equivalents - States, Opt2'!$A53,'EE Avoided Generation'!$N$4:$S$52,'Mass Equivalents - States, Opt2'!AV$7-2018,0)</f>
        <v>19303639.20078411</v>
      </c>
      <c r="AW53" s="65">
        <f>MAX($AP53-VLOOKUP($A53,'RE Generation'!$A$4:$M$52,'Mass Equivalents - States, Opt2'!AW$7-2016,0)-VLOOKUP('Mass Equivalents - States, Opt2'!$A53,'EE Avoided Generation'!$N$4:$S$52,'Mass Equivalents - States, Opt2'!AW$7-2018,0)-VLOOKUP($A53,'Under Construction Nuclear'!$B$5:$D$53,3,0),0)+Y53+$T53+VLOOKUP('Mass Equivalents - States, Opt2'!$A53,'EE Avoided Generation'!$N$4:$S$52,'Mass Equivalents - States, Opt2'!AW$7-2018,0)</f>
        <v>19649543.619507395</v>
      </c>
      <c r="AX53" s="29"/>
      <c r="AY53" s="71">
        <f t="shared" si="17"/>
        <v>3013.6159192255936</v>
      </c>
      <c r="AZ53" s="72">
        <f t="shared" si="18"/>
        <v>2858.0254058389496</v>
      </c>
      <c r="BA53" s="72">
        <f t="shared" si="19"/>
        <v>2719.9828872028897</v>
      </c>
      <c r="BB53" s="72">
        <f t="shared" si="20"/>
        <v>2596.3360091126497</v>
      </c>
      <c r="BC53" s="72">
        <f t="shared" si="21"/>
        <v>2529.1320357856771</v>
      </c>
      <c r="BD53" s="75">
        <f t="shared" si="35"/>
        <v>2743.4184514331519</v>
      </c>
      <c r="BE53" s="76">
        <f t="shared" si="22"/>
        <v>2529.1320357856771</v>
      </c>
      <c r="BH53" s="63">
        <f>AS53+VLOOKUP($A53,'Incremental Demand for New Gen'!$AG$66:$AL$114,'Mass Equivalents - States, Opt2'!AS$7-2018,0)</f>
        <v>28946813.595134795</v>
      </c>
      <c r="BI53" s="64">
        <f>AT53+VLOOKUP($A53,'Incremental Demand for New Gen'!$AG$66:$AL$114,'Mass Equivalents - States, Opt2'!AT$7-2018,0)</f>
        <v>30215691.169595435</v>
      </c>
      <c r="BJ53" s="64">
        <f>AU53+VLOOKUP($A53,'Incremental Demand for New Gen'!$AG$66:$AL$114,'Mass Equivalents - States, Opt2'!AU$7-2018,0)</f>
        <v>31499222.233829148</v>
      </c>
      <c r="BK53" s="64">
        <f>AV53+VLOOKUP($A53,'Incremental Demand for New Gen'!$AG$66:$AL$114,'Mass Equivalents - States, Opt2'!AV$7-2018,0)</f>
        <v>32797576.012012377</v>
      </c>
      <c r="BL53" s="65">
        <f>AW53+VLOOKUP($A53,'Incremental Demand for New Gen'!$AG$66:$AL$114,'Mass Equivalents - States, Opt2'!AW$7-2018,0)</f>
        <v>34456828.101311177</v>
      </c>
      <c r="BM53" s="29"/>
      <c r="BN53" s="71">
        <f t="shared" si="23"/>
        <v>4519.0742198295238</v>
      </c>
      <c r="BO53" s="72">
        <f t="shared" si="24"/>
        <v>4473.6234509697815</v>
      </c>
      <c r="BP53" s="72">
        <f t="shared" si="25"/>
        <v>4438.4037924173317</v>
      </c>
      <c r="BQ53" s="72">
        <f t="shared" si="26"/>
        <v>4411.2680891869377</v>
      </c>
      <c r="BR53" s="72">
        <f t="shared" si="27"/>
        <v>4435.0072190007922</v>
      </c>
      <c r="BS53" s="75">
        <f t="shared" si="36"/>
        <v>4455.4753542808739</v>
      </c>
      <c r="BT53" s="76">
        <f t="shared" si="28"/>
        <v>4435.0072190007922</v>
      </c>
    </row>
    <row r="54" spans="1:72" x14ac:dyDescent="0.25">
      <c r="A54" s="16" t="s">
        <v>88</v>
      </c>
      <c r="B54" s="17">
        <v>2056.1693873999998</v>
      </c>
      <c r="C54" s="17">
        <v>0</v>
      </c>
      <c r="D54" s="17">
        <v>0</v>
      </c>
      <c r="E54" s="17">
        <v>569069878.81547618</v>
      </c>
      <c r="F54" s="17">
        <v>70074636</v>
      </c>
      <c r="G54" s="17">
        <v>0</v>
      </c>
      <c r="H54" s="17">
        <v>0</v>
      </c>
      <c r="I54" s="17">
        <v>270212.83256560005</v>
      </c>
      <c r="J54" s="17">
        <v>0</v>
      </c>
      <c r="K54" s="17">
        <v>0</v>
      </c>
      <c r="L54" s="18">
        <f t="shared" si="10"/>
        <v>1973.9226119039997</v>
      </c>
      <c r="M54" s="19">
        <f t="shared" si="37"/>
        <v>70074636</v>
      </c>
      <c r="N54" s="19">
        <f t="shared" si="38"/>
        <v>0</v>
      </c>
      <c r="O54" s="19">
        <f t="shared" si="11"/>
        <v>0</v>
      </c>
      <c r="P54" s="19">
        <f t="shared" si="12"/>
        <v>569069878.81547618</v>
      </c>
      <c r="Q54" s="19">
        <f t="shared" si="13"/>
        <v>270212.83256560005</v>
      </c>
      <c r="R54" s="20"/>
      <c r="S54" s="20"/>
      <c r="T54" s="21">
        <v>0</v>
      </c>
      <c r="U54" s="22">
        <v>2451206.0983753526</v>
      </c>
      <c r="V54" s="22">
        <v>2874262.2020455897</v>
      </c>
      <c r="W54" s="22">
        <v>3370333.9803142487</v>
      </c>
      <c r="X54" s="22">
        <v>3952023.2812360222</v>
      </c>
      <c r="Y54" s="22">
        <v>4634106.9183818018</v>
      </c>
      <c r="Z54" s="23">
        <v>1.4884332158439782E-2</v>
      </c>
      <c r="AA54" s="23">
        <v>2.1591413685061744E-2</v>
      </c>
      <c r="AB54" s="23">
        <v>2.9286650444291611E-2</v>
      </c>
      <c r="AC54" s="23">
        <v>3.7149267151753256E-2</v>
      </c>
      <c r="AD54" s="23">
        <v>4.4401774225522751E-2</v>
      </c>
      <c r="AE54" s="23">
        <v>2.3330020830253368</v>
      </c>
      <c r="AF54" s="24">
        <v>33131615.799099997</v>
      </c>
      <c r="AG54" s="25">
        <f t="shared" si="32"/>
        <v>1895.1084779842506</v>
      </c>
      <c r="AH54" s="25">
        <f t="shared" si="32"/>
        <v>1878.5686760113215</v>
      </c>
      <c r="AI54" s="25">
        <f t="shared" si="32"/>
        <v>1859.6780396883507</v>
      </c>
      <c r="AJ54" s="25">
        <f t="shared" si="32"/>
        <v>1838.9412314136189</v>
      </c>
      <c r="AK54" s="25">
        <f t="shared" si="32"/>
        <v>1816.7543823164815</v>
      </c>
      <c r="AL54" s="26">
        <f t="shared" si="3"/>
        <v>1857.8101614828047</v>
      </c>
      <c r="AM54" s="26">
        <f t="shared" si="16"/>
        <v>1816.7543823164815</v>
      </c>
      <c r="AN54" s="69"/>
      <c r="AO54" s="70"/>
      <c r="AP54" s="79">
        <f t="shared" si="33"/>
        <v>70344848.832565606</v>
      </c>
      <c r="AQ54" s="79">
        <f t="shared" si="34"/>
        <v>65614.206192093639</v>
      </c>
      <c r="AR54" s="84"/>
      <c r="AS54" s="63">
        <f>MAX($AP54-VLOOKUP($A54,'RE Generation'!$A$4:$M$52,'Mass Equivalents - States, Opt2'!AS$7-2016,0)-VLOOKUP('Mass Equivalents - States, Opt2'!$A54,'EE Avoided Generation'!$N$4:$S$52,'Mass Equivalents - States, Opt2'!AS$7-2018,0)-VLOOKUP($A54,'Under Construction Nuclear'!$B$5:$D$53,3,0),0)+U54+$T54+VLOOKUP('Mass Equivalents - States, Opt2'!$A54,'EE Avoided Generation'!$N$4:$S$52,'Mass Equivalents - States, Opt2'!AS$7-2018,0)</f>
        <v>71641411.782565609</v>
      </c>
      <c r="AT54" s="64">
        <f>MAX($AP54-VLOOKUP($A54,'RE Generation'!$A$4:$M$52,'Mass Equivalents - States, Opt2'!AT$7-2016,0)-VLOOKUP('Mass Equivalents - States, Opt2'!$A54,'EE Avoided Generation'!$N$4:$S$52,'Mass Equivalents - States, Opt2'!AT$7-2018,0)-VLOOKUP($A54,'Under Construction Nuclear'!$B$5:$D$53,3,0),0)+V54+$T54+VLOOKUP('Mass Equivalents - States, Opt2'!$A54,'EE Avoided Generation'!$N$4:$S$52,'Mass Equivalents - States, Opt2'!AT$7-2018,0)</f>
        <v>71641411.782565609</v>
      </c>
      <c r="AU54" s="64">
        <f>MAX($AP54-VLOOKUP($A54,'RE Generation'!$A$4:$M$52,'Mass Equivalents - States, Opt2'!AU$7-2016,0)-VLOOKUP('Mass Equivalents - States, Opt2'!$A54,'EE Avoided Generation'!$N$4:$S$52,'Mass Equivalents - States, Opt2'!AU$7-2018,0)-VLOOKUP($A54,'Under Construction Nuclear'!$B$5:$D$53,3,0),0)+W54+$T54+VLOOKUP('Mass Equivalents - States, Opt2'!$A54,'EE Avoided Generation'!$N$4:$S$52,'Mass Equivalents - States, Opt2'!AU$7-2018,0)</f>
        <v>71641411.782565609</v>
      </c>
      <c r="AV54" s="64">
        <f>MAX($AP54-VLOOKUP($A54,'RE Generation'!$A$4:$M$52,'Mass Equivalents - States, Opt2'!AV$7-2016,0)-VLOOKUP('Mass Equivalents - States, Opt2'!$A54,'EE Avoided Generation'!$N$4:$S$52,'Mass Equivalents - States, Opt2'!AV$7-2018,0)-VLOOKUP($A54,'Under Construction Nuclear'!$B$5:$D$53,3,0),0)+X54+$T54+VLOOKUP('Mass Equivalents - States, Opt2'!$A54,'EE Avoided Generation'!$N$4:$S$52,'Mass Equivalents - States, Opt2'!AV$7-2018,0)</f>
        <v>71641411.782565609</v>
      </c>
      <c r="AW54" s="65">
        <f>MAX($AP54-VLOOKUP($A54,'RE Generation'!$A$4:$M$52,'Mass Equivalents - States, Opt2'!AW$7-2016,0)-VLOOKUP('Mass Equivalents - States, Opt2'!$A54,'EE Avoided Generation'!$N$4:$S$52,'Mass Equivalents - States, Opt2'!AW$7-2018,0)-VLOOKUP($A54,'Under Construction Nuclear'!$B$5:$D$53,3,0),0)+Y54+$T54+VLOOKUP('Mass Equivalents - States, Opt2'!$A54,'EE Avoided Generation'!$N$4:$S$52,'Mass Equivalents - States, Opt2'!AW$7-2018,0)</f>
        <v>71641411.782565594</v>
      </c>
      <c r="AX54" s="29"/>
      <c r="AY54" s="71">
        <f t="shared" si="17"/>
        <v>61583.514094901104</v>
      </c>
      <c r="AZ54" s="72">
        <f t="shared" si="18"/>
        <v>61046.036087831999</v>
      </c>
      <c r="BA54" s="72">
        <f t="shared" si="19"/>
        <v>60432.165282138209</v>
      </c>
      <c r="BB54" s="72">
        <f t="shared" si="20"/>
        <v>59758.301205487274</v>
      </c>
      <c r="BC54" s="72">
        <f t="shared" si="21"/>
        <v>59037.316549480485</v>
      </c>
      <c r="BD54" s="75">
        <f t="shared" si="35"/>
        <v>60371.466643967819</v>
      </c>
      <c r="BE54" s="76">
        <f t="shared" si="22"/>
        <v>59037.316549480485</v>
      </c>
      <c r="BH54" s="63">
        <f>AS54+VLOOKUP($A54,'Incremental Demand for New Gen'!$AG$66:$AL$114,'Mass Equivalents - States, Opt2'!AS$7-2018,0)</f>
        <v>73111091.733245656</v>
      </c>
      <c r="BI54" s="64">
        <f>AT54+VLOOKUP($A54,'Incremental Demand for New Gen'!$AG$66:$AL$114,'Mass Equivalents - States, Opt2'!AT$7-2018,0)</f>
        <v>73299319.630595237</v>
      </c>
      <c r="BJ54" s="64">
        <f>AU54+VLOOKUP($A54,'Incremental Demand for New Gen'!$AG$66:$AL$114,'Mass Equivalents - States, Opt2'!AU$7-2018,0)</f>
        <v>73488569.738116771</v>
      </c>
      <c r="BK54" s="64">
        <f>AV54+VLOOKUP($A54,'Incremental Demand for New Gen'!$AG$66:$AL$114,'Mass Equivalents - States, Opt2'!AV$7-2018,0)</f>
        <v>73678847.607132092</v>
      </c>
      <c r="BL54" s="65">
        <f>AW54+VLOOKUP($A54,'Incremental Demand for New Gen'!$AG$66:$AL$114,'Mass Equivalents - States, Opt2'!AW$7-2018,0)</f>
        <v>73870158.819110602</v>
      </c>
      <c r="BM54" s="29"/>
      <c r="BN54" s="71">
        <f t="shared" si="23"/>
        <v>62846.862397310244</v>
      </c>
      <c r="BO54" s="72">
        <f t="shared" si="24"/>
        <v>62458.748369777095</v>
      </c>
      <c r="BP54" s="72">
        <f t="shared" si="25"/>
        <v>61990.310942512384</v>
      </c>
      <c r="BQ54" s="72">
        <f t="shared" si="26"/>
        <v>61457.788983042825</v>
      </c>
      <c r="BR54" s="72">
        <f t="shared" si="27"/>
        <v>60873.95322415368</v>
      </c>
      <c r="BS54" s="75">
        <f t="shared" si="36"/>
        <v>61925.532783359246</v>
      </c>
      <c r="BT54" s="76">
        <f t="shared" si="28"/>
        <v>60873.95322415368</v>
      </c>
    </row>
    <row r="55" spans="1:72" x14ac:dyDescent="0.25">
      <c r="A55" s="16" t="s">
        <v>89</v>
      </c>
      <c r="B55" s="17">
        <v>2362.8620348999998</v>
      </c>
      <c r="C55" s="17">
        <v>833.44731530000001</v>
      </c>
      <c r="D55" s="17">
        <v>1797.8866324999999</v>
      </c>
      <c r="E55" s="17">
        <v>133623054.35154198</v>
      </c>
      <c r="F55" s="17">
        <v>32112721</v>
      </c>
      <c r="G55" s="17">
        <v>10244272.9537</v>
      </c>
      <c r="H55" s="17">
        <v>47668</v>
      </c>
      <c r="I55" s="17">
        <v>160189.20979510003</v>
      </c>
      <c r="J55" s="17">
        <v>2977.3</v>
      </c>
      <c r="K55" s="17">
        <v>0</v>
      </c>
      <c r="L55" s="18">
        <f t="shared" si="10"/>
        <v>2268.3475535039997</v>
      </c>
      <c r="M55" s="19">
        <f t="shared" si="37"/>
        <v>25367813.987823136</v>
      </c>
      <c r="N55" s="19">
        <f t="shared" si="38"/>
        <v>37655.885876863351</v>
      </c>
      <c r="O55" s="19">
        <f t="shared" si="11"/>
        <v>16999192.080000002</v>
      </c>
      <c r="P55" s="19">
        <f t="shared" si="12"/>
        <v>133623054.35154198</v>
      </c>
      <c r="Q55" s="19">
        <f t="shared" si="13"/>
        <v>160189.20979510003</v>
      </c>
      <c r="R55" s="20">
        <f t="shared" si="14"/>
        <v>0.39171140537550769</v>
      </c>
      <c r="S55" s="20">
        <f t="shared" si="15"/>
        <v>0.65</v>
      </c>
      <c r="T55" s="21">
        <v>546885.33272974333</v>
      </c>
      <c r="U55" s="22">
        <v>4066361.6280125463</v>
      </c>
      <c r="V55" s="22">
        <v>4309594.7088892087</v>
      </c>
      <c r="W55" s="22">
        <v>4567376.9954305105</v>
      </c>
      <c r="X55" s="22">
        <v>4840578.7614688976</v>
      </c>
      <c r="Y55" s="22">
        <v>5130122.3370494274</v>
      </c>
      <c r="Z55" s="23">
        <v>3.5980688290644339E-2</v>
      </c>
      <c r="AA55" s="23">
        <v>4.341081958790851E-2</v>
      </c>
      <c r="AB55" s="23">
        <v>5.0244178045956121E-2</v>
      </c>
      <c r="AC55" s="23">
        <v>5.6494437424118124E-2</v>
      </c>
      <c r="AD55" s="23">
        <v>6.217475547825882E-2</v>
      </c>
      <c r="AE55" s="23">
        <v>0.83970464605670592</v>
      </c>
      <c r="AF55" s="24">
        <v>73988478.759000003</v>
      </c>
      <c r="AG55" s="25">
        <f t="shared" si="32"/>
        <v>1455.3156542656259</v>
      </c>
      <c r="AH55" s="25">
        <f t="shared" si="32"/>
        <v>1434.8483596218932</v>
      </c>
      <c r="AI55" s="25">
        <f t="shared" si="32"/>
        <v>1415.576230960088</v>
      </c>
      <c r="AJ55" s="25">
        <f t="shared" si="32"/>
        <v>1397.3797172419211</v>
      </c>
      <c r="AK55" s="25">
        <f t="shared" si="32"/>
        <v>1380.1499630469179</v>
      </c>
      <c r="AL55" s="26">
        <f t="shared" si="3"/>
        <v>1416.6539850272891</v>
      </c>
      <c r="AM55" s="26">
        <f t="shared" si="16"/>
        <v>1380.1499630469179</v>
      </c>
      <c r="AN55" s="69"/>
      <c r="AO55" s="70"/>
      <c r="AP55" s="79">
        <f t="shared" si="33"/>
        <v>42564851.163495108</v>
      </c>
      <c r="AQ55" s="79">
        <f t="shared" si="34"/>
        <v>38389.979131572429</v>
      </c>
      <c r="AR55" s="84"/>
      <c r="AS55" s="63">
        <f>MAX($AP55-VLOOKUP($A55,'RE Generation'!$A$4:$M$52,'Mass Equivalents - States, Opt2'!AS$7-2016,0)-VLOOKUP('Mass Equivalents - States, Opt2'!$A55,'EE Avoided Generation'!$N$4:$S$52,'Mass Equivalents - States, Opt2'!AS$7-2018,0)-VLOOKUP($A55,'Under Construction Nuclear'!$B$5:$D$53,3,0),0)+U55+$T55+VLOOKUP('Mass Equivalents - States, Opt2'!$A55,'EE Avoided Generation'!$N$4:$S$52,'Mass Equivalents - States, Opt2'!AS$7-2018,0)</f>
        <v>46334914.386224851</v>
      </c>
      <c r="AT55" s="64">
        <f>MAX($AP55-VLOOKUP($A55,'RE Generation'!$A$4:$M$52,'Mass Equivalents - States, Opt2'!AT$7-2016,0)-VLOOKUP('Mass Equivalents - States, Opt2'!$A55,'EE Avoided Generation'!$N$4:$S$52,'Mass Equivalents - States, Opt2'!AT$7-2018,0)-VLOOKUP($A55,'Under Construction Nuclear'!$B$5:$D$53,3,0),0)+V55+$T55+VLOOKUP('Mass Equivalents - States, Opt2'!$A55,'EE Avoided Generation'!$N$4:$S$52,'Mass Equivalents - States, Opt2'!AT$7-2018,0)</f>
        <v>46334914.386224851</v>
      </c>
      <c r="AU55" s="64">
        <f>MAX($AP55-VLOOKUP($A55,'RE Generation'!$A$4:$M$52,'Mass Equivalents - States, Opt2'!AU$7-2016,0)-VLOOKUP('Mass Equivalents - States, Opt2'!$A55,'EE Avoided Generation'!$N$4:$S$52,'Mass Equivalents - States, Opt2'!AU$7-2018,0)-VLOOKUP($A55,'Under Construction Nuclear'!$B$5:$D$53,3,0),0)+W55+$T55+VLOOKUP('Mass Equivalents - States, Opt2'!$A55,'EE Avoided Generation'!$N$4:$S$52,'Mass Equivalents - States, Opt2'!AU$7-2018,0)</f>
        <v>46334914.386224844</v>
      </c>
      <c r="AV55" s="64">
        <f>MAX($AP55-VLOOKUP($A55,'RE Generation'!$A$4:$M$52,'Mass Equivalents - States, Opt2'!AV$7-2016,0)-VLOOKUP('Mass Equivalents - States, Opt2'!$A55,'EE Avoided Generation'!$N$4:$S$52,'Mass Equivalents - States, Opt2'!AV$7-2018,0)-VLOOKUP($A55,'Under Construction Nuclear'!$B$5:$D$53,3,0),0)+X55+$T55+VLOOKUP('Mass Equivalents - States, Opt2'!$A55,'EE Avoided Generation'!$N$4:$S$52,'Mass Equivalents - States, Opt2'!AV$7-2018,0)</f>
        <v>46334914.386224851</v>
      </c>
      <c r="AW55" s="65">
        <f>MAX($AP55-VLOOKUP($A55,'RE Generation'!$A$4:$M$52,'Mass Equivalents - States, Opt2'!AW$7-2016,0)-VLOOKUP('Mass Equivalents - States, Opt2'!$A55,'EE Avoided Generation'!$N$4:$S$52,'Mass Equivalents - States, Opt2'!AW$7-2018,0)-VLOOKUP($A55,'Under Construction Nuclear'!$B$5:$D$53,3,0),0)+Y55+$T55+VLOOKUP('Mass Equivalents - States, Opt2'!$A55,'EE Avoided Generation'!$N$4:$S$52,'Mass Equivalents - States, Opt2'!AW$7-2018,0)</f>
        <v>46334914.386224851</v>
      </c>
      <c r="AX55" s="29"/>
      <c r="AY55" s="71">
        <f t="shared" si="17"/>
        <v>30586.643614468972</v>
      </c>
      <c r="AZ55" s="72">
        <f t="shared" si="18"/>
        <v>30156.478622300256</v>
      </c>
      <c r="BA55" s="72">
        <f t="shared" si="19"/>
        <v>29751.432659011771</v>
      </c>
      <c r="BB55" s="72">
        <f t="shared" si="20"/>
        <v>29368.993097881495</v>
      </c>
      <c r="BC55" s="72">
        <f t="shared" si="21"/>
        <v>29006.872104004473</v>
      </c>
      <c r="BD55" s="75">
        <f t="shared" si="35"/>
        <v>29774.084019533395</v>
      </c>
      <c r="BE55" s="76">
        <f t="shared" si="22"/>
        <v>29006.872104004473</v>
      </c>
      <c r="BH55" s="63">
        <f>AS55+VLOOKUP($A55,'Incremental Demand for New Gen'!$AG$66:$AL$114,'Mass Equivalents - States, Opt2'!AS$7-2018,0)</f>
        <v>49340732.668679491</v>
      </c>
      <c r="BI55" s="64">
        <f>AT55+VLOOKUP($A55,'Incremental Demand for New Gen'!$AG$66:$AL$114,'Mass Equivalents - States, Opt2'!AT$7-2018,0)</f>
        <v>49724859.084789574</v>
      </c>
      <c r="BJ55" s="64">
        <f>AU55+VLOOKUP($A55,'Incremental Demand for New Gen'!$AG$66:$AL$114,'Mass Equivalents - States, Opt2'!AU$7-2018,0)</f>
        <v>50110882.792336136</v>
      </c>
      <c r="BK55" s="64">
        <f>AV55+VLOOKUP($A55,'Incremental Demand for New Gen'!$AG$66:$AL$114,'Mass Equivalents - States, Opt2'!AV$7-2018,0)</f>
        <v>50498813.162491411</v>
      </c>
      <c r="BL55" s="65">
        <f>AW55+VLOOKUP($A55,'Incremental Demand for New Gen'!$AG$66:$AL$114,'Mass Equivalents - States, Opt2'!AW$7-2018,0)</f>
        <v>50888659.61271403</v>
      </c>
      <c r="BM55" s="29"/>
      <c r="BN55" s="71">
        <f t="shared" si="23"/>
        <v>32570.846969393653</v>
      </c>
      <c r="BO55" s="72">
        <f t="shared" si="24"/>
        <v>32362.780202592792</v>
      </c>
      <c r="BP55" s="72">
        <f t="shared" si="25"/>
        <v>32175.964380826594</v>
      </c>
      <c r="BQ55" s="72">
        <f t="shared" si="26"/>
        <v>32008.245075366667</v>
      </c>
      <c r="BR55" s="72">
        <f t="shared" si="27"/>
        <v>31857.63609329248</v>
      </c>
      <c r="BS55" s="75">
        <f t="shared" si="36"/>
        <v>32195.094544294436</v>
      </c>
      <c r="BT55" s="76">
        <f t="shared" si="28"/>
        <v>31857.63609329248</v>
      </c>
    </row>
    <row r="56" spans="1:72" ht="15.75" thickBot="1" x14ac:dyDescent="0.3">
      <c r="A56" s="16" t="s">
        <v>90</v>
      </c>
      <c r="B56" s="17">
        <v>2330.5399379</v>
      </c>
      <c r="C56" s="17">
        <v>0</v>
      </c>
      <c r="D56" s="17">
        <v>0</v>
      </c>
      <c r="E56" s="17">
        <v>0</v>
      </c>
      <c r="F56" s="17">
        <v>42907427</v>
      </c>
      <c r="G56" s="17">
        <v>0</v>
      </c>
      <c r="H56" s="17">
        <v>0</v>
      </c>
      <c r="I56" s="17">
        <v>0</v>
      </c>
      <c r="J56" s="17">
        <v>0</v>
      </c>
      <c r="K56" s="17">
        <v>220</v>
      </c>
      <c r="L56" s="18">
        <f t="shared" si="10"/>
        <v>2237.3183403839998</v>
      </c>
      <c r="M56" s="19">
        <f t="shared" si="37"/>
        <v>42714179</v>
      </c>
      <c r="N56" s="19">
        <f t="shared" si="38"/>
        <v>0</v>
      </c>
      <c r="O56" s="19">
        <f t="shared" si="11"/>
        <v>193248</v>
      </c>
      <c r="P56" s="19">
        <f>0.55*8784*907*K56+E56</f>
        <v>964017648.00000012</v>
      </c>
      <c r="Q56" s="19">
        <f t="shared" si="13"/>
        <v>1062864</v>
      </c>
      <c r="R56" s="20"/>
      <c r="S56" s="20"/>
      <c r="T56" s="21">
        <v>0</v>
      </c>
      <c r="U56" s="22">
        <v>5535669.1312646288</v>
      </c>
      <c r="V56" s="22">
        <v>5873060.6424570326</v>
      </c>
      <c r="W56" s="22">
        <v>6231015.7077791048</v>
      </c>
      <c r="X56" s="22">
        <v>6610787.6479114676</v>
      </c>
      <c r="Y56" s="22">
        <v>7013706.1717271032</v>
      </c>
      <c r="Z56" s="23">
        <v>1.3289809625715548E-2</v>
      </c>
      <c r="AA56" s="23">
        <v>1.9600371446055545E-2</v>
      </c>
      <c r="AB56" s="23">
        <v>2.6893994310407583E-2</v>
      </c>
      <c r="AC56" s="23">
        <v>3.4738477051399118E-2</v>
      </c>
      <c r="AD56" s="23">
        <v>4.1942057688841683E-2</v>
      </c>
      <c r="AE56" s="23">
        <v>2.5615024889708833</v>
      </c>
      <c r="AF56" s="24">
        <v>18245902.685399998</v>
      </c>
      <c r="AG56" s="25">
        <f>(($L56*$M56)+($N56*$D56)+(907*$O56)+$P56)/($M56+$N56+$O56+$Q56+$T56+U56+(MIN(Z56*$AF56,$AF56*$AE56*Z56)))</f>
        <v>1943.8700089972135</v>
      </c>
      <c r="AH56" s="25">
        <f t="shared" ref="AH56:AK56" si="39">(($L56*$M56)+($N56*$D56)+(907*$O56)+$P56)/($M56+$N56+$O56+$Q56+$T56+V56+(MIN(AA56*$AF56,$AF56*$AE56*AA56)))</f>
        <v>1926.3471209367506</v>
      </c>
      <c r="AI56" s="25">
        <f t="shared" si="39"/>
        <v>1907.687345795877</v>
      </c>
      <c r="AJ56" s="25">
        <f t="shared" si="39"/>
        <v>1888.2099570094749</v>
      </c>
      <c r="AK56" s="25">
        <f t="shared" si="39"/>
        <v>1868.7126142386046</v>
      </c>
      <c r="AL56" s="26">
        <f t="shared" si="3"/>
        <v>1906.9654093955844</v>
      </c>
      <c r="AM56" s="26">
        <f t="shared" si="16"/>
        <v>1868.7126142386046</v>
      </c>
      <c r="AN56" s="69"/>
      <c r="AO56" s="70"/>
      <c r="AP56" s="80">
        <f t="shared" si="33"/>
        <v>43970291</v>
      </c>
      <c r="AQ56" s="80">
        <f t="shared" si="34"/>
        <v>45358.144376821758</v>
      </c>
      <c r="AR56" s="84"/>
      <c r="AS56" s="66">
        <f>MAX($AP56-VLOOKUP($A56,'RE Generation'!$A$4:$M$52,'Mass Equivalents - States, Opt2'!AS$7-2016,0)-VLOOKUP('Mass Equivalents - States, Opt2'!$A56,'EE Avoided Generation'!$N$4:$S$52,'Mass Equivalents - States, Opt2'!AS$7-2018,0)-VLOOKUP($A56,'Under Construction Nuclear'!$B$5:$D$53,3,0),0)+U56+$T56+VLOOKUP('Mass Equivalents - States, Opt2'!$A56,'EE Avoided Generation'!$N$4:$S$52,'Mass Equivalents - States, Opt2'!AS$7-2018,0)</f>
        <v>48339398</v>
      </c>
      <c r="AT56" s="67">
        <f>MAX($AP56-VLOOKUP($A56,'RE Generation'!$A$4:$M$52,'Mass Equivalents - States, Opt2'!AT$7-2016,0)-VLOOKUP('Mass Equivalents - States, Opt2'!$A56,'EE Avoided Generation'!$N$4:$S$52,'Mass Equivalents - States, Opt2'!AT$7-2018,0)-VLOOKUP($A56,'Under Construction Nuclear'!$B$5:$D$53,3,0),0)+V56+$T56+VLOOKUP('Mass Equivalents - States, Opt2'!$A56,'EE Avoided Generation'!$N$4:$S$52,'Mass Equivalents - States, Opt2'!AT$7-2018,0)</f>
        <v>48339398</v>
      </c>
      <c r="AU56" s="67">
        <f>MAX($AP56-VLOOKUP($A56,'RE Generation'!$A$4:$M$52,'Mass Equivalents - States, Opt2'!AU$7-2016,0)-VLOOKUP('Mass Equivalents - States, Opt2'!$A56,'EE Avoided Generation'!$N$4:$S$52,'Mass Equivalents - States, Opt2'!AU$7-2018,0)-VLOOKUP($A56,'Under Construction Nuclear'!$B$5:$D$53,3,0),0)+W56+$T56+VLOOKUP('Mass Equivalents - States, Opt2'!$A56,'EE Avoided Generation'!$N$4:$S$52,'Mass Equivalents - States, Opt2'!AU$7-2018,0)</f>
        <v>48339398</v>
      </c>
      <c r="AV56" s="67">
        <f>MAX($AP56-VLOOKUP($A56,'RE Generation'!$A$4:$M$52,'Mass Equivalents - States, Opt2'!AV$7-2016,0)-VLOOKUP('Mass Equivalents - States, Opt2'!$A56,'EE Avoided Generation'!$N$4:$S$52,'Mass Equivalents - States, Opt2'!AV$7-2018,0)-VLOOKUP($A56,'Under Construction Nuclear'!$B$5:$D$53,3,0),0)+X56+$T56+VLOOKUP('Mass Equivalents - States, Opt2'!$A56,'EE Avoided Generation'!$N$4:$S$52,'Mass Equivalents - States, Opt2'!AV$7-2018,0)</f>
        <v>48339398</v>
      </c>
      <c r="AW56" s="68">
        <f>MAX($AP56-VLOOKUP($A56,'RE Generation'!$A$4:$M$52,'Mass Equivalents - States, Opt2'!AW$7-2016,0)-VLOOKUP('Mass Equivalents - States, Opt2'!$A56,'EE Avoided Generation'!$N$4:$S$52,'Mass Equivalents - States, Opt2'!AW$7-2018,0)-VLOOKUP($A56,'Under Construction Nuclear'!$B$5:$D$53,3,0),0)+Y56+$T56+VLOOKUP('Mass Equivalents - States, Opt2'!$A56,'EE Avoided Generation'!$N$4:$S$52,'Mass Equivalents - States, Opt2'!AW$7-2018,0)</f>
        <v>48339398</v>
      </c>
      <c r="AX56" s="29"/>
      <c r="AY56" s="73">
        <f t="shared" si="17"/>
        <v>42622.087264553484</v>
      </c>
      <c r="AZ56" s="74">
        <f t="shared" si="18"/>
        <v>42237.873268461561</v>
      </c>
      <c r="BA56" s="74">
        <f t="shared" si="19"/>
        <v>41828.731422190911</v>
      </c>
      <c r="BB56" s="74">
        <f t="shared" si="20"/>
        <v>41401.662245395535</v>
      </c>
      <c r="BC56" s="74">
        <f t="shared" si="21"/>
        <v>40974.1555493919</v>
      </c>
      <c r="BD56" s="77">
        <f t="shared" si="35"/>
        <v>41812.901949998675</v>
      </c>
      <c r="BE56" s="78">
        <f t="shared" si="22"/>
        <v>40974.1555493919</v>
      </c>
      <c r="BH56" s="66">
        <f>AS56+VLOOKUP($A56,'Incremental Demand for New Gen'!$AG$66:$AL$114,'Mass Equivalents - States, Opt2'!AS$7-2018,0)</f>
        <v>49037296.535965987</v>
      </c>
      <c r="BI56" s="67">
        <f>AT56+VLOOKUP($A56,'Incremental Demand for New Gen'!$AG$66:$AL$114,'Mass Equivalents - States, Opt2'!AT$7-2018,0)</f>
        <v>49268600.791613184</v>
      </c>
      <c r="BJ56" s="67">
        <f>AU56+VLOOKUP($A56,'Incremental Demand for New Gen'!$AG$66:$AL$114,'Mass Equivalents - States, Opt2'!AU$7-2018,0)</f>
        <v>49502576.23840823</v>
      </c>
      <c r="BK56" s="67">
        <f>AV56+VLOOKUP($A56,'Incremental Demand for New Gen'!$AG$66:$AL$114,'Mass Equivalents - States, Opt2'!AV$7-2018,0)</f>
        <v>49739253.724301271</v>
      </c>
      <c r="BL56" s="68">
        <f>AW56+VLOOKUP($A56,'Incremental Demand for New Gen'!$AG$66:$AL$114,'Mass Equivalents - States, Opt2'!AW$7-2018,0)</f>
        <v>49978664.453486539</v>
      </c>
      <c r="BM56" s="29"/>
      <c r="BN56" s="73">
        <f t="shared" si="23"/>
        <v>43237.442306867961</v>
      </c>
      <c r="BO56" s="74">
        <f t="shared" si="24"/>
        <v>43049.789663300784</v>
      </c>
      <c r="BP56" s="74">
        <f t="shared" si="25"/>
        <v>42835.245200672704</v>
      </c>
      <c r="BQ56" s="74">
        <f t="shared" si="26"/>
        <v>42600.608783575532</v>
      </c>
      <c r="BR56" s="74">
        <f t="shared" si="27"/>
        <v>42363.654828056016</v>
      </c>
      <c r="BS56" s="77">
        <f t="shared" si="36"/>
        <v>42817.348156494598</v>
      </c>
      <c r="BT56" s="78">
        <f t="shared" si="28"/>
        <v>42363.654828056016</v>
      </c>
    </row>
    <row r="57" spans="1:72" x14ac:dyDescent="0.25">
      <c r="A57" s="32"/>
      <c r="AO57" s="28"/>
      <c r="AP57" s="28"/>
      <c r="AQ57" s="28"/>
      <c r="AR57" s="28"/>
      <c r="AS57" s="28"/>
      <c r="AT57" s="28"/>
      <c r="AU57" s="28"/>
      <c r="AV57" s="28"/>
      <c r="AW57" s="28"/>
      <c r="BD57" s="29"/>
      <c r="BE57" s="29"/>
      <c r="BS57" s="29"/>
      <c r="BT57" s="29"/>
    </row>
    <row r="58" spans="1:72" x14ac:dyDescent="0.25">
      <c r="AO58" s="28"/>
      <c r="AP58" s="28"/>
      <c r="AQ58" s="28"/>
      <c r="AR58" s="28"/>
      <c r="AS58" s="28"/>
      <c r="AT58" s="28"/>
      <c r="AU58" s="28"/>
      <c r="AV58" s="28"/>
      <c r="AW58" s="28"/>
    </row>
    <row r="59" spans="1:72" x14ac:dyDescent="0.25">
      <c r="AO59" s="31"/>
      <c r="AP59" s="31"/>
      <c r="AQ59" s="31"/>
      <c r="AR59" s="31"/>
      <c r="AS59" s="31"/>
      <c r="AT59" s="31"/>
      <c r="AU59" s="31"/>
      <c r="AV59" s="31"/>
      <c r="AW59" s="31"/>
    </row>
    <row r="60" spans="1:72" x14ac:dyDescent="0.25">
      <c r="E60" s="31"/>
      <c r="F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1:72" x14ac:dyDescent="0.25">
      <c r="AO61" s="31"/>
      <c r="AP61" s="31"/>
      <c r="AQ61" s="31"/>
      <c r="AR61" s="31"/>
      <c r="AS61" s="31"/>
      <c r="AT61" s="31"/>
      <c r="AU61" s="31"/>
      <c r="AV61" s="31"/>
      <c r="AW61" s="31"/>
    </row>
  </sheetData>
  <mergeCells count="12">
    <mergeCell ref="BH6:BL6"/>
    <mergeCell ref="BN6:BT6"/>
    <mergeCell ref="A5:AM5"/>
    <mergeCell ref="B6:K6"/>
    <mergeCell ref="M6:S6"/>
    <mergeCell ref="U6:Y6"/>
    <mergeCell ref="Z6:AF6"/>
    <mergeCell ref="AG6:AM6"/>
    <mergeCell ref="AP6:AP7"/>
    <mergeCell ref="AQ6:AQ7"/>
    <mergeCell ref="AS6:AW6"/>
    <mergeCell ref="AY6:BE6"/>
  </mergeCells>
  <printOptions gridLines="1"/>
  <pageMargins left="0.7" right="0.7" top="0.75" bottom="0.75" header="0.3" footer="0.3"/>
  <pageSetup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43"/>
  <sheetViews>
    <sheetView workbookViewId="0">
      <pane xSplit="1" topLeftCell="B1" activePane="topRight" state="frozen"/>
      <selection activeCell="A4" sqref="A4"/>
      <selection pane="topRight"/>
    </sheetView>
  </sheetViews>
  <sheetFormatPr defaultRowHeight="15" x14ac:dyDescent="0.25"/>
  <cols>
    <col min="1" max="1" width="26.85546875" customWidth="1"/>
    <col min="2" max="54" width="11.140625" customWidth="1"/>
    <col min="56" max="56" width="15.5703125" customWidth="1"/>
    <col min="57" max="58" width="20.28515625" customWidth="1"/>
    <col min="59" max="59" width="15.42578125" customWidth="1"/>
    <col min="60" max="69" width="13.5703125" customWidth="1"/>
    <col min="70" max="70" width="10.5703125" bestFit="1" customWidth="1"/>
    <col min="71" max="72" width="14.42578125" customWidth="1"/>
    <col min="73" max="80" width="12.7109375" customWidth="1"/>
    <col min="81" max="82" width="15" customWidth="1"/>
    <col min="83" max="84" width="10.5703125" bestFit="1" customWidth="1"/>
    <col min="85" max="85" width="11.5703125" customWidth="1"/>
    <col min="86" max="87" width="13.7109375" customWidth="1"/>
    <col min="88" max="94" width="11.5703125" customWidth="1"/>
    <col min="96" max="105" width="11.7109375" customWidth="1"/>
    <col min="106" max="107" width="14.5703125" customWidth="1"/>
  </cols>
  <sheetData>
    <row r="1" spans="1:107" ht="23.25" x14ac:dyDescent="0.35">
      <c r="A1" s="89" t="s">
        <v>209</v>
      </c>
    </row>
    <row r="2" spans="1:107" x14ac:dyDescent="0.25">
      <c r="A2" s="90" t="s">
        <v>208</v>
      </c>
    </row>
    <row r="3" spans="1:107" x14ac:dyDescent="0.25">
      <c r="A3" s="90" t="s">
        <v>216</v>
      </c>
    </row>
    <row r="4" spans="1:107" x14ac:dyDescent="0.25">
      <c r="A4" s="90" t="s">
        <v>213</v>
      </c>
    </row>
    <row r="6" spans="1:107" ht="27.75" customHeight="1" thickBot="1" x14ac:dyDescent="0.35">
      <c r="A6" s="95" t="s">
        <v>180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</row>
    <row r="7" spans="1:107" ht="22.5" thickTop="1" thickBot="1" x14ac:dyDescent="0.4">
      <c r="A7" s="96"/>
      <c r="B7" s="217"/>
      <c r="C7" s="218"/>
      <c r="D7" s="218"/>
      <c r="E7" s="218"/>
      <c r="F7" s="218"/>
      <c r="G7" s="218"/>
      <c r="H7" s="218"/>
      <c r="I7" s="218"/>
      <c r="J7" s="218"/>
      <c r="K7" s="219"/>
      <c r="L7" s="97" t="s">
        <v>0</v>
      </c>
      <c r="M7" s="220" t="s">
        <v>1</v>
      </c>
      <c r="N7" s="221"/>
      <c r="O7" s="221"/>
      <c r="P7" s="221"/>
      <c r="Q7" s="221"/>
      <c r="R7" s="221"/>
      <c r="S7" s="222"/>
      <c r="T7" s="98" t="s">
        <v>2</v>
      </c>
      <c r="U7" s="223" t="s">
        <v>3</v>
      </c>
      <c r="V7" s="224"/>
      <c r="W7" s="224"/>
      <c r="X7" s="224"/>
      <c r="Y7" s="224"/>
      <c r="Z7" s="224"/>
      <c r="AA7" s="224"/>
      <c r="AB7" s="224"/>
      <c r="AC7" s="224"/>
      <c r="AD7" s="231"/>
      <c r="AE7" s="225" t="s">
        <v>181</v>
      </c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7"/>
      <c r="AQ7" s="228" t="s">
        <v>4</v>
      </c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30"/>
      <c r="BD7" s="276" t="s">
        <v>201</v>
      </c>
      <c r="BE7" s="276" t="s">
        <v>152</v>
      </c>
      <c r="BF7" s="276" t="s">
        <v>198</v>
      </c>
      <c r="BG7" s="83"/>
      <c r="BH7" s="287" t="s">
        <v>150</v>
      </c>
      <c r="BI7" s="288"/>
      <c r="BJ7" s="288"/>
      <c r="BK7" s="288"/>
      <c r="BL7" s="288"/>
      <c r="BM7" s="288"/>
      <c r="BN7" s="288"/>
      <c r="BO7" s="288"/>
      <c r="BP7" s="288"/>
      <c r="BQ7" s="289"/>
      <c r="BR7" s="4"/>
      <c r="BS7" s="287" t="s">
        <v>207</v>
      </c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9"/>
      <c r="CE7" s="4"/>
      <c r="CF7" s="4"/>
      <c r="CG7" s="295" t="s">
        <v>151</v>
      </c>
      <c r="CH7" s="296"/>
      <c r="CI7" s="296"/>
      <c r="CJ7" s="296"/>
      <c r="CK7" s="296"/>
      <c r="CL7" s="296"/>
      <c r="CM7" s="296"/>
      <c r="CN7" s="296"/>
      <c r="CO7" s="296"/>
      <c r="CP7" s="297"/>
      <c r="CQ7" s="4"/>
      <c r="CR7" s="295" t="s">
        <v>206</v>
      </c>
      <c r="CS7" s="296"/>
      <c r="CT7" s="296"/>
      <c r="CU7" s="296"/>
      <c r="CV7" s="296"/>
      <c r="CW7" s="296"/>
      <c r="CX7" s="296"/>
      <c r="CY7" s="296"/>
      <c r="CZ7" s="296"/>
      <c r="DA7" s="296"/>
      <c r="DB7" s="296"/>
      <c r="DC7" s="297"/>
    </row>
    <row r="8" spans="1:107" ht="103.5" thickBot="1" x14ac:dyDescent="0.3">
      <c r="A8" s="168" t="s">
        <v>199</v>
      </c>
      <c r="B8" s="99" t="s">
        <v>6</v>
      </c>
      <c r="C8" s="99" t="s">
        <v>7</v>
      </c>
      <c r="D8" s="99" t="s">
        <v>95</v>
      </c>
      <c r="E8" s="99" t="s">
        <v>8</v>
      </c>
      <c r="F8" s="99" t="s">
        <v>9</v>
      </c>
      <c r="G8" s="99" t="s">
        <v>10</v>
      </c>
      <c r="H8" s="99" t="s">
        <v>11</v>
      </c>
      <c r="I8" s="99" t="s">
        <v>12</v>
      </c>
      <c r="J8" s="99" t="s">
        <v>13</v>
      </c>
      <c r="K8" s="99" t="s">
        <v>14</v>
      </c>
      <c r="L8" s="100" t="s">
        <v>15</v>
      </c>
      <c r="M8" s="101" t="s">
        <v>16</v>
      </c>
      <c r="N8" s="101" t="s">
        <v>182</v>
      </c>
      <c r="O8" s="101" t="s">
        <v>17</v>
      </c>
      <c r="P8" s="101" t="s">
        <v>8</v>
      </c>
      <c r="Q8" s="101" t="s">
        <v>12</v>
      </c>
      <c r="R8" s="101" t="s">
        <v>18</v>
      </c>
      <c r="S8" s="101" t="s">
        <v>183</v>
      </c>
      <c r="T8" s="102" t="s">
        <v>20</v>
      </c>
      <c r="U8" s="103" t="s">
        <v>21</v>
      </c>
      <c r="V8" s="103" t="s">
        <v>22</v>
      </c>
      <c r="W8" s="103" t="s">
        <v>23</v>
      </c>
      <c r="X8" s="103" t="s">
        <v>24</v>
      </c>
      <c r="Y8" s="103" t="s">
        <v>25</v>
      </c>
      <c r="Z8" s="103" t="s">
        <v>26</v>
      </c>
      <c r="AA8" s="103" t="s">
        <v>27</v>
      </c>
      <c r="AB8" s="103" t="s">
        <v>28</v>
      </c>
      <c r="AC8" s="103" t="s">
        <v>29</v>
      </c>
      <c r="AD8" s="103" t="s">
        <v>30</v>
      </c>
      <c r="AE8" s="104" t="s">
        <v>31</v>
      </c>
      <c r="AF8" s="104" t="s">
        <v>32</v>
      </c>
      <c r="AG8" s="104" t="s">
        <v>33</v>
      </c>
      <c r="AH8" s="104" t="s">
        <v>34</v>
      </c>
      <c r="AI8" s="104" t="s">
        <v>35</v>
      </c>
      <c r="AJ8" s="104" t="s">
        <v>36</v>
      </c>
      <c r="AK8" s="104" t="s">
        <v>37</v>
      </c>
      <c r="AL8" s="104" t="s">
        <v>38</v>
      </c>
      <c r="AM8" s="104" t="s">
        <v>39</v>
      </c>
      <c r="AN8" s="104" t="s">
        <v>40</v>
      </c>
      <c r="AO8" s="104" t="s">
        <v>41</v>
      </c>
      <c r="AP8" s="105" t="s">
        <v>184</v>
      </c>
      <c r="AQ8" s="106">
        <v>2020</v>
      </c>
      <c r="AR8" s="106">
        <v>2021</v>
      </c>
      <c r="AS8" s="106">
        <v>2022</v>
      </c>
      <c r="AT8" s="106">
        <v>2023</v>
      </c>
      <c r="AU8" s="106">
        <v>2024</v>
      </c>
      <c r="AV8" s="106">
        <v>2025</v>
      </c>
      <c r="AW8" s="106">
        <v>2026</v>
      </c>
      <c r="AX8" s="106">
        <v>2027</v>
      </c>
      <c r="AY8" s="106">
        <v>2028</v>
      </c>
      <c r="AZ8" s="106">
        <v>2029</v>
      </c>
      <c r="BA8" s="107" t="s">
        <v>93</v>
      </c>
      <c r="BB8" s="107" t="s">
        <v>185</v>
      </c>
      <c r="BD8" s="277"/>
      <c r="BE8" s="277"/>
      <c r="BF8" s="277"/>
      <c r="BG8" s="83"/>
      <c r="BH8" s="309">
        <v>2020</v>
      </c>
      <c r="BI8" s="310">
        <v>2021</v>
      </c>
      <c r="BJ8" s="310">
        <v>2022</v>
      </c>
      <c r="BK8" s="310">
        <v>2023</v>
      </c>
      <c r="BL8" s="310">
        <v>2024</v>
      </c>
      <c r="BM8" s="310">
        <v>2025</v>
      </c>
      <c r="BN8" s="310">
        <v>2026</v>
      </c>
      <c r="BO8" s="310">
        <v>2027</v>
      </c>
      <c r="BP8" s="310">
        <v>2028</v>
      </c>
      <c r="BQ8" s="311">
        <v>2029</v>
      </c>
      <c r="BR8" s="15"/>
      <c r="BS8" s="309">
        <v>2020</v>
      </c>
      <c r="BT8" s="310">
        <v>2021</v>
      </c>
      <c r="BU8" s="310">
        <v>2022</v>
      </c>
      <c r="BV8" s="310">
        <v>2023</v>
      </c>
      <c r="BW8" s="310">
        <v>2024</v>
      </c>
      <c r="BX8" s="310">
        <v>2025</v>
      </c>
      <c r="BY8" s="310">
        <v>2026</v>
      </c>
      <c r="BZ8" s="310">
        <v>2027</v>
      </c>
      <c r="CA8" s="310">
        <v>2028</v>
      </c>
      <c r="CB8" s="310">
        <v>2029</v>
      </c>
      <c r="CC8" s="315" t="s">
        <v>148</v>
      </c>
      <c r="CD8" s="316" t="s">
        <v>149</v>
      </c>
      <c r="CE8" s="15"/>
      <c r="CF8" s="15"/>
      <c r="CG8" s="321">
        <v>2020</v>
      </c>
      <c r="CH8" s="322">
        <v>2021</v>
      </c>
      <c r="CI8" s="322">
        <v>2022</v>
      </c>
      <c r="CJ8" s="322">
        <v>2023</v>
      </c>
      <c r="CK8" s="322">
        <v>2024</v>
      </c>
      <c r="CL8" s="322">
        <v>2025</v>
      </c>
      <c r="CM8" s="322">
        <v>2026</v>
      </c>
      <c r="CN8" s="322">
        <v>2027</v>
      </c>
      <c r="CO8" s="322">
        <v>2028</v>
      </c>
      <c r="CP8" s="323">
        <v>2029</v>
      </c>
      <c r="CQ8" s="15"/>
      <c r="CR8" s="321">
        <v>2020</v>
      </c>
      <c r="CS8" s="322">
        <v>2021</v>
      </c>
      <c r="CT8" s="322">
        <v>2022</v>
      </c>
      <c r="CU8" s="322">
        <v>2023</v>
      </c>
      <c r="CV8" s="322">
        <v>2024</v>
      </c>
      <c r="CW8" s="322">
        <v>2025</v>
      </c>
      <c r="CX8" s="322">
        <v>2026</v>
      </c>
      <c r="CY8" s="322">
        <v>2027</v>
      </c>
      <c r="CZ8" s="322">
        <v>2028</v>
      </c>
      <c r="DA8" s="322">
        <v>2029</v>
      </c>
      <c r="DB8" s="327" t="s">
        <v>148</v>
      </c>
      <c r="DC8" s="328" t="s">
        <v>149</v>
      </c>
    </row>
    <row r="9" spans="1:107" x14ac:dyDescent="0.25">
      <c r="A9" s="108" t="s">
        <v>186</v>
      </c>
      <c r="B9" s="109">
        <v>2215.5639697090478</v>
      </c>
      <c r="C9" s="109">
        <v>927.99376193073351</v>
      </c>
      <c r="D9" s="109">
        <v>1792.9453454305308</v>
      </c>
      <c r="E9" s="109">
        <v>0</v>
      </c>
      <c r="F9" s="109">
        <v>3417319.9074880593</v>
      </c>
      <c r="G9" s="109">
        <v>3802792.7985828486</v>
      </c>
      <c r="H9" s="109">
        <v>12763391.454358565</v>
      </c>
      <c r="I9" s="109">
        <v>0</v>
      </c>
      <c r="J9" s="109">
        <v>1080</v>
      </c>
      <c r="K9" s="109">
        <v>0</v>
      </c>
      <c r="L9" s="110">
        <v>2082.630131526505</v>
      </c>
      <c r="M9" s="111">
        <v>2817961.1878736829</v>
      </c>
      <c r="N9" s="111">
        <v>10524838.97255579</v>
      </c>
      <c r="O9" s="111">
        <v>6640704</v>
      </c>
      <c r="P9" s="111">
        <v>0</v>
      </c>
      <c r="Q9" s="111">
        <v>0</v>
      </c>
      <c r="R9" s="112">
        <v>0.40085433095768069</v>
      </c>
      <c r="S9" s="112">
        <v>0.7</v>
      </c>
      <c r="T9" s="113">
        <v>0</v>
      </c>
      <c r="U9" s="114">
        <v>0</v>
      </c>
      <c r="V9" s="114">
        <v>0</v>
      </c>
      <c r="W9" s="114">
        <v>0</v>
      </c>
      <c r="X9" s="114">
        <v>0</v>
      </c>
      <c r="Y9" s="114">
        <v>0</v>
      </c>
      <c r="Z9" s="114">
        <v>0</v>
      </c>
      <c r="AA9" s="114">
        <v>0</v>
      </c>
      <c r="AB9" s="114">
        <v>0</v>
      </c>
      <c r="AC9" s="114">
        <v>0</v>
      </c>
      <c r="AD9" s="114">
        <v>0</v>
      </c>
      <c r="AE9" s="115">
        <v>1.1536048E-2</v>
      </c>
      <c r="AF9" s="115">
        <v>1.8814460690792244E-2</v>
      </c>
      <c r="AG9" s="115">
        <v>2.758082181046604E-2</v>
      </c>
      <c r="AH9" s="115">
        <v>3.7687944233580475E-2</v>
      </c>
      <c r="AI9" s="115">
        <v>4.8984245818188561E-2</v>
      </c>
      <c r="AJ9" s="115">
        <v>6.0364342893702905E-2</v>
      </c>
      <c r="AK9" s="115">
        <v>7.0822936601888375E-2</v>
      </c>
      <c r="AL9" s="115">
        <v>8.0382833780419771E-2</v>
      </c>
      <c r="AM9" s="115">
        <v>8.9065771661748366E-2</v>
      </c>
      <c r="AN9" s="115">
        <v>9.6892451922578421E-2</v>
      </c>
      <c r="AO9" s="116">
        <v>1</v>
      </c>
      <c r="AP9" s="117">
        <v>19513419.783</v>
      </c>
      <c r="AQ9" s="118">
        <f t="shared" ref="AQ9:AZ10" si="0">(($L9*$M9)+($N9*$D9)+($C9*$O9)+$P9)/($M9+$N9+$O9+$Q9+$T9+U9+(MIN(AE9*$AP9,$AP9*$AO9*AE9)))</f>
        <v>1529.1383670768907</v>
      </c>
      <c r="AR9" s="118">
        <f t="shared" si="0"/>
        <v>1518.4665393274156</v>
      </c>
      <c r="AS9" s="118">
        <f t="shared" si="0"/>
        <v>1505.8091356965597</v>
      </c>
      <c r="AT9" s="118">
        <f t="shared" si="0"/>
        <v>1491.4752602512126</v>
      </c>
      <c r="AU9" s="118">
        <f t="shared" si="0"/>
        <v>1475.7744366526467</v>
      </c>
      <c r="AV9" s="118">
        <f t="shared" si="0"/>
        <v>1460.2878911621647</v>
      </c>
      <c r="AW9" s="118">
        <f t="shared" si="0"/>
        <v>1446.3392447599206</v>
      </c>
      <c r="AX9" s="118">
        <f t="shared" si="0"/>
        <v>1433.8202853685357</v>
      </c>
      <c r="AY9" s="118">
        <f t="shared" si="0"/>
        <v>1422.6360744121826</v>
      </c>
      <c r="AZ9" s="118">
        <f t="shared" si="0"/>
        <v>1412.7032564983824</v>
      </c>
      <c r="BA9" s="119">
        <f>AVERAGE(AQ9:AZ9)</f>
        <v>1469.645049120591</v>
      </c>
      <c r="BB9" s="119">
        <f>AZ9</f>
        <v>1412.7032564983824</v>
      </c>
      <c r="BD9" s="49" t="s">
        <v>186</v>
      </c>
      <c r="BE9" s="149">
        <f>M9+N9+O9+Q9</f>
        <v>19983504.160429474</v>
      </c>
      <c r="BF9" s="129">
        <f>((B9*F9)+(C9*G9)+(D9*H9)+E9)/2204.62*10^-3</f>
        <v>15415.04756148452</v>
      </c>
      <c r="BH9" s="150">
        <f>MAX($BE9-U9-VLOOKUP($BD9,'EE Avoided Generation'!$A$53:$K$57,'Mass Equivalents - AoIC, PR, GU'!BH$8-2018,0),0)+'Mass Equivalents - AoIC, PR, GU'!U9+'Mass Equivalents - AoIC, PR, GU'!$T9+VLOOKUP($BD9,'EE Avoided Generation'!$A$53:$K$57,'Mass Equivalents - AoIC, PR, GU'!BH$8-2018,0)</f>
        <v>19983504.160429474</v>
      </c>
      <c r="BI9" s="164">
        <f>MAX($BE9-V9-VLOOKUP($BD9,'EE Avoided Generation'!$A$53:$K$57,'Mass Equivalents - AoIC, PR, GU'!BI$8-2018,0),0)+'Mass Equivalents - AoIC, PR, GU'!V9+'Mass Equivalents - AoIC, PR, GU'!$T9+VLOOKUP($BD9,'EE Avoided Generation'!$A$53:$K$57,'Mass Equivalents - AoIC, PR, GU'!BI$8-2018,0)</f>
        <v>19983504.160429474</v>
      </c>
      <c r="BJ9" s="164">
        <f>MAX($BE9-W9-VLOOKUP($BD9,'EE Avoided Generation'!$A$53:$K$57,'Mass Equivalents - AoIC, PR, GU'!BJ$8-2018,0),0)+'Mass Equivalents - AoIC, PR, GU'!W9+'Mass Equivalents - AoIC, PR, GU'!$T9+VLOOKUP($BD9,'EE Avoided Generation'!$A$53:$K$57,'Mass Equivalents - AoIC, PR, GU'!BJ$8-2018,0)</f>
        <v>19983504.160429474</v>
      </c>
      <c r="BK9" s="164">
        <f>MAX($BE9-X9-VLOOKUP($BD9,'EE Avoided Generation'!$A$53:$K$57,'Mass Equivalents - AoIC, PR, GU'!BK$8-2018,0),0)+'Mass Equivalents - AoIC, PR, GU'!X9+'Mass Equivalents - AoIC, PR, GU'!$T9+VLOOKUP($BD9,'EE Avoided Generation'!$A$53:$K$57,'Mass Equivalents - AoIC, PR, GU'!BK$8-2018,0)</f>
        <v>19983504.160429474</v>
      </c>
      <c r="BL9" s="164">
        <f>MAX($BE9-Y9-VLOOKUP($BD9,'EE Avoided Generation'!$A$53:$K$57,'Mass Equivalents - AoIC, PR, GU'!BL$8-2018,0),0)+'Mass Equivalents - AoIC, PR, GU'!Y9+'Mass Equivalents - AoIC, PR, GU'!$T9+VLOOKUP($BD9,'EE Avoided Generation'!$A$53:$K$57,'Mass Equivalents - AoIC, PR, GU'!BL$8-2018,0)</f>
        <v>19983504.160429474</v>
      </c>
      <c r="BM9" s="164">
        <f>MAX($BE9-Z9-VLOOKUP($BD9,'EE Avoided Generation'!$A$53:$K$57,'Mass Equivalents - AoIC, PR, GU'!BM$8-2018,0),0)+'Mass Equivalents - AoIC, PR, GU'!Z9+'Mass Equivalents - AoIC, PR, GU'!$T9+VLOOKUP($BD9,'EE Avoided Generation'!$A$53:$K$57,'Mass Equivalents - AoIC, PR, GU'!BM$8-2018,0)</f>
        <v>19983504.16042947</v>
      </c>
      <c r="BN9" s="164">
        <f>MAX($BE9-AA9-VLOOKUP($BD9,'EE Avoided Generation'!$A$53:$K$57,'Mass Equivalents - AoIC, PR, GU'!BN$8-2018,0),0)+'Mass Equivalents - AoIC, PR, GU'!AA9+'Mass Equivalents - AoIC, PR, GU'!$T9+VLOOKUP($BD9,'EE Avoided Generation'!$A$53:$K$57,'Mass Equivalents - AoIC, PR, GU'!BN$8-2018,0)</f>
        <v>19983504.160429474</v>
      </c>
      <c r="BO9" s="164">
        <f>MAX($BE9-AB9-VLOOKUP($BD9,'EE Avoided Generation'!$A$53:$K$57,'Mass Equivalents - AoIC, PR, GU'!BO$8-2018,0),0)+'Mass Equivalents - AoIC, PR, GU'!AB9+'Mass Equivalents - AoIC, PR, GU'!$T9+VLOOKUP($BD9,'EE Avoided Generation'!$A$53:$K$57,'Mass Equivalents - AoIC, PR, GU'!BO$8-2018,0)</f>
        <v>19983504.160429474</v>
      </c>
      <c r="BP9" s="164">
        <f>MAX($BE9-AC9-VLOOKUP($BD9,'EE Avoided Generation'!$A$53:$K$57,'Mass Equivalents - AoIC, PR, GU'!BP$8-2018,0),0)+'Mass Equivalents - AoIC, PR, GU'!AC9+'Mass Equivalents - AoIC, PR, GU'!$T9+VLOOKUP($BD9,'EE Avoided Generation'!$A$53:$K$57,'Mass Equivalents - AoIC, PR, GU'!BP$8-2018,0)</f>
        <v>19983504.160429474</v>
      </c>
      <c r="BQ9" s="165">
        <f>MAX($BE9-AD9-VLOOKUP($BD9,'EE Avoided Generation'!$A$53:$K$57,'Mass Equivalents - AoIC, PR, GU'!BQ$8-2018,0),0)+'Mass Equivalents - AoIC, PR, GU'!AD9+'Mass Equivalents - AoIC, PR, GU'!$T9+VLOOKUP($BD9,'EE Avoided Generation'!$A$53:$K$57,'Mass Equivalents - AoIC, PR, GU'!BQ$8-2018,0)</f>
        <v>19983504.160429474</v>
      </c>
      <c r="BS9" s="45">
        <f>BH9*AQ9/2204.62*10^-3</f>
        <v>13860.684798447524</v>
      </c>
      <c r="BT9" s="50">
        <f t="shared" ref="BT9:CB9" si="1">BI9*AR9/2204.62*10^-3</f>
        <v>13763.951341329735</v>
      </c>
      <c r="BU9" s="50">
        <f t="shared" si="1"/>
        <v>13649.219878257891</v>
      </c>
      <c r="BV9" s="50">
        <f t="shared" si="1"/>
        <v>13519.292244653381</v>
      </c>
      <c r="BW9" s="50">
        <f t="shared" si="1"/>
        <v>13376.97407929876</v>
      </c>
      <c r="BX9" s="50">
        <f t="shared" si="1"/>
        <v>13236.598211239985</v>
      </c>
      <c r="BY9" s="50">
        <f t="shared" si="1"/>
        <v>13110.162438448486</v>
      </c>
      <c r="BZ9" s="50">
        <f t="shared" si="1"/>
        <v>12996.685885989564</v>
      </c>
      <c r="CA9" s="50">
        <f t="shared" si="1"/>
        <v>12895.307994934687</v>
      </c>
      <c r="CB9" s="50">
        <f t="shared" si="1"/>
        <v>12805.273200682064</v>
      </c>
      <c r="CC9" s="169">
        <f>AVERAGE(BS9:CB9)</f>
        <v>13321.415007328207</v>
      </c>
      <c r="CD9" s="170">
        <f>CB9</f>
        <v>12805.273200682064</v>
      </c>
      <c r="CG9" s="45">
        <f>BH9+VLOOKUP($BD9,'Incremental Demand for New Gen'!$AG$54:$AQ$58,'Mass Equivalents - AoIC, PR, GU'!BH$8-2018,0)</f>
        <v>19983504.160429474</v>
      </c>
      <c r="CH9" s="50">
        <f>BI9+VLOOKUP($BD9,'Incremental Demand for New Gen'!$AG$54:$AQ$58,'Mass Equivalents - AoIC, PR, GU'!BI$8-2018,0)</f>
        <v>19983504.160429474</v>
      </c>
      <c r="CI9" s="50">
        <f>BJ9+VLOOKUP($BD9,'Incremental Demand for New Gen'!$AG$54:$AQ$58,'Mass Equivalents - AoIC, PR, GU'!BJ$8-2018,0)</f>
        <v>19983504.160429474</v>
      </c>
      <c r="CJ9" s="50">
        <f>BK9+VLOOKUP($BD9,'Incremental Demand for New Gen'!$AG$54:$AQ$58,'Mass Equivalents - AoIC, PR, GU'!BK$8-2018,0)</f>
        <v>19983504.160429474</v>
      </c>
      <c r="CK9" s="50">
        <f>BL9+VLOOKUP($BD9,'Incremental Demand for New Gen'!$AG$54:$AQ$58,'Mass Equivalents - AoIC, PR, GU'!BL$8-2018,0)</f>
        <v>19983504.160429474</v>
      </c>
      <c r="CL9" s="50">
        <f>BM9+VLOOKUP($BD9,'Incremental Demand for New Gen'!$AG$54:$AQ$58,'Mass Equivalents - AoIC, PR, GU'!BM$8-2018,0)</f>
        <v>19983504.16042947</v>
      </c>
      <c r="CM9" s="50">
        <f>BN9+VLOOKUP($BD9,'Incremental Demand for New Gen'!$AG$54:$AQ$58,'Mass Equivalents - AoIC, PR, GU'!BN$8-2018,0)</f>
        <v>19983504.160429474</v>
      </c>
      <c r="CN9" s="50">
        <f>BO9+VLOOKUP($BD9,'Incremental Demand for New Gen'!$AG$54:$AQ$58,'Mass Equivalents - AoIC, PR, GU'!BO$8-2018,0)</f>
        <v>19983504.160429474</v>
      </c>
      <c r="CO9" s="50">
        <f>BP9+VLOOKUP($BD9,'Incremental Demand for New Gen'!$AG$54:$AQ$58,'Mass Equivalents - AoIC, PR, GU'!BP$8-2018,0)</f>
        <v>19983504.160429474</v>
      </c>
      <c r="CP9" s="46">
        <f>BQ9+VLOOKUP($BD9,'Incremental Demand for New Gen'!$AG$54:$AQ$58,'Mass Equivalents - AoIC, PR, GU'!BQ$8-2018,0)</f>
        <v>19983504.160429474</v>
      </c>
      <c r="CR9" s="45">
        <f>CG9*AQ9/2204.62*10^-3</f>
        <v>13860.684798447524</v>
      </c>
      <c r="CS9" s="50">
        <f t="shared" ref="CS9:DA9" si="2">CH9*AR9/2204.62*10^-3</f>
        <v>13763.951341329735</v>
      </c>
      <c r="CT9" s="50">
        <f t="shared" si="2"/>
        <v>13649.219878257891</v>
      </c>
      <c r="CU9" s="50">
        <f t="shared" si="2"/>
        <v>13519.292244653381</v>
      </c>
      <c r="CV9" s="50">
        <f t="shared" si="2"/>
        <v>13376.97407929876</v>
      </c>
      <c r="CW9" s="50">
        <f t="shared" si="2"/>
        <v>13236.598211239985</v>
      </c>
      <c r="CX9" s="50">
        <f t="shared" si="2"/>
        <v>13110.162438448486</v>
      </c>
      <c r="CY9" s="50">
        <f t="shared" si="2"/>
        <v>12996.685885989564</v>
      </c>
      <c r="CZ9" s="50">
        <f t="shared" si="2"/>
        <v>12895.307994934687</v>
      </c>
      <c r="DA9" s="50">
        <f t="shared" si="2"/>
        <v>12805.273200682064</v>
      </c>
      <c r="DB9" s="169">
        <f>AVERAGE(CR9:DA9)</f>
        <v>13321.415007328207</v>
      </c>
      <c r="DC9" s="170">
        <f>DA9</f>
        <v>12805.273200682064</v>
      </c>
    </row>
    <row r="10" spans="1:107" x14ac:dyDescent="0.25">
      <c r="A10" s="108" t="s">
        <v>187</v>
      </c>
      <c r="B10" s="109">
        <v>0</v>
      </c>
      <c r="C10" s="109">
        <v>0</v>
      </c>
      <c r="D10" s="109">
        <v>1947.8707626591574</v>
      </c>
      <c r="E10" s="109">
        <v>0</v>
      </c>
      <c r="F10" s="109">
        <v>0</v>
      </c>
      <c r="G10" s="109">
        <v>0</v>
      </c>
      <c r="H10" s="109">
        <v>713075.48660000018</v>
      </c>
      <c r="I10" s="109">
        <v>0</v>
      </c>
      <c r="J10" s="109">
        <v>0</v>
      </c>
      <c r="K10" s="109">
        <v>0</v>
      </c>
      <c r="L10" s="110">
        <v>0</v>
      </c>
      <c r="M10" s="111">
        <v>0</v>
      </c>
      <c r="N10" s="111">
        <v>713075.48660000018</v>
      </c>
      <c r="O10" s="111">
        <v>0</v>
      </c>
      <c r="P10" s="111">
        <v>0</v>
      </c>
      <c r="Q10" s="111">
        <v>0</v>
      </c>
      <c r="R10" s="112">
        <v>0</v>
      </c>
      <c r="S10" s="112">
        <v>0</v>
      </c>
      <c r="T10" s="113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5">
        <v>1.1536048E-2</v>
      </c>
      <c r="AF10" s="115">
        <v>1.8814460690792244E-2</v>
      </c>
      <c r="AG10" s="115">
        <v>2.758082181046604E-2</v>
      </c>
      <c r="AH10" s="115">
        <v>3.7687944233580475E-2</v>
      </c>
      <c r="AI10" s="115">
        <v>4.8984245818188568E-2</v>
      </c>
      <c r="AJ10" s="115">
        <v>6.0364342893702905E-2</v>
      </c>
      <c r="AK10" s="115">
        <v>7.0822936601888362E-2</v>
      </c>
      <c r="AL10" s="115">
        <v>8.0382833780419743E-2</v>
      </c>
      <c r="AM10" s="115">
        <v>8.9065771661748339E-2</v>
      </c>
      <c r="AN10" s="115">
        <v>9.6892451922578393E-2</v>
      </c>
      <c r="AO10" s="116">
        <v>1</v>
      </c>
      <c r="AP10" s="117">
        <v>1680891.9724999999</v>
      </c>
      <c r="AQ10" s="118">
        <f t="shared" si="0"/>
        <v>1896.3040642371345</v>
      </c>
      <c r="AR10" s="118">
        <f t="shared" si="0"/>
        <v>1865.1508563062564</v>
      </c>
      <c r="AS10" s="118">
        <f t="shared" si="0"/>
        <v>1828.9614033127386</v>
      </c>
      <c r="AT10" s="118">
        <f t="shared" si="0"/>
        <v>1788.9418309727635</v>
      </c>
      <c r="AU10" s="118">
        <f t="shared" si="0"/>
        <v>1746.2367279992875</v>
      </c>
      <c r="AV10" s="118">
        <f>(($L10*$M10)+($N10*$D10)+($C10*$O10)+$P10)/($M10+$N10+$O10+$Q10+$T10+Z10+(MIN(AJ10*$AP10,$AP10*$AO10*AJ10)))</f>
        <v>1705.2280554300132</v>
      </c>
      <c r="AW10" s="118">
        <f t="shared" si="0"/>
        <v>1669.2026413122037</v>
      </c>
      <c r="AX10" s="118">
        <f t="shared" si="0"/>
        <v>1637.5792266895071</v>
      </c>
      <c r="AY10" s="118">
        <f t="shared" si="0"/>
        <v>1609.8775525305771</v>
      </c>
      <c r="AZ10" s="118">
        <f t="shared" si="0"/>
        <v>1585.6987231468845</v>
      </c>
      <c r="BA10" s="119">
        <f t="shared" ref="BA10" si="3">AVERAGE(AQ10:AZ10)</f>
        <v>1733.3181081937364</v>
      </c>
      <c r="BB10" s="119">
        <f t="shared" ref="BB10" si="4">AZ10</f>
        <v>1585.6987231468845</v>
      </c>
      <c r="BD10" s="49" t="s">
        <v>187</v>
      </c>
      <c r="BE10" s="152">
        <f t="shared" ref="BE10:BE14" si="5">M10+N10+O10+Q10</f>
        <v>713075.48660000018</v>
      </c>
      <c r="BF10" s="153">
        <f t="shared" ref="BF10:BF14" si="6">((B10*F10)+(C10*G10)+(D10*H10)+E10)/2204.62*10^-3</f>
        <v>630.03097672936474</v>
      </c>
      <c r="BH10" s="152">
        <f>MAX($BE10-U10-VLOOKUP($BD10,'EE Avoided Generation'!$A$53:$K$57,'Mass Equivalents - AoIC, PR, GU'!BH$8-2018,0),0)+'Mass Equivalents - AoIC, PR, GU'!U10+'Mass Equivalents - AoIC, PR, GU'!$T10+VLOOKUP($BD10,'EE Avoided Generation'!$A$53:$K$57,'Mass Equivalents - AoIC, PR, GU'!BH$8-2018,0)</f>
        <v>713075.48660000018</v>
      </c>
      <c r="BI10" s="186">
        <f>MAX($BE10-V10-VLOOKUP($BD10,'EE Avoided Generation'!$A$53:$K$57,'Mass Equivalents - AoIC, PR, GU'!BI$8-2018,0),0)+'Mass Equivalents - AoIC, PR, GU'!V10+'Mass Equivalents - AoIC, PR, GU'!$T10+VLOOKUP($BD10,'EE Avoided Generation'!$A$53:$K$57,'Mass Equivalents - AoIC, PR, GU'!BI$8-2018,0)</f>
        <v>713075.48660000018</v>
      </c>
      <c r="BJ10" s="186">
        <f>MAX($BE10-W10-VLOOKUP($BD10,'EE Avoided Generation'!$A$53:$K$57,'Mass Equivalents - AoIC, PR, GU'!BJ$8-2018,0),0)+'Mass Equivalents - AoIC, PR, GU'!W10+'Mass Equivalents - AoIC, PR, GU'!$T10+VLOOKUP($BD10,'EE Avoided Generation'!$A$53:$K$57,'Mass Equivalents - AoIC, PR, GU'!BJ$8-2018,0)</f>
        <v>713075.48660000018</v>
      </c>
      <c r="BK10" s="186">
        <f>MAX($BE10-X10-VLOOKUP($BD10,'EE Avoided Generation'!$A$53:$K$57,'Mass Equivalents - AoIC, PR, GU'!BK$8-2018,0),0)+'Mass Equivalents - AoIC, PR, GU'!X10+'Mass Equivalents - AoIC, PR, GU'!$T10+VLOOKUP($BD10,'EE Avoided Generation'!$A$53:$K$57,'Mass Equivalents - AoIC, PR, GU'!BK$8-2018,0)</f>
        <v>713075.48660000018</v>
      </c>
      <c r="BL10" s="186">
        <f>MAX($BE10-Y10-VLOOKUP($BD10,'EE Avoided Generation'!$A$53:$K$57,'Mass Equivalents - AoIC, PR, GU'!BL$8-2018,0),0)+'Mass Equivalents - AoIC, PR, GU'!Y10+'Mass Equivalents - AoIC, PR, GU'!$T10+VLOOKUP($BD10,'EE Avoided Generation'!$A$53:$K$57,'Mass Equivalents - AoIC, PR, GU'!BL$8-2018,0)</f>
        <v>713075.48660000018</v>
      </c>
      <c r="BM10" s="186">
        <f>MAX($BE10-Z10-VLOOKUP($BD10,'EE Avoided Generation'!$A$53:$K$57,'Mass Equivalents - AoIC, PR, GU'!BM$8-2018,0),0)+'Mass Equivalents - AoIC, PR, GU'!Z10+'Mass Equivalents - AoIC, PR, GU'!$T10+VLOOKUP($BD10,'EE Avoided Generation'!$A$53:$K$57,'Mass Equivalents - AoIC, PR, GU'!BM$8-2018,0)</f>
        <v>713075.48660000018</v>
      </c>
      <c r="BN10" s="186">
        <f>MAX($BE10-AA10-VLOOKUP($BD10,'EE Avoided Generation'!$A$53:$K$57,'Mass Equivalents - AoIC, PR, GU'!BN$8-2018,0),0)+'Mass Equivalents - AoIC, PR, GU'!AA10+'Mass Equivalents - AoIC, PR, GU'!$T10+VLOOKUP($BD10,'EE Avoided Generation'!$A$53:$K$57,'Mass Equivalents - AoIC, PR, GU'!BN$8-2018,0)</f>
        <v>713075.48660000018</v>
      </c>
      <c r="BO10" s="186">
        <f>MAX($BE10-AB10-VLOOKUP($BD10,'EE Avoided Generation'!$A$53:$K$57,'Mass Equivalents - AoIC, PR, GU'!BO$8-2018,0),0)+'Mass Equivalents - AoIC, PR, GU'!AB10+'Mass Equivalents - AoIC, PR, GU'!$T10+VLOOKUP($BD10,'EE Avoided Generation'!$A$53:$K$57,'Mass Equivalents - AoIC, PR, GU'!BO$8-2018,0)</f>
        <v>713075.48660000018</v>
      </c>
      <c r="BP10" s="186">
        <f>MAX($BE10-AC10-VLOOKUP($BD10,'EE Avoided Generation'!$A$53:$K$57,'Mass Equivalents - AoIC, PR, GU'!BP$8-2018,0),0)+'Mass Equivalents - AoIC, PR, GU'!AC10+'Mass Equivalents - AoIC, PR, GU'!$T10+VLOOKUP($BD10,'EE Avoided Generation'!$A$53:$K$57,'Mass Equivalents - AoIC, PR, GU'!BP$8-2018,0)</f>
        <v>713075.48660000018</v>
      </c>
      <c r="BQ10" s="187">
        <f>MAX($BE10-AD10-VLOOKUP($BD10,'EE Avoided Generation'!$A$53:$K$57,'Mass Equivalents - AoIC, PR, GU'!BQ$8-2018,0),0)+'Mass Equivalents - AoIC, PR, GU'!AD10+'Mass Equivalents - AoIC, PR, GU'!$T10+VLOOKUP($BD10,'EE Avoided Generation'!$A$53:$K$57,'Mass Equivalents - AoIC, PR, GU'!BQ$8-2018,0)</f>
        <v>713075.48660000018</v>
      </c>
      <c r="BS10" s="181">
        <f>BH10*AQ10/2204.62*10^-3</f>
        <v>613.35193518495373</v>
      </c>
      <c r="BT10" s="182">
        <f t="shared" ref="BT10" si="7">BI10*AR10/2204.62*10^-3</f>
        <v>603.27555517186227</v>
      </c>
      <c r="BU10" s="182">
        <f t="shared" ref="BU10" si="8">BJ10*AS10/2204.62*10^-3</f>
        <v>591.57022191572719</v>
      </c>
      <c r="BV10" s="182">
        <f t="shared" ref="BV10" si="9">BK10*AT10/2204.62*10^-3</f>
        <v>578.6260519363874</v>
      </c>
      <c r="BW10" s="182">
        <f t="shared" ref="BW10" si="10">BL10*AU10/2204.62*10^-3</f>
        <v>564.81325785708384</v>
      </c>
      <c r="BX10" s="182">
        <f t="shared" ref="BX10" si="11">BM10*AV10/2204.62*10^-3</f>
        <v>551.54916738019654</v>
      </c>
      <c r="BY10" s="182">
        <f t="shared" ref="BY10" si="12">BN10*AW10/2204.62*10^-3</f>
        <v>539.89689183972985</v>
      </c>
      <c r="BZ10" s="182">
        <f t="shared" ref="BZ10" si="13">BO10*AX10/2204.62*10^-3</f>
        <v>529.66842536023091</v>
      </c>
      <c r="CA10" s="182">
        <f t="shared" ref="CA10" si="14">BP10*AY10/2204.62*10^-3</f>
        <v>520.70843008643601</v>
      </c>
      <c r="CB10" s="182">
        <f t="shared" ref="CB10" si="15">BQ10*AZ10/2204.62*10^-3</f>
        <v>512.88788480961057</v>
      </c>
      <c r="CC10" s="190">
        <f>AVERAGE(BS10:CB10)</f>
        <v>560.63478215422185</v>
      </c>
      <c r="CD10" s="191">
        <f>CB10</f>
        <v>512.88788480961057</v>
      </c>
      <c r="CG10" s="45">
        <f>BH10+VLOOKUP($BD10,'Incremental Demand for New Gen'!$AG$54:$AQ$58,'Mass Equivalents - AoIC, PR, GU'!BH$8-2018,0)</f>
        <v>713075.48660000018</v>
      </c>
      <c r="CH10" s="50">
        <f>BI10+VLOOKUP($BD10,'Incremental Demand for New Gen'!$AG$54:$AQ$58,'Mass Equivalents - AoIC, PR, GU'!BI$8-2018,0)</f>
        <v>713075.48660000018</v>
      </c>
      <c r="CI10" s="50">
        <f>BJ10+VLOOKUP($BD10,'Incremental Demand for New Gen'!$AG$54:$AQ$58,'Mass Equivalents - AoIC, PR, GU'!BJ$8-2018,0)</f>
        <v>713075.48660000018</v>
      </c>
      <c r="CJ10" s="50">
        <f>BK10+VLOOKUP($BD10,'Incremental Demand for New Gen'!$AG$54:$AQ$58,'Mass Equivalents - AoIC, PR, GU'!BK$8-2018,0)</f>
        <v>713075.48660000018</v>
      </c>
      <c r="CK10" s="50">
        <f>BL10+VLOOKUP($BD10,'Incremental Demand for New Gen'!$AG$54:$AQ$58,'Mass Equivalents - AoIC, PR, GU'!BL$8-2018,0)</f>
        <v>713075.48660000018</v>
      </c>
      <c r="CL10" s="50">
        <f>BM10+VLOOKUP($BD10,'Incremental Demand for New Gen'!$AG$54:$AQ$58,'Mass Equivalents - AoIC, PR, GU'!BM$8-2018,0)</f>
        <v>713075.48660000018</v>
      </c>
      <c r="CM10" s="50">
        <f>BN10+VLOOKUP($BD10,'Incremental Demand for New Gen'!$AG$54:$AQ$58,'Mass Equivalents - AoIC, PR, GU'!BN$8-2018,0)</f>
        <v>713075.48660000018</v>
      </c>
      <c r="CN10" s="50">
        <f>BO10+VLOOKUP($BD10,'Incremental Demand for New Gen'!$AG$54:$AQ$58,'Mass Equivalents - AoIC, PR, GU'!BO$8-2018,0)</f>
        <v>713075.48660000018</v>
      </c>
      <c r="CO10" s="50">
        <f>BP10+VLOOKUP($BD10,'Incremental Demand for New Gen'!$AG$54:$AQ$58,'Mass Equivalents - AoIC, PR, GU'!BP$8-2018,0)</f>
        <v>713075.48660000018</v>
      </c>
      <c r="CP10" s="46">
        <f>BQ10+VLOOKUP($BD10,'Incremental Demand for New Gen'!$AG$54:$AQ$58,'Mass Equivalents - AoIC, PR, GU'!BQ$8-2018,0)</f>
        <v>713075.48660000018</v>
      </c>
      <c r="CR10" s="181">
        <f>CG10*AQ10/2204.62*10^-3</f>
        <v>613.35193518495373</v>
      </c>
      <c r="CS10" s="182">
        <f t="shared" ref="CS10" si="16">CH10*AR10/2204.62*10^-3</f>
        <v>603.27555517186227</v>
      </c>
      <c r="CT10" s="182">
        <f t="shared" ref="CT10" si="17">CI10*AS10/2204.62*10^-3</f>
        <v>591.57022191572719</v>
      </c>
      <c r="CU10" s="182">
        <f t="shared" ref="CU10" si="18">CJ10*AT10/2204.62*10^-3</f>
        <v>578.6260519363874</v>
      </c>
      <c r="CV10" s="182">
        <f t="shared" ref="CV10" si="19">CK10*AU10/2204.62*10^-3</f>
        <v>564.81325785708384</v>
      </c>
      <c r="CW10" s="182">
        <f t="shared" ref="CW10" si="20">CL10*AV10/2204.62*10^-3</f>
        <v>551.54916738019654</v>
      </c>
      <c r="CX10" s="182">
        <f t="shared" ref="CX10" si="21">CM10*AW10/2204.62*10^-3</f>
        <v>539.89689183972985</v>
      </c>
      <c r="CY10" s="182">
        <f t="shared" ref="CY10" si="22">CN10*AX10/2204.62*10^-3</f>
        <v>529.66842536023091</v>
      </c>
      <c r="CZ10" s="182">
        <f t="shared" ref="CZ10" si="23">CO10*AY10/2204.62*10^-3</f>
        <v>520.70843008643601</v>
      </c>
      <c r="DA10" s="182">
        <f t="shared" ref="DA10" si="24">CP10*AZ10/2204.62*10^-3</f>
        <v>512.88788480961057</v>
      </c>
      <c r="DB10" s="190">
        <f>AVERAGE(CR10:DA10)</f>
        <v>560.63478215422185</v>
      </c>
      <c r="DC10" s="191">
        <f>DA10</f>
        <v>512.88788480961057</v>
      </c>
    </row>
    <row r="11" spans="1:107" ht="15.75" x14ac:dyDescent="0.2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D11" s="49"/>
      <c r="BE11" s="154"/>
      <c r="BF11" s="155"/>
      <c r="BG11" s="158"/>
      <c r="BH11" s="154"/>
      <c r="BI11" s="188"/>
      <c r="BJ11" s="188"/>
      <c r="BK11" s="188"/>
      <c r="BL11" s="188"/>
      <c r="BM11" s="188"/>
      <c r="BN11" s="188"/>
      <c r="BO11" s="188"/>
      <c r="BP11" s="188"/>
      <c r="BQ11" s="189"/>
      <c r="BS11" s="49"/>
      <c r="BT11" s="34"/>
      <c r="BU11" s="34"/>
      <c r="BV11" s="34"/>
      <c r="BW11" s="34"/>
      <c r="BX11" s="34"/>
      <c r="BY11" s="34"/>
      <c r="BZ11" s="34"/>
      <c r="CA11" s="34"/>
      <c r="CB11" s="34"/>
      <c r="CC11" s="169"/>
      <c r="CD11" s="170"/>
      <c r="CG11" s="160"/>
      <c r="CH11" s="185"/>
      <c r="CI11" s="185"/>
      <c r="CJ11" s="185"/>
      <c r="CK11" s="185"/>
      <c r="CL11" s="185"/>
      <c r="CM11" s="185"/>
      <c r="CN11" s="185"/>
      <c r="CO11" s="185"/>
      <c r="CP11" s="161"/>
      <c r="CR11" s="160"/>
      <c r="CS11" s="185"/>
      <c r="CT11" s="185"/>
      <c r="CU11" s="185"/>
      <c r="CV11" s="185"/>
      <c r="CW11" s="185"/>
      <c r="CX11" s="185"/>
      <c r="CY11" s="185"/>
      <c r="CZ11" s="185"/>
      <c r="DA11" s="185"/>
      <c r="DB11" s="201"/>
      <c r="DC11" s="202"/>
    </row>
    <row r="12" spans="1:107" x14ac:dyDescent="0.25">
      <c r="A12" s="108" t="s">
        <v>188</v>
      </c>
      <c r="B12" s="109">
        <v>2120.6515416265024</v>
      </c>
      <c r="C12" s="109">
        <v>0</v>
      </c>
      <c r="D12" s="109">
        <v>0</v>
      </c>
      <c r="E12" s="109">
        <v>0</v>
      </c>
      <c r="F12" s="109">
        <v>29629453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10">
        <v>1993.4124491289122</v>
      </c>
      <c r="M12" s="111">
        <v>29629453</v>
      </c>
      <c r="N12" s="111">
        <v>0</v>
      </c>
      <c r="O12" s="111">
        <v>0</v>
      </c>
      <c r="P12" s="111">
        <v>0</v>
      </c>
      <c r="Q12" s="111">
        <v>0</v>
      </c>
      <c r="R12" s="112">
        <v>0</v>
      </c>
      <c r="S12" s="112">
        <v>0</v>
      </c>
      <c r="T12" s="113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5">
        <v>1.1295297775791078E-2</v>
      </c>
      <c r="AF12" s="115">
        <v>1.8350025977033124E-2</v>
      </c>
      <c r="AG12" s="115">
        <v>2.679855874941886E-2</v>
      </c>
      <c r="AH12" s="115">
        <v>3.6485927791940306E-2</v>
      </c>
      <c r="AI12" s="115">
        <v>4.7256540094728995E-2</v>
      </c>
      <c r="AJ12" s="115">
        <v>5.8015197609317115E-2</v>
      </c>
      <c r="AK12" s="115">
        <v>6.7778525434371892E-2</v>
      </c>
      <c r="AL12" s="115">
        <v>7.659130443900232E-2</v>
      </c>
      <c r="AM12" s="115">
        <v>8.4496089259891161E-2</v>
      </c>
      <c r="AN12" s="115">
        <v>9.1533317031489064E-2</v>
      </c>
      <c r="AO12" s="116">
        <v>40.767969547601119</v>
      </c>
      <c r="AP12" s="117">
        <v>726782.65139999997</v>
      </c>
      <c r="AQ12" s="118">
        <f t="shared" ref="AQ12:AZ14" si="25">(($L12*$M12)+($N12*$D12)+($C12*$O12)+$P12)/($M12+$N12+$O12+$Q12+$T12+U12+(MIN(AE12*$AP12,$AP12*$AO12*AE12)))</f>
        <v>1992.8603011858763</v>
      </c>
      <c r="AR12" s="118">
        <f t="shared" si="25"/>
        <v>1992.5156001215271</v>
      </c>
      <c r="AS12" s="118">
        <f t="shared" si="25"/>
        <v>1992.1029532521238</v>
      </c>
      <c r="AT12" s="118">
        <f t="shared" si="25"/>
        <v>1991.6300089068552</v>
      </c>
      <c r="AU12" s="118">
        <f t="shared" si="25"/>
        <v>1991.1044434075866</v>
      </c>
      <c r="AV12" s="118">
        <f t="shared" si="25"/>
        <v>1990.5797381024706</v>
      </c>
      <c r="AW12" s="118">
        <f t="shared" si="25"/>
        <v>1990.1038148376331</v>
      </c>
      <c r="AX12" s="118">
        <f t="shared" si="25"/>
        <v>1989.6744224105737</v>
      </c>
      <c r="AY12" s="118">
        <f t="shared" si="25"/>
        <v>1989.289428557018</v>
      </c>
      <c r="AZ12" s="118">
        <f t="shared" si="25"/>
        <v>1988.9468134532865</v>
      </c>
      <c r="BA12" s="119">
        <f>AVERAGE(AQ12:AZ12)</f>
        <v>1990.8807524234951</v>
      </c>
      <c r="BB12" s="119">
        <f>AZ12</f>
        <v>1988.9468134532865</v>
      </c>
      <c r="BD12" s="49" t="s">
        <v>188</v>
      </c>
      <c r="BE12" s="156">
        <f t="shared" si="5"/>
        <v>29629453</v>
      </c>
      <c r="BF12" s="157">
        <f t="shared" si="6"/>
        <v>28500.941287840989</v>
      </c>
      <c r="BH12" s="150">
        <f>MAX($BE12-U12-VLOOKUP($BD12,'EE Avoided Generation'!$A$53:$K$57,'Mass Equivalents - AoIC, PR, GU'!BH$8-2018,0),0)+'Mass Equivalents - AoIC, PR, GU'!U12+'Mass Equivalents - AoIC, PR, GU'!$T12+VLOOKUP($BD12,'EE Avoided Generation'!$A$53:$K$57,'Mass Equivalents - AoIC, PR, GU'!BH$8-2018,0)</f>
        <v>29629453</v>
      </c>
      <c r="BI12" s="164">
        <f>MAX($BE12-V12-VLOOKUP($BD12,'EE Avoided Generation'!$A$53:$K$57,'Mass Equivalents - AoIC, PR, GU'!BI$8-2018,0),0)+'Mass Equivalents - AoIC, PR, GU'!V12+'Mass Equivalents - AoIC, PR, GU'!$T12+VLOOKUP($BD12,'EE Avoided Generation'!$A$53:$K$57,'Mass Equivalents - AoIC, PR, GU'!BI$8-2018,0)</f>
        <v>29629453</v>
      </c>
      <c r="BJ12" s="164">
        <f>MAX($BE12-W12-VLOOKUP($BD12,'EE Avoided Generation'!$A$53:$K$57,'Mass Equivalents - AoIC, PR, GU'!BJ$8-2018,0),0)+'Mass Equivalents - AoIC, PR, GU'!W12+'Mass Equivalents - AoIC, PR, GU'!$T12+VLOOKUP($BD12,'EE Avoided Generation'!$A$53:$K$57,'Mass Equivalents - AoIC, PR, GU'!BJ$8-2018,0)</f>
        <v>29629453</v>
      </c>
      <c r="BK12" s="164">
        <f>MAX($BE12-X12-VLOOKUP($BD12,'EE Avoided Generation'!$A$53:$K$57,'Mass Equivalents - AoIC, PR, GU'!BK$8-2018,0),0)+'Mass Equivalents - AoIC, PR, GU'!X12+'Mass Equivalents - AoIC, PR, GU'!$T12+VLOOKUP($BD12,'EE Avoided Generation'!$A$53:$K$57,'Mass Equivalents - AoIC, PR, GU'!BK$8-2018,0)</f>
        <v>29629453</v>
      </c>
      <c r="BL12" s="164">
        <f>MAX($BE12-Y12-VLOOKUP($BD12,'EE Avoided Generation'!$A$53:$K$57,'Mass Equivalents - AoIC, PR, GU'!BL$8-2018,0),0)+'Mass Equivalents - AoIC, PR, GU'!Y12+'Mass Equivalents - AoIC, PR, GU'!$T12+VLOOKUP($BD12,'EE Avoided Generation'!$A$53:$K$57,'Mass Equivalents - AoIC, PR, GU'!BL$8-2018,0)</f>
        <v>29629453</v>
      </c>
      <c r="BM12" s="164">
        <f>MAX($BE12-Z12-VLOOKUP($BD12,'EE Avoided Generation'!$A$53:$K$57,'Mass Equivalents - AoIC, PR, GU'!BM$8-2018,0),0)+'Mass Equivalents - AoIC, PR, GU'!Z12+'Mass Equivalents - AoIC, PR, GU'!$T12+VLOOKUP($BD12,'EE Avoided Generation'!$A$53:$K$57,'Mass Equivalents - AoIC, PR, GU'!BM$8-2018,0)</f>
        <v>29629453</v>
      </c>
      <c r="BN12" s="164">
        <f>MAX($BE12-AA12-VLOOKUP($BD12,'EE Avoided Generation'!$A$53:$K$57,'Mass Equivalents - AoIC, PR, GU'!BN$8-2018,0),0)+'Mass Equivalents - AoIC, PR, GU'!AA12+'Mass Equivalents - AoIC, PR, GU'!$T12+VLOOKUP($BD12,'EE Avoided Generation'!$A$53:$K$57,'Mass Equivalents - AoIC, PR, GU'!BN$8-2018,0)</f>
        <v>29629453</v>
      </c>
      <c r="BO12" s="164">
        <f>MAX($BE12-AB12-VLOOKUP($BD12,'EE Avoided Generation'!$A$53:$K$57,'Mass Equivalents - AoIC, PR, GU'!BO$8-2018,0),0)+'Mass Equivalents - AoIC, PR, GU'!AB12+'Mass Equivalents - AoIC, PR, GU'!$T12+VLOOKUP($BD12,'EE Avoided Generation'!$A$53:$K$57,'Mass Equivalents - AoIC, PR, GU'!BO$8-2018,0)</f>
        <v>29629453</v>
      </c>
      <c r="BP12" s="164">
        <f>MAX($BE12-AC12-VLOOKUP($BD12,'EE Avoided Generation'!$A$53:$K$57,'Mass Equivalents - AoIC, PR, GU'!BP$8-2018,0),0)+'Mass Equivalents - AoIC, PR, GU'!AC12+'Mass Equivalents - AoIC, PR, GU'!$T12+VLOOKUP($BD12,'EE Avoided Generation'!$A$53:$K$57,'Mass Equivalents - AoIC, PR, GU'!BP$8-2018,0)</f>
        <v>29629453</v>
      </c>
      <c r="BQ12" s="165">
        <f>MAX($BE12-AD12-VLOOKUP($BD12,'EE Avoided Generation'!$A$53:$K$57,'Mass Equivalents - AoIC, PR, GU'!BQ$8-2018,0),0)+'Mass Equivalents - AoIC, PR, GU'!AD12+'Mass Equivalents - AoIC, PR, GU'!$T12+VLOOKUP($BD12,'EE Avoided Generation'!$A$53:$K$57,'Mass Equivalents - AoIC, PR, GU'!BQ$8-2018,0)</f>
        <v>29629453</v>
      </c>
      <c r="BS12" s="196">
        <f>BH12*AQ12/2204.62*10^-3</f>
        <v>26783.464102454287</v>
      </c>
      <c r="BT12" s="197">
        <f t="shared" ref="BT12:BT14" si="26">BI12*AR12/2204.62*10^-3</f>
        <v>26778.831420184695</v>
      </c>
      <c r="BU12" s="197">
        <f t="shared" ref="BU12:BU14" si="27">BJ12*AS12/2204.62*10^-3</f>
        <v>26773.285566013645</v>
      </c>
      <c r="BV12" s="197">
        <f t="shared" ref="BV12:BV14" si="28">BK12*AT12/2204.62*10^-3</f>
        <v>26766.929331265823</v>
      </c>
      <c r="BW12" s="197">
        <f t="shared" ref="BW12:BW14" si="29">BL12*AU12/2204.62*10^-3</f>
        <v>26759.865883479353</v>
      </c>
      <c r="BX12" s="197">
        <f t="shared" ref="BX12:BX14" si="30">BM12*AV12/2204.62*10^-3</f>
        <v>26752.81399645266</v>
      </c>
      <c r="BY12" s="197">
        <f t="shared" ref="BY12:BY14" si="31">BN12*AW12/2204.62*10^-3</f>
        <v>26746.417725890336</v>
      </c>
      <c r="BZ12" s="197">
        <f t="shared" ref="BZ12:BZ14" si="32">BO12*AX12/2204.62*10^-3</f>
        <v>26740.646816284097</v>
      </c>
      <c r="CA12" s="197">
        <f t="shared" ref="CA12:CA14" si="33">BP12*AY12/2204.62*10^-3</f>
        <v>26735.472610620891</v>
      </c>
      <c r="CB12" s="197">
        <f t="shared" ref="CB12:CB14" si="34">BQ12*AZ12/2204.62*10^-3</f>
        <v>26730.86796305664</v>
      </c>
      <c r="CC12" s="198">
        <f t="shared" ref="CC12:CC14" si="35">AVERAGE(BS12:CB12)</f>
        <v>26756.859541570251</v>
      </c>
      <c r="CD12" s="199">
        <f t="shared" ref="CD12:CD14" si="36">CB12</f>
        <v>26730.86796305664</v>
      </c>
      <c r="CG12" s="196">
        <f>BH12+VLOOKUP($BD12,'Incremental Demand for New Gen'!$AG$54:$AQ$58,'Mass Equivalents - AoIC, PR, GU'!BH$8-2018,0)</f>
        <v>29709115.875686493</v>
      </c>
      <c r="CH12" s="197">
        <f>BI12+VLOOKUP($BD12,'Incremental Demand for New Gen'!$AG$54:$AQ$58,'Mass Equivalents - AoIC, PR, GU'!BI$8-2018,0)</f>
        <v>29719669.015975941</v>
      </c>
      <c r="CI12" s="197">
        <f>BJ12+VLOOKUP($BD12,'Incremental Demand for New Gen'!$AG$54:$AQ$58,'Mass Equivalents - AoIC, PR, GU'!BJ$8-2018,0)</f>
        <v>29730360.254582293</v>
      </c>
      <c r="CJ12" s="197">
        <f>BK12+VLOOKUP($BD12,'Incremental Demand for New Gen'!$AG$54:$AQ$58,'Mass Equivalents - AoIC, PR, GU'!BK$8-2018,0)</f>
        <v>29741191.398659129</v>
      </c>
      <c r="CK12" s="197">
        <f>BL12+VLOOKUP($BD12,'Incremental Demand for New Gen'!$AG$54:$AQ$58,'Mass Equivalents - AoIC, PR, GU'!BL$8-2018,0)</f>
        <v>29752164.279008403</v>
      </c>
      <c r="CL12" s="197">
        <f>BM12+VLOOKUP($BD12,'Incremental Demand for New Gen'!$AG$54:$AQ$58,'Mass Equivalents - AoIC, PR, GU'!BM$8-2018,0)</f>
        <v>29763280.750389952</v>
      </c>
      <c r="CM12" s="197">
        <f>BN12+VLOOKUP($BD12,'Incremental Demand for New Gen'!$AG$54:$AQ$58,'Mass Equivalents - AoIC, PR, GU'!BN$8-2018,0)</f>
        <v>29774542.691834971</v>
      </c>
      <c r="CN12" s="197">
        <f>BO12+VLOOKUP($BD12,'Incremental Demand for New Gen'!$AG$54:$AQ$58,'Mass Equivalents - AoIC, PR, GU'!BO$8-2018,0)</f>
        <v>29785952.006963659</v>
      </c>
      <c r="CO12" s="197">
        <f>BP12+VLOOKUP($BD12,'Incremental Demand for New Gen'!$AG$54:$AQ$58,'Mass Equivalents - AoIC, PR, GU'!BP$8-2018,0)</f>
        <v>29797510.624306958</v>
      </c>
      <c r="CP12" s="157">
        <f>BQ12+VLOOKUP($BD12,'Incremental Demand for New Gen'!$AG$54:$AQ$58,'Mass Equivalents - AoIC, PR, GU'!BQ$8-2018,0)</f>
        <v>29809220.497632563</v>
      </c>
      <c r="CR12" s="45">
        <f>CG12*AQ12/2204.62*10^-3</f>
        <v>26855.475144009713</v>
      </c>
      <c r="CS12" s="50">
        <f t="shared" ref="CS12:CS14" si="37">CH12*AR12/2204.62*10^-3</f>
        <v>26860.367838802362</v>
      </c>
      <c r="CT12" s="50">
        <f t="shared" ref="CT12:CT14" si="38">CI12*AS12/2204.62*10^-3</f>
        <v>26864.465742124699</v>
      </c>
      <c r="CU12" s="50">
        <f t="shared" ref="CU12:CU14" si="39">CJ12*AT12/2204.62*10^-3</f>
        <v>26867.872599455673</v>
      </c>
      <c r="CV12" s="50">
        <f t="shared" ref="CV12:CV14" si="40">CK12*AU12/2204.62*10^-3</f>
        <v>26870.692680337706</v>
      </c>
      <c r="CW12" s="50">
        <f t="shared" ref="CW12:CW14" si="41">CL12*AV12/2204.62*10^-3</f>
        <v>26873.64879261802</v>
      </c>
      <c r="CX12" s="50">
        <f t="shared" ref="CX12:CX14" si="42">CM12*AW12/2204.62*10^-3</f>
        <v>26877.389752459265</v>
      </c>
      <c r="CY12" s="50">
        <f t="shared" ref="CY12:CY14" si="43">CN12*AX12/2204.62*10^-3</f>
        <v>26881.887515945829</v>
      </c>
      <c r="CZ12" s="50">
        <f t="shared" ref="CZ12:CZ14" si="44">CO12*AY12/2204.62*10^-3</f>
        <v>26887.11563999658</v>
      </c>
      <c r="DA12" s="50">
        <f t="shared" ref="DA12:DA14" si="45">CP12*AZ12/2204.62*10^-3</f>
        <v>26893.049196819717</v>
      </c>
      <c r="DB12" s="169">
        <f>AVERAGE(CR12:DA12)</f>
        <v>26873.196490256953</v>
      </c>
      <c r="DC12" s="170">
        <f>DA12</f>
        <v>26893.049196819717</v>
      </c>
    </row>
    <row r="13" spans="1:107" x14ac:dyDescent="0.25">
      <c r="A13" s="108" t="s">
        <v>189</v>
      </c>
      <c r="B13" s="109">
        <v>2144.7457524560473</v>
      </c>
      <c r="C13" s="109">
        <v>0</v>
      </c>
      <c r="D13" s="109">
        <v>0</v>
      </c>
      <c r="E13" s="109">
        <v>0</v>
      </c>
      <c r="F13" s="109">
        <v>3090433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10">
        <v>2016.0610073086843</v>
      </c>
      <c r="M13" s="111">
        <v>3090433</v>
      </c>
      <c r="N13" s="111">
        <v>0</v>
      </c>
      <c r="O13" s="111">
        <v>0</v>
      </c>
      <c r="P13" s="111">
        <v>0</v>
      </c>
      <c r="Q13" s="111">
        <v>0</v>
      </c>
      <c r="R13" s="112">
        <v>0</v>
      </c>
      <c r="S13" s="112">
        <v>0</v>
      </c>
      <c r="T13" s="113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5">
        <v>1.1355107428297682E-2</v>
      </c>
      <c r="AF13" s="115">
        <v>1.8465143556097564E-2</v>
      </c>
      <c r="AG13" s="115">
        <v>2.6992023628938364E-2</v>
      </c>
      <c r="AH13" s="115">
        <v>3.6782557285937843E-2</v>
      </c>
      <c r="AI13" s="115">
        <v>4.7681994615302072E-2</v>
      </c>
      <c r="AJ13" s="115">
        <v>5.8592445747772413E-2</v>
      </c>
      <c r="AK13" s="115">
        <v>6.8524953539282632E-2</v>
      </c>
      <c r="AL13" s="115">
        <v>7.7518783956747842E-2</v>
      </c>
      <c r="AM13" s="115">
        <v>8.5611335966106622E-2</v>
      </c>
      <c r="AN13" s="115">
        <v>9.2838226412930006E-2</v>
      </c>
      <c r="AO13" s="116">
        <v>6.5752914318297391</v>
      </c>
      <c r="AP13" s="117">
        <v>470007</v>
      </c>
      <c r="AQ13" s="118">
        <f t="shared" si="25"/>
        <v>2012.585401143461</v>
      </c>
      <c r="AR13" s="118">
        <f>(($L13*$M13)+($N13*$D13)+($C13*$O13)+$P13)/($M13+$N13+$O13+$Q13+$T13+V13+(MIN(AF13*$AP13,$AP13*$AO13*AF13)))</f>
        <v>2010.4152338421945</v>
      </c>
      <c r="AS13" s="118">
        <f t="shared" si="25"/>
        <v>2007.8187731311034</v>
      </c>
      <c r="AT13" s="118">
        <f t="shared" si="25"/>
        <v>2004.8457850326863</v>
      </c>
      <c r="AU13" s="118">
        <f t="shared" si="25"/>
        <v>2001.5464073088151</v>
      </c>
      <c r="AV13" s="118">
        <f t="shared" si="25"/>
        <v>1998.254553747717</v>
      </c>
      <c r="AW13" s="118">
        <f t="shared" si="25"/>
        <v>1995.2671624994837</v>
      </c>
      <c r="AX13" s="118">
        <f t="shared" si="25"/>
        <v>1992.5697919274999</v>
      </c>
      <c r="AY13" s="118">
        <f t="shared" si="25"/>
        <v>1990.1489527056135</v>
      </c>
      <c r="AZ13" s="118">
        <f t="shared" si="25"/>
        <v>1987.9920377697611</v>
      </c>
      <c r="BA13" s="119">
        <f>AVERAGE(AQ13:AZ13)</f>
        <v>2000.1444099108335</v>
      </c>
      <c r="BB13" s="119">
        <f>AZ13</f>
        <v>1987.9920377697611</v>
      </c>
      <c r="BD13" s="49" t="s">
        <v>189</v>
      </c>
      <c r="BE13" s="150">
        <f t="shared" si="5"/>
        <v>3090433</v>
      </c>
      <c r="BF13" s="46">
        <f t="shared" si="6"/>
        <v>3006.5013698505868</v>
      </c>
      <c r="BH13" s="150">
        <f>MAX($BE13-U13-VLOOKUP($BD13,'EE Avoided Generation'!$A$53:$K$57,'Mass Equivalents - AoIC, PR, GU'!BH$8-2018,0),0)+'Mass Equivalents - AoIC, PR, GU'!U13+'Mass Equivalents - AoIC, PR, GU'!$T13+VLOOKUP($BD13,'EE Avoided Generation'!$A$53:$K$57,'Mass Equivalents - AoIC, PR, GU'!BH$8-2018,0)</f>
        <v>3090433</v>
      </c>
      <c r="BI13" s="164">
        <f>MAX($BE13-V13-VLOOKUP($BD13,'EE Avoided Generation'!$A$53:$K$57,'Mass Equivalents - AoIC, PR, GU'!BI$8-2018,0),0)+'Mass Equivalents - AoIC, PR, GU'!V13+'Mass Equivalents - AoIC, PR, GU'!$T13+VLOOKUP($BD13,'EE Avoided Generation'!$A$53:$K$57,'Mass Equivalents - AoIC, PR, GU'!BI$8-2018,0)</f>
        <v>3090433</v>
      </c>
      <c r="BJ13" s="164">
        <f>MAX($BE13-W13-VLOOKUP($BD13,'EE Avoided Generation'!$A$53:$K$57,'Mass Equivalents - AoIC, PR, GU'!BJ$8-2018,0),0)+'Mass Equivalents - AoIC, PR, GU'!W13+'Mass Equivalents - AoIC, PR, GU'!$T13+VLOOKUP($BD13,'EE Avoided Generation'!$A$53:$K$57,'Mass Equivalents - AoIC, PR, GU'!BJ$8-2018,0)</f>
        <v>3090433</v>
      </c>
      <c r="BK13" s="164">
        <f>MAX($BE13-X13-VLOOKUP($BD13,'EE Avoided Generation'!$A$53:$K$57,'Mass Equivalents - AoIC, PR, GU'!BK$8-2018,0),0)+'Mass Equivalents - AoIC, PR, GU'!X13+'Mass Equivalents - AoIC, PR, GU'!$T13+VLOOKUP($BD13,'EE Avoided Generation'!$A$53:$K$57,'Mass Equivalents - AoIC, PR, GU'!BK$8-2018,0)</f>
        <v>3090433</v>
      </c>
      <c r="BL13" s="164">
        <f>MAX($BE13-Y13-VLOOKUP($BD13,'EE Avoided Generation'!$A$53:$K$57,'Mass Equivalents - AoIC, PR, GU'!BL$8-2018,0),0)+'Mass Equivalents - AoIC, PR, GU'!Y13+'Mass Equivalents - AoIC, PR, GU'!$T13+VLOOKUP($BD13,'EE Avoided Generation'!$A$53:$K$57,'Mass Equivalents - AoIC, PR, GU'!BL$8-2018,0)</f>
        <v>3090433</v>
      </c>
      <c r="BM13" s="164">
        <f>MAX($BE13-Z13-VLOOKUP($BD13,'EE Avoided Generation'!$A$53:$K$57,'Mass Equivalents - AoIC, PR, GU'!BM$8-2018,0),0)+'Mass Equivalents - AoIC, PR, GU'!Z13+'Mass Equivalents - AoIC, PR, GU'!$T13+VLOOKUP($BD13,'EE Avoided Generation'!$A$53:$K$57,'Mass Equivalents - AoIC, PR, GU'!BM$8-2018,0)</f>
        <v>3090433</v>
      </c>
      <c r="BN13" s="164">
        <f>MAX($BE13-AA13-VLOOKUP($BD13,'EE Avoided Generation'!$A$53:$K$57,'Mass Equivalents - AoIC, PR, GU'!BN$8-2018,0),0)+'Mass Equivalents - AoIC, PR, GU'!AA13+'Mass Equivalents - AoIC, PR, GU'!$T13+VLOOKUP($BD13,'EE Avoided Generation'!$A$53:$K$57,'Mass Equivalents - AoIC, PR, GU'!BN$8-2018,0)</f>
        <v>3090433</v>
      </c>
      <c r="BO13" s="164">
        <f>MAX($BE13-AB13-VLOOKUP($BD13,'EE Avoided Generation'!$A$53:$K$57,'Mass Equivalents - AoIC, PR, GU'!BO$8-2018,0),0)+'Mass Equivalents - AoIC, PR, GU'!AB13+'Mass Equivalents - AoIC, PR, GU'!$T13+VLOOKUP($BD13,'EE Avoided Generation'!$A$53:$K$57,'Mass Equivalents - AoIC, PR, GU'!BO$8-2018,0)</f>
        <v>3090433</v>
      </c>
      <c r="BP13" s="164">
        <f>MAX($BE13-AC13-VLOOKUP($BD13,'EE Avoided Generation'!$A$53:$K$57,'Mass Equivalents - AoIC, PR, GU'!BP$8-2018,0),0)+'Mass Equivalents - AoIC, PR, GU'!AC13+'Mass Equivalents - AoIC, PR, GU'!$T13+VLOOKUP($BD13,'EE Avoided Generation'!$A$53:$K$57,'Mass Equivalents - AoIC, PR, GU'!BP$8-2018,0)</f>
        <v>3090433</v>
      </c>
      <c r="BQ13" s="165">
        <f>MAX($BE13-AD13-VLOOKUP($BD13,'EE Avoided Generation'!$A$53:$K$57,'Mass Equivalents - AoIC, PR, GU'!BQ$8-2018,0),0)+'Mass Equivalents - AoIC, PR, GU'!AD13+'Mass Equivalents - AoIC, PR, GU'!$T13+VLOOKUP($BD13,'EE Avoided Generation'!$A$53:$K$57,'Mass Equivalents - AoIC, PR, GU'!BQ$8-2018,0)</f>
        <v>3090433</v>
      </c>
      <c r="BS13" s="45">
        <f>BH13*AQ13/2204.62*10^-3</f>
        <v>2821.2391881648496</v>
      </c>
      <c r="BT13" s="50">
        <f t="shared" si="26"/>
        <v>2818.1970509061134</v>
      </c>
      <c r="BU13" s="50">
        <f t="shared" si="27"/>
        <v>2814.5573361866791</v>
      </c>
      <c r="BV13" s="50">
        <f t="shared" si="28"/>
        <v>2810.3898059420308</v>
      </c>
      <c r="BW13" s="50">
        <f t="shared" si="29"/>
        <v>2805.7647432113486</v>
      </c>
      <c r="BX13" s="50">
        <f t="shared" si="30"/>
        <v>2801.1502278407247</v>
      </c>
      <c r="BY13" s="50">
        <f t="shared" si="31"/>
        <v>2796.9625072823283</v>
      </c>
      <c r="BZ13" s="50">
        <f t="shared" si="32"/>
        <v>2793.1813372716747</v>
      </c>
      <c r="CA13" s="50">
        <f t="shared" si="33"/>
        <v>2789.7878084916524</v>
      </c>
      <c r="CB13" s="50">
        <f t="shared" si="34"/>
        <v>2786.7642483788209</v>
      </c>
      <c r="CC13" s="169">
        <f t="shared" si="35"/>
        <v>2803.7994253676225</v>
      </c>
      <c r="CD13" s="170">
        <f t="shared" si="36"/>
        <v>2786.7642483788209</v>
      </c>
      <c r="CG13" s="45">
        <f>BH13+VLOOKUP($BD13,'Incremental Demand for New Gen'!$AG$54:$AQ$58,'Mass Equivalents - AoIC, PR, GU'!BH$8-2018,0)</f>
        <v>3134820.7722662059</v>
      </c>
      <c r="CH13" s="50">
        <f>BI13+VLOOKUP($BD13,'Incremental Demand for New Gen'!$AG$54:$AQ$58,'Mass Equivalents - AoIC, PR, GU'!BI$8-2018,0)</f>
        <v>3140636.6600320195</v>
      </c>
      <c r="CI13" s="50">
        <f>BJ13+VLOOKUP($BD13,'Incremental Demand for New Gen'!$AG$54:$AQ$58,'Mass Equivalents - AoIC, PR, GU'!BJ$8-2018,0)</f>
        <v>3146514.0822485057</v>
      </c>
      <c r="CJ13" s="50">
        <f>BK13+VLOOKUP($BD13,'Incremental Demand for New Gen'!$AG$54:$AQ$58,'Mass Equivalents - AoIC, PR, GU'!BK$8-2018,0)</f>
        <v>3152453.6899751024</v>
      </c>
      <c r="CK13" s="50">
        <f>BL13+VLOOKUP($BD13,'Incremental Demand for New Gen'!$AG$54:$AQ$58,'Mass Equivalents - AoIC, PR, GU'!BL$8-2018,0)</f>
        <v>3158456.1411597207</v>
      </c>
      <c r="CL13" s="50">
        <f>BM13+VLOOKUP($BD13,'Incremental Demand for New Gen'!$AG$54:$AQ$58,'Mass Equivalents - AoIC, PR, GU'!BM$8-2018,0)</f>
        <v>3164522.1007116265</v>
      </c>
      <c r="CM13" s="50">
        <f>BN13+VLOOKUP($BD13,'Incremental Demand for New Gen'!$AG$54:$AQ$58,'Mass Equivalents - AoIC, PR, GU'!BN$8-2018,0)</f>
        <v>3170652.2405750956</v>
      </c>
      <c r="CN13" s="50">
        <f>BO13+VLOOKUP($BD13,'Incremental Demand for New Gen'!$AG$54:$AQ$58,'Mass Equivalents - AoIC, PR, GU'!BO$8-2018,0)</f>
        <v>3176847.2398038479</v>
      </c>
      <c r="CO13" s="50">
        <f>BP13+VLOOKUP($BD13,'Incremental Demand for New Gen'!$AG$54:$AQ$58,'Mass Equivalents - AoIC, PR, GU'!BP$8-2018,0)</f>
        <v>3183107.7846362647</v>
      </c>
      <c r="CP13" s="46">
        <f>BQ13+VLOOKUP($BD13,'Incremental Demand for New Gen'!$AG$54:$AQ$58,'Mass Equivalents - AoIC, PR, GU'!BQ$8-2018,0)</f>
        <v>3189434.5685714101</v>
      </c>
      <c r="CR13" s="45">
        <f>CG13*AQ13/2204.62*10^-3</f>
        <v>2861.7605398954183</v>
      </c>
      <c r="CS13" s="50">
        <f t="shared" si="37"/>
        <v>2863.978275299889</v>
      </c>
      <c r="CT13" s="50">
        <f t="shared" si="38"/>
        <v>2865.6321925138727</v>
      </c>
      <c r="CU13" s="50">
        <f t="shared" si="39"/>
        <v>2866.7904186922569</v>
      </c>
      <c r="CV13" s="50">
        <f t="shared" si="40"/>
        <v>2867.5220863371928</v>
      </c>
      <c r="CW13" s="50">
        <f t="shared" si="41"/>
        <v>2868.3041513649964</v>
      </c>
      <c r="CX13" s="50">
        <f t="shared" si="42"/>
        <v>2869.5640515485215</v>
      </c>
      <c r="CY13" s="50">
        <f t="shared" si="43"/>
        <v>2871.2838691481552</v>
      </c>
      <c r="CZ13" s="50">
        <f t="shared" si="44"/>
        <v>2873.4469540977348</v>
      </c>
      <c r="DA13" s="50">
        <f t="shared" si="45"/>
        <v>2876.0378329633209</v>
      </c>
      <c r="DB13" s="169">
        <f>AVERAGE(CR13:DA13)</f>
        <v>2868.4320371861354</v>
      </c>
      <c r="DC13" s="170">
        <f>DA13</f>
        <v>2876.0378329633209</v>
      </c>
    </row>
    <row r="14" spans="1:107" ht="15.75" thickBot="1" x14ac:dyDescent="0.3">
      <c r="A14" s="108" t="s">
        <v>190</v>
      </c>
      <c r="B14" s="109">
        <v>0</v>
      </c>
      <c r="C14" s="109">
        <v>858.0739538294863</v>
      </c>
      <c r="D14" s="109">
        <v>0</v>
      </c>
      <c r="E14" s="109">
        <v>0</v>
      </c>
      <c r="F14" s="109">
        <v>0</v>
      </c>
      <c r="G14" s="109">
        <v>1360092.9998999999</v>
      </c>
      <c r="H14" s="109">
        <v>0</v>
      </c>
      <c r="I14" s="109">
        <v>0</v>
      </c>
      <c r="J14" s="109">
        <v>708</v>
      </c>
      <c r="K14" s="109">
        <v>0</v>
      </c>
      <c r="L14" s="110">
        <v>0</v>
      </c>
      <c r="M14" s="111">
        <v>0</v>
      </c>
      <c r="N14" s="111">
        <v>0</v>
      </c>
      <c r="O14" s="111">
        <v>1360092.9998999999</v>
      </c>
      <c r="P14" s="111">
        <v>0</v>
      </c>
      <c r="Q14" s="111">
        <v>0</v>
      </c>
      <c r="R14" s="112">
        <v>0.2186970982005032</v>
      </c>
      <c r="S14" s="112">
        <v>0.2186970982005032</v>
      </c>
      <c r="T14" s="113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5">
        <v>1.1295297775791083E-2</v>
      </c>
      <c r="AF14" s="115">
        <v>1.8350025977033124E-2</v>
      </c>
      <c r="AG14" s="115">
        <v>2.679855874941886E-2</v>
      </c>
      <c r="AH14" s="115">
        <v>3.6485927791940306E-2</v>
      </c>
      <c r="AI14" s="115">
        <v>4.7256540094728988E-2</v>
      </c>
      <c r="AJ14" s="115">
        <v>5.8015197609317122E-2</v>
      </c>
      <c r="AK14" s="115">
        <v>6.7778525434371892E-2</v>
      </c>
      <c r="AL14" s="115">
        <v>7.6591304439002333E-2</v>
      </c>
      <c r="AM14" s="115">
        <v>8.4496089259891174E-2</v>
      </c>
      <c r="AN14" s="115">
        <v>9.1533317031489064E-2</v>
      </c>
      <c r="AO14" s="116">
        <v>26.35593975560413</v>
      </c>
      <c r="AP14" s="117">
        <v>51604.799999999996</v>
      </c>
      <c r="AQ14" s="118">
        <f t="shared" si="25"/>
        <v>857.70636880198776</v>
      </c>
      <c r="AR14" s="118">
        <f t="shared" si="25"/>
        <v>857.47694517168406</v>
      </c>
      <c r="AS14" s="118">
        <f t="shared" si="25"/>
        <v>857.202355703884</v>
      </c>
      <c r="AT14" s="118">
        <f t="shared" si="25"/>
        <v>856.88771863098145</v>
      </c>
      <c r="AU14" s="118">
        <f t="shared" si="25"/>
        <v>856.53816983768263</v>
      </c>
      <c r="AV14" s="118">
        <f t="shared" si="25"/>
        <v>856.18929361548192</v>
      </c>
      <c r="AW14" s="118">
        <f t="shared" si="25"/>
        <v>855.87293932101943</v>
      </c>
      <c r="AX14" s="118">
        <f t="shared" si="25"/>
        <v>855.5875856765598</v>
      </c>
      <c r="AY14" s="118">
        <f t="shared" si="25"/>
        <v>855.33179428946312</v>
      </c>
      <c r="AZ14" s="118">
        <f t="shared" si="25"/>
        <v>855.10420488460113</v>
      </c>
      <c r="BA14" s="119">
        <f>AVERAGE(AQ14:AZ14)</f>
        <v>856.38973759333453</v>
      </c>
      <c r="BB14" s="119">
        <f>AZ14</f>
        <v>855.10420488460113</v>
      </c>
      <c r="BD14" s="61" t="s">
        <v>190</v>
      </c>
      <c r="BE14" s="151">
        <f t="shared" si="5"/>
        <v>1360092.9998999999</v>
      </c>
      <c r="BF14" s="48">
        <f t="shared" si="6"/>
        <v>529.37031234407755</v>
      </c>
      <c r="BH14" s="152">
        <f>MAX($BE14-U14-VLOOKUP($BD14,'EE Avoided Generation'!$A$53:$K$57,'Mass Equivalents - AoIC, PR, GU'!BH$8-2018,0),0)+'Mass Equivalents - AoIC, PR, GU'!U14+'Mass Equivalents - AoIC, PR, GU'!$T14+VLOOKUP($BD14,'EE Avoided Generation'!$A$53:$K$57,'Mass Equivalents - AoIC, PR, GU'!BH$8-2018,0)</f>
        <v>1360092.9998999999</v>
      </c>
      <c r="BI14" s="186">
        <f>MAX($BE14-V14-VLOOKUP($BD14,'EE Avoided Generation'!$A$53:$K$57,'Mass Equivalents - AoIC, PR, GU'!BI$8-2018,0),0)+'Mass Equivalents - AoIC, PR, GU'!V14+'Mass Equivalents - AoIC, PR, GU'!$T14+VLOOKUP($BD14,'EE Avoided Generation'!$A$53:$K$57,'Mass Equivalents - AoIC, PR, GU'!BI$8-2018,0)</f>
        <v>1360092.9998999999</v>
      </c>
      <c r="BJ14" s="186">
        <f>MAX($BE14-W14-VLOOKUP($BD14,'EE Avoided Generation'!$A$53:$K$57,'Mass Equivalents - AoIC, PR, GU'!BJ$8-2018,0),0)+'Mass Equivalents - AoIC, PR, GU'!W14+'Mass Equivalents - AoIC, PR, GU'!$T14+VLOOKUP($BD14,'EE Avoided Generation'!$A$53:$K$57,'Mass Equivalents - AoIC, PR, GU'!BJ$8-2018,0)</f>
        <v>1360092.9998999999</v>
      </c>
      <c r="BK14" s="186">
        <f>MAX($BE14-X14-VLOOKUP($BD14,'EE Avoided Generation'!$A$53:$K$57,'Mass Equivalents - AoIC, PR, GU'!BK$8-2018,0),0)+'Mass Equivalents - AoIC, PR, GU'!X14+'Mass Equivalents - AoIC, PR, GU'!$T14+VLOOKUP($BD14,'EE Avoided Generation'!$A$53:$K$57,'Mass Equivalents - AoIC, PR, GU'!BK$8-2018,0)</f>
        <v>1360092.9998999999</v>
      </c>
      <c r="BL14" s="186">
        <f>MAX($BE14-Y14-VLOOKUP($BD14,'EE Avoided Generation'!$A$53:$K$57,'Mass Equivalents - AoIC, PR, GU'!BL$8-2018,0),0)+'Mass Equivalents - AoIC, PR, GU'!Y14+'Mass Equivalents - AoIC, PR, GU'!$T14+VLOOKUP($BD14,'EE Avoided Generation'!$A$53:$K$57,'Mass Equivalents - AoIC, PR, GU'!BL$8-2018,0)</f>
        <v>1360092.9998999999</v>
      </c>
      <c r="BM14" s="186">
        <f>MAX($BE14-Z14-VLOOKUP($BD14,'EE Avoided Generation'!$A$53:$K$57,'Mass Equivalents - AoIC, PR, GU'!BM$8-2018,0),0)+'Mass Equivalents - AoIC, PR, GU'!Z14+'Mass Equivalents - AoIC, PR, GU'!$T14+VLOOKUP($BD14,'EE Avoided Generation'!$A$53:$K$57,'Mass Equivalents - AoIC, PR, GU'!BM$8-2018,0)</f>
        <v>1360092.9998999999</v>
      </c>
      <c r="BN14" s="186">
        <f>MAX($BE14-AA14-VLOOKUP($BD14,'EE Avoided Generation'!$A$53:$K$57,'Mass Equivalents - AoIC, PR, GU'!BN$8-2018,0),0)+'Mass Equivalents - AoIC, PR, GU'!AA14+'Mass Equivalents - AoIC, PR, GU'!$T14+VLOOKUP($BD14,'EE Avoided Generation'!$A$53:$K$57,'Mass Equivalents - AoIC, PR, GU'!BN$8-2018,0)</f>
        <v>1360092.9998999999</v>
      </c>
      <c r="BO14" s="186">
        <f>MAX($BE14-AB14-VLOOKUP($BD14,'EE Avoided Generation'!$A$53:$K$57,'Mass Equivalents - AoIC, PR, GU'!BO$8-2018,0),0)+'Mass Equivalents - AoIC, PR, GU'!AB14+'Mass Equivalents - AoIC, PR, GU'!$T14+VLOOKUP($BD14,'EE Avoided Generation'!$A$53:$K$57,'Mass Equivalents - AoIC, PR, GU'!BO$8-2018,0)</f>
        <v>1360092.9998999999</v>
      </c>
      <c r="BP14" s="186">
        <f>MAX($BE14-AC14-VLOOKUP($BD14,'EE Avoided Generation'!$A$53:$K$57,'Mass Equivalents - AoIC, PR, GU'!BP$8-2018,0),0)+'Mass Equivalents - AoIC, PR, GU'!AC14+'Mass Equivalents - AoIC, PR, GU'!$T14+VLOOKUP($BD14,'EE Avoided Generation'!$A$53:$K$57,'Mass Equivalents - AoIC, PR, GU'!BP$8-2018,0)</f>
        <v>1360092.9998999999</v>
      </c>
      <c r="BQ14" s="187">
        <f>MAX($BE14-AD14-VLOOKUP($BD14,'EE Avoided Generation'!$A$53:$K$57,'Mass Equivalents - AoIC, PR, GU'!BQ$8-2018,0),0)+'Mass Equivalents - AoIC, PR, GU'!AD14+'Mass Equivalents - AoIC, PR, GU'!$T14+VLOOKUP($BD14,'EE Avoided Generation'!$A$53:$K$57,'Mass Equivalents - AoIC, PR, GU'!BQ$8-2018,0)</f>
        <v>1360092.9998999999</v>
      </c>
      <c r="BS14" s="181">
        <f>BH14*AQ14/2204.62*10^-3</f>
        <v>529.14353864939608</v>
      </c>
      <c r="BT14" s="182">
        <f t="shared" si="26"/>
        <v>529.00200066389846</v>
      </c>
      <c r="BU14" s="182">
        <f t="shared" si="27"/>
        <v>528.83259858417432</v>
      </c>
      <c r="BV14" s="182">
        <f t="shared" si="28"/>
        <v>528.63848999386687</v>
      </c>
      <c r="BW14" s="182">
        <f t="shared" si="29"/>
        <v>528.42284336683394</v>
      </c>
      <c r="BX14" s="182">
        <f t="shared" si="30"/>
        <v>528.20761166810735</v>
      </c>
      <c r="BY14" s="182">
        <f t="shared" si="31"/>
        <v>528.01244367480842</v>
      </c>
      <c r="BZ14" s="182">
        <f t="shared" si="32"/>
        <v>527.83640086728349</v>
      </c>
      <c r="CA14" s="182">
        <f t="shared" si="33"/>
        <v>527.67859586006011</v>
      </c>
      <c r="CB14" s="182">
        <f t="shared" si="34"/>
        <v>527.538189460588</v>
      </c>
      <c r="CC14" s="190">
        <f t="shared" si="35"/>
        <v>528.3312712789018</v>
      </c>
      <c r="CD14" s="191">
        <f t="shared" si="36"/>
        <v>527.538189460588</v>
      </c>
      <c r="CG14" s="45">
        <f>BH14+VLOOKUP($BD14,'Incremental Demand for New Gen'!$AG$54:$AQ$58,'Mass Equivalents - AoIC, PR, GU'!BH$8-2018,0)</f>
        <v>1365749.4183069435</v>
      </c>
      <c r="CH14" s="50">
        <f>BI14+VLOOKUP($BD14,'Incremental Demand for New Gen'!$AG$54:$AQ$58,'Mass Equivalents - AoIC, PR, GU'!BI$8-2018,0)</f>
        <v>1366498.7381936524</v>
      </c>
      <c r="CI14" s="50">
        <f>BJ14+VLOOKUP($BD14,'Incremental Demand for New Gen'!$AG$54:$AQ$58,'Mass Equivalents - AoIC, PR, GU'!BJ$8-2018,0)</f>
        <v>1367257.8636749368</v>
      </c>
      <c r="CJ14" s="50">
        <f>BK14+VLOOKUP($BD14,'Incremental Demand for New Gen'!$AG$54:$AQ$58,'Mass Equivalents - AoIC, PR, GU'!BK$8-2018,0)</f>
        <v>1368026.9230667364</v>
      </c>
      <c r="CK14" s="50">
        <f>BL14+VLOOKUP($BD14,'Incremental Demand for New Gen'!$AG$54:$AQ$58,'Mass Equivalents - AoIC, PR, GU'!BL$8-2018,0)</f>
        <v>1368806.0463641314</v>
      </c>
      <c r="CL14" s="50">
        <f>BM14+VLOOKUP($BD14,'Incremental Demand for New Gen'!$AG$54:$AQ$58,'Mass Equivalents - AoIC, PR, GU'!BM$8-2018,0)</f>
        <v>1369595.3652633175</v>
      </c>
      <c r="CM14" s="50">
        <f>BN14+VLOOKUP($BD14,'Incremental Demand for New Gen'!$AG$54:$AQ$58,'Mass Equivalents - AoIC, PR, GU'!BN$8-2018,0)</f>
        <v>1370395.013183865</v>
      </c>
      <c r="CN14" s="50">
        <f>BO14+VLOOKUP($BD14,'Incremental Demand for New Gen'!$AG$54:$AQ$58,'Mass Equivalents - AoIC, PR, GU'!BO$8-2018,0)</f>
        <v>1371205.1252912723</v>
      </c>
      <c r="CO14" s="50">
        <f>BP14+VLOOKUP($BD14,'Incremental Demand for New Gen'!$AG$54:$AQ$58,'Mass Equivalents - AoIC, PR, GU'!BP$8-2018,0)</f>
        <v>1372025.8385198123</v>
      </c>
      <c r="CP14" s="46">
        <f>BQ14+VLOOKUP($BD14,'Incremental Demand for New Gen'!$AG$54:$AQ$58,'Mass Equivalents - AoIC, PR, GU'!BQ$8-2018,0)</f>
        <v>1372857.2915956792</v>
      </c>
      <c r="CR14" s="181">
        <f>CG14*AQ14/2204.62*10^-3</f>
        <v>531.34416555663813</v>
      </c>
      <c r="CS14" s="182">
        <f t="shared" si="37"/>
        <v>531.49348350611626</v>
      </c>
      <c r="CT14" s="182">
        <f t="shared" si="38"/>
        <v>531.61844744074529</v>
      </c>
      <c r="CU14" s="182">
        <f t="shared" si="39"/>
        <v>531.72223291651937</v>
      </c>
      <c r="CV14" s="182">
        <f t="shared" si="40"/>
        <v>531.80803304673248</v>
      </c>
      <c r="CW14" s="182">
        <f t="shared" si="41"/>
        <v>531.89796351472717</v>
      </c>
      <c r="CX14" s="182">
        <f t="shared" si="42"/>
        <v>532.01186960317057</v>
      </c>
      <c r="CY14" s="182">
        <f t="shared" si="43"/>
        <v>532.14888852286765</v>
      </c>
      <c r="CZ14" s="182">
        <f t="shared" si="44"/>
        <v>532.30820834096403</v>
      </c>
      <c r="DA14" s="182">
        <f t="shared" si="45"/>
        <v>532.48906512231156</v>
      </c>
      <c r="DB14" s="190">
        <f>AVERAGE(CR14:DA14)</f>
        <v>531.88423575707918</v>
      </c>
      <c r="DC14" s="191">
        <f>DA14</f>
        <v>532.48906512231156</v>
      </c>
    </row>
    <row r="15" spans="1:107" x14ac:dyDescent="0.2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E15" s="49"/>
      <c r="BF15" s="124"/>
      <c r="BH15" s="49"/>
      <c r="BI15" s="34"/>
      <c r="BJ15" s="34"/>
      <c r="BK15" s="34"/>
      <c r="BL15" s="34"/>
      <c r="BM15" s="34"/>
      <c r="BN15" s="34"/>
      <c r="BO15" s="34"/>
      <c r="BP15" s="34"/>
      <c r="BQ15" s="124"/>
      <c r="BS15" s="49"/>
      <c r="BT15" s="34"/>
      <c r="BU15" s="34"/>
      <c r="BV15" s="34"/>
      <c r="BW15" s="34"/>
      <c r="BX15" s="34"/>
      <c r="BY15" s="34"/>
      <c r="BZ15" s="34"/>
      <c r="CA15" s="34"/>
      <c r="CB15" s="34"/>
      <c r="CC15" s="171"/>
      <c r="CD15" s="172"/>
      <c r="CG15" s="162"/>
      <c r="CH15" s="138"/>
      <c r="CI15" s="138"/>
      <c r="CJ15" s="138"/>
      <c r="CK15" s="138"/>
      <c r="CL15" s="138"/>
      <c r="CM15" s="138"/>
      <c r="CN15" s="138"/>
      <c r="CO15" s="138"/>
      <c r="CP15" s="163"/>
      <c r="CR15" s="49"/>
      <c r="CS15" s="34"/>
      <c r="CT15" s="34"/>
      <c r="CU15" s="34"/>
      <c r="CV15" s="34"/>
      <c r="CW15" s="34"/>
      <c r="CX15" s="34"/>
      <c r="CY15" s="34"/>
      <c r="CZ15" s="34"/>
      <c r="DA15" s="34"/>
      <c r="DB15" s="171"/>
      <c r="DC15" s="172"/>
    </row>
    <row r="16" spans="1:107" ht="20.25" thickBot="1" x14ac:dyDescent="0.35">
      <c r="A16" s="95" t="s">
        <v>191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E16" s="49"/>
      <c r="BF16" s="124"/>
      <c r="BH16" s="49"/>
      <c r="BI16" s="34"/>
      <c r="BJ16" s="34"/>
      <c r="BK16" s="34"/>
      <c r="BL16" s="34"/>
      <c r="BM16" s="34"/>
      <c r="BN16" s="34"/>
      <c r="BO16" s="34"/>
      <c r="BP16" s="34"/>
      <c r="BQ16" s="124"/>
      <c r="BS16" s="49"/>
      <c r="BT16" s="34"/>
      <c r="BU16" s="34"/>
      <c r="BV16" s="34"/>
      <c r="BW16" s="34"/>
      <c r="BX16" s="34"/>
      <c r="BY16" s="34"/>
      <c r="BZ16" s="34"/>
      <c r="CA16" s="34"/>
      <c r="CB16" s="34"/>
      <c r="CC16" s="171"/>
      <c r="CD16" s="172"/>
      <c r="CG16" s="49"/>
      <c r="CH16" s="34"/>
      <c r="CI16" s="34"/>
      <c r="CJ16" s="34"/>
      <c r="CK16" s="34"/>
      <c r="CL16" s="34"/>
      <c r="CM16" s="34"/>
      <c r="CN16" s="34"/>
      <c r="CO16" s="34"/>
      <c r="CP16" s="124"/>
      <c r="CR16" s="49"/>
      <c r="CS16" s="34"/>
      <c r="CT16" s="34"/>
      <c r="CU16" s="34"/>
      <c r="CV16" s="34"/>
      <c r="CW16" s="34"/>
      <c r="CX16" s="34"/>
      <c r="CY16" s="34"/>
      <c r="CZ16" s="34"/>
      <c r="DA16" s="34"/>
      <c r="DB16" s="171"/>
      <c r="DC16" s="172"/>
    </row>
    <row r="17" spans="1:107" ht="15.75" customHeight="1" thickTop="1" thickBot="1" x14ac:dyDescent="0.3">
      <c r="A17" s="96"/>
      <c r="B17" s="217"/>
      <c r="C17" s="218"/>
      <c r="D17" s="218"/>
      <c r="E17" s="218"/>
      <c r="F17" s="218"/>
      <c r="G17" s="218"/>
      <c r="H17" s="218"/>
      <c r="I17" s="218"/>
      <c r="J17" s="218"/>
      <c r="K17" s="219"/>
      <c r="L17" s="97" t="s">
        <v>0</v>
      </c>
      <c r="M17" s="220" t="s">
        <v>1</v>
      </c>
      <c r="N17" s="221"/>
      <c r="O17" s="221"/>
      <c r="P17" s="221"/>
      <c r="Q17" s="221"/>
      <c r="R17" s="221"/>
      <c r="S17" s="222"/>
      <c r="T17" s="98" t="s">
        <v>2</v>
      </c>
      <c r="U17" s="223" t="s">
        <v>3</v>
      </c>
      <c r="V17" s="224"/>
      <c r="W17" s="224"/>
      <c r="X17" s="224"/>
      <c r="Y17" s="224"/>
      <c r="Z17" s="224"/>
      <c r="AA17" s="224"/>
      <c r="AB17" s="224"/>
      <c r="AC17" s="224"/>
      <c r="AD17" s="231"/>
      <c r="AE17" s="225" t="s">
        <v>181</v>
      </c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7"/>
      <c r="AQ17" s="228" t="s">
        <v>4</v>
      </c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30"/>
      <c r="BE17" s="49"/>
      <c r="BF17" s="124"/>
      <c r="BH17" s="49"/>
      <c r="BI17" s="34"/>
      <c r="BJ17" s="34"/>
      <c r="BK17" s="34"/>
      <c r="BL17" s="34"/>
      <c r="BM17" s="34"/>
      <c r="BN17" s="34"/>
      <c r="BO17" s="34"/>
      <c r="BP17" s="34"/>
      <c r="BQ17" s="124"/>
      <c r="BS17" s="49"/>
      <c r="BT17" s="34"/>
      <c r="BU17" s="34"/>
      <c r="BV17" s="34"/>
      <c r="BW17" s="34"/>
      <c r="BX17" s="34"/>
      <c r="BY17" s="34"/>
      <c r="BZ17" s="34"/>
      <c r="CA17" s="34"/>
      <c r="CB17" s="34"/>
      <c r="CC17" s="171"/>
      <c r="CD17" s="172"/>
      <c r="CG17" s="49"/>
      <c r="CH17" s="34"/>
      <c r="CI17" s="34"/>
      <c r="CJ17" s="34"/>
      <c r="CK17" s="34"/>
      <c r="CL17" s="34"/>
      <c r="CM17" s="34"/>
      <c r="CN17" s="34"/>
      <c r="CO17" s="34"/>
      <c r="CP17" s="124"/>
      <c r="CR17" s="49"/>
      <c r="CS17" s="34"/>
      <c r="CT17" s="34"/>
      <c r="CU17" s="34"/>
      <c r="CV17" s="34"/>
      <c r="CW17" s="34"/>
      <c r="CX17" s="34"/>
      <c r="CY17" s="34"/>
      <c r="CZ17" s="34"/>
      <c r="DA17" s="34"/>
      <c r="DB17" s="171"/>
      <c r="DC17" s="172"/>
    </row>
    <row r="18" spans="1:107" ht="102.75" x14ac:dyDescent="0.25">
      <c r="A18" s="168" t="s">
        <v>200</v>
      </c>
      <c r="B18" s="99" t="s">
        <v>6</v>
      </c>
      <c r="C18" s="99" t="s">
        <v>7</v>
      </c>
      <c r="D18" s="99" t="s">
        <v>95</v>
      </c>
      <c r="E18" s="99" t="s">
        <v>8</v>
      </c>
      <c r="F18" s="99" t="s">
        <v>9</v>
      </c>
      <c r="G18" s="99" t="s">
        <v>10</v>
      </c>
      <c r="H18" s="99" t="s">
        <v>11</v>
      </c>
      <c r="I18" s="99" t="s">
        <v>12</v>
      </c>
      <c r="J18" s="99" t="s">
        <v>13</v>
      </c>
      <c r="K18" s="99" t="s">
        <v>14</v>
      </c>
      <c r="L18" s="100" t="s">
        <v>15</v>
      </c>
      <c r="M18" s="101" t="s">
        <v>16</v>
      </c>
      <c r="N18" s="101" t="s">
        <v>182</v>
      </c>
      <c r="O18" s="101" t="s">
        <v>17</v>
      </c>
      <c r="P18" s="101" t="s">
        <v>8</v>
      </c>
      <c r="Q18" s="101" t="s">
        <v>12</v>
      </c>
      <c r="R18" s="101" t="s">
        <v>18</v>
      </c>
      <c r="S18" s="101" t="s">
        <v>183</v>
      </c>
      <c r="T18" s="102" t="s">
        <v>20</v>
      </c>
      <c r="U18" s="103" t="s">
        <v>21</v>
      </c>
      <c r="V18" s="103" t="s">
        <v>22</v>
      </c>
      <c r="W18" s="103" t="s">
        <v>23</v>
      </c>
      <c r="X18" s="103" t="s">
        <v>24</v>
      </c>
      <c r="Y18" s="103" t="s">
        <v>25</v>
      </c>
      <c r="Z18" s="103" t="s">
        <v>26</v>
      </c>
      <c r="AA18" s="103" t="s">
        <v>27</v>
      </c>
      <c r="AB18" s="103" t="s">
        <v>28</v>
      </c>
      <c r="AC18" s="103" t="s">
        <v>29</v>
      </c>
      <c r="AD18" s="103" t="s">
        <v>30</v>
      </c>
      <c r="AE18" s="104" t="s">
        <v>31</v>
      </c>
      <c r="AF18" s="104" t="s">
        <v>32</v>
      </c>
      <c r="AG18" s="104" t="s">
        <v>33</v>
      </c>
      <c r="AH18" s="104" t="s">
        <v>34</v>
      </c>
      <c r="AI18" s="104" t="s">
        <v>35</v>
      </c>
      <c r="AJ18" s="104" t="s">
        <v>36</v>
      </c>
      <c r="AK18" s="104" t="s">
        <v>37</v>
      </c>
      <c r="AL18" s="104" t="s">
        <v>38</v>
      </c>
      <c r="AM18" s="104" t="s">
        <v>39</v>
      </c>
      <c r="AN18" s="104" t="s">
        <v>40</v>
      </c>
      <c r="AO18" s="104" t="s">
        <v>41</v>
      </c>
      <c r="AP18" s="105" t="s">
        <v>184</v>
      </c>
      <c r="AQ18" s="106">
        <v>2020</v>
      </c>
      <c r="AR18" s="106">
        <v>2021</v>
      </c>
      <c r="AS18" s="106">
        <v>2022</v>
      </c>
      <c r="AT18" s="106">
        <v>2023</v>
      </c>
      <c r="AU18" s="106">
        <v>2024</v>
      </c>
      <c r="AV18" s="106">
        <v>2025</v>
      </c>
      <c r="AW18" s="106">
        <v>2026</v>
      </c>
      <c r="AX18" s="106">
        <v>2027</v>
      </c>
      <c r="AY18" s="106">
        <v>2028</v>
      </c>
      <c r="AZ18" s="106">
        <v>2029</v>
      </c>
      <c r="BA18" s="107" t="s">
        <v>93</v>
      </c>
      <c r="BB18" s="107" t="s">
        <v>185</v>
      </c>
      <c r="BD18" s="278" t="s">
        <v>202</v>
      </c>
      <c r="BE18" s="279"/>
      <c r="BF18" s="280"/>
      <c r="BG18" s="159"/>
      <c r="BH18" s="312"/>
      <c r="BI18" s="313"/>
      <c r="BJ18" s="313"/>
      <c r="BK18" s="313"/>
      <c r="BL18" s="313"/>
      <c r="BM18" s="313"/>
      <c r="BN18" s="313"/>
      <c r="BO18" s="313"/>
      <c r="BP18" s="313"/>
      <c r="BQ18" s="314"/>
      <c r="BS18" s="317"/>
      <c r="BT18" s="318"/>
      <c r="BU18" s="318"/>
      <c r="BV18" s="318"/>
      <c r="BW18" s="318"/>
      <c r="BX18" s="318"/>
      <c r="BY18" s="318"/>
      <c r="BZ18" s="318"/>
      <c r="CA18" s="318"/>
      <c r="CB18" s="318"/>
      <c r="CC18" s="319"/>
      <c r="CD18" s="320"/>
      <c r="CG18" s="329"/>
      <c r="CH18" s="330"/>
      <c r="CI18" s="330"/>
      <c r="CJ18" s="330"/>
      <c r="CK18" s="330"/>
      <c r="CL18" s="330"/>
      <c r="CM18" s="330"/>
      <c r="CN18" s="330"/>
      <c r="CO18" s="330"/>
      <c r="CP18" s="331"/>
      <c r="CR18" s="324"/>
      <c r="CS18" s="325"/>
      <c r="CT18" s="325"/>
      <c r="CU18" s="325"/>
      <c r="CV18" s="325"/>
      <c r="CW18" s="325"/>
      <c r="CX18" s="325"/>
      <c r="CY18" s="325"/>
      <c r="CZ18" s="325"/>
      <c r="DA18" s="325"/>
      <c r="DB18" s="332"/>
      <c r="DC18" s="333"/>
    </row>
    <row r="19" spans="1:107" x14ac:dyDescent="0.25">
      <c r="A19" s="108" t="s">
        <v>186</v>
      </c>
      <c r="B19" s="109">
        <v>2215.5639697090478</v>
      </c>
      <c r="C19" s="109">
        <v>927.99376193073351</v>
      </c>
      <c r="D19" s="109">
        <v>1792.9453454305308</v>
      </c>
      <c r="E19" s="109">
        <v>0</v>
      </c>
      <c r="F19" s="109">
        <v>3417319.9074880593</v>
      </c>
      <c r="G19" s="109">
        <v>3802792.7985828486</v>
      </c>
      <c r="H19" s="109">
        <v>12763391.454358565</v>
      </c>
      <c r="I19" s="109">
        <v>0</v>
      </c>
      <c r="J19" s="109">
        <v>1080</v>
      </c>
      <c r="K19" s="109">
        <v>0</v>
      </c>
      <c r="L19" s="110">
        <v>2082.630131526505</v>
      </c>
      <c r="M19" s="111">
        <v>2817961.1878736829</v>
      </c>
      <c r="N19" s="111">
        <v>10524838.97255579</v>
      </c>
      <c r="O19" s="111">
        <v>6640704</v>
      </c>
      <c r="P19" s="111">
        <v>0</v>
      </c>
      <c r="Q19" s="111">
        <v>0</v>
      </c>
      <c r="R19" s="112">
        <v>0.40085433095768069</v>
      </c>
      <c r="S19" s="112">
        <v>0.7</v>
      </c>
      <c r="T19" s="113">
        <v>0</v>
      </c>
      <c r="U19" s="114">
        <v>101092.36598262208</v>
      </c>
      <c r="V19" s="114">
        <v>109847.2015994996</v>
      </c>
      <c r="W19" s="114">
        <v>119360.22648154601</v>
      </c>
      <c r="X19" s="114">
        <v>129697.10159453763</v>
      </c>
      <c r="Y19" s="114">
        <v>140929.17429764193</v>
      </c>
      <c r="Z19" s="114">
        <v>153133.97079840075</v>
      </c>
      <c r="AA19" s="114">
        <v>166395.73125546813</v>
      </c>
      <c r="AB19" s="114">
        <v>180805.99122249841</v>
      </c>
      <c r="AC19" s="114">
        <v>196464.21344643648</v>
      </c>
      <c r="AD19" s="114">
        <v>213478.47438101945</v>
      </c>
      <c r="AE19" s="115">
        <v>1.1536048E-2</v>
      </c>
      <c r="AF19" s="115">
        <v>1.8814460690792244E-2</v>
      </c>
      <c r="AG19" s="115">
        <v>2.758082181046604E-2</v>
      </c>
      <c r="AH19" s="115">
        <v>3.7687944233580475E-2</v>
      </c>
      <c r="AI19" s="115">
        <v>4.8984245818188561E-2</v>
      </c>
      <c r="AJ19" s="115">
        <v>6.0364342893702905E-2</v>
      </c>
      <c r="AK19" s="115">
        <v>7.0822936601888375E-2</v>
      </c>
      <c r="AL19" s="115">
        <v>8.0382833780419771E-2</v>
      </c>
      <c r="AM19" s="115">
        <v>8.9065771661748366E-2</v>
      </c>
      <c r="AN19" s="115">
        <v>9.6892451922578421E-2</v>
      </c>
      <c r="AO19" s="116">
        <v>1</v>
      </c>
      <c r="AP19" s="117">
        <v>19513419.783</v>
      </c>
      <c r="AQ19" s="118">
        <f t="shared" ref="AQ19:AZ20" si="46">(($L19*$M19)+($N19*$D19)+($C19*$O19)+$P19)/($M19+$N19+$O19+$Q19+$T19+U19+(MIN(AE19*$AP19,$AP19*$AO19*AE19)))</f>
        <v>1521.5270196461461</v>
      </c>
      <c r="AR19" s="118">
        <f t="shared" si="46"/>
        <v>1510.3142744476165</v>
      </c>
      <c r="AS19" s="118">
        <f t="shared" si="46"/>
        <v>1497.1015540721105</v>
      </c>
      <c r="AT19" s="118">
        <f t="shared" si="46"/>
        <v>1482.1969482877594</v>
      </c>
      <c r="AU19" s="118">
        <f t="shared" si="46"/>
        <v>1465.908360945275</v>
      </c>
      <c r="AV19" s="118">
        <f t="shared" si="46"/>
        <v>1449.7964825741369</v>
      </c>
      <c r="AW19" s="118">
        <f t="shared" si="46"/>
        <v>1435.1621213625067</v>
      </c>
      <c r="AX19" s="118">
        <f t="shared" si="46"/>
        <v>1421.891649747387</v>
      </c>
      <c r="AY19" s="118">
        <f t="shared" si="46"/>
        <v>1409.8841005145903</v>
      </c>
      <c r="AZ19" s="118">
        <f t="shared" si="46"/>
        <v>1399.0494160855496</v>
      </c>
      <c r="BA19" s="119">
        <f>AVERAGE(AQ19:AZ19)</f>
        <v>1459.2831927683078</v>
      </c>
      <c r="BB19" s="119">
        <f>AZ19</f>
        <v>1399.0494160855496</v>
      </c>
      <c r="BD19" s="49" t="s">
        <v>186</v>
      </c>
      <c r="BE19" s="156">
        <f t="shared" ref="BE19" si="47">M19+N19+O19+Q19</f>
        <v>19983504.160429474</v>
      </c>
      <c r="BF19" s="157">
        <f t="shared" ref="BF19" si="48">((B19*F19)+(C19*G19)+(D19*H19)+E19)/2204.62*10^-3</f>
        <v>15415.04756148452</v>
      </c>
      <c r="BH19" s="150">
        <f>MAX($BE19-U19-VLOOKUP($BD19,'EE Avoided Generation'!$A$53:$K$57,'Mass Equivalents - AoIC, PR, GU'!BH$8-2018,0),0)+'Mass Equivalents - AoIC, PR, GU'!U19+'Mass Equivalents - AoIC, PR, GU'!$T19+VLOOKUP($BD19,'EE Avoided Generation'!$A$53:$K$57,'Mass Equivalents - AoIC, PR, GU'!BH$8-2018,0)</f>
        <v>19983504.160429474</v>
      </c>
      <c r="BI19" s="164">
        <f>MAX($BE19-V19-VLOOKUP($BD19,'EE Avoided Generation'!$A$53:$K$57,'Mass Equivalents - AoIC, PR, GU'!BI$8-2018,0),0)+'Mass Equivalents - AoIC, PR, GU'!V19+'Mass Equivalents - AoIC, PR, GU'!$T19+VLOOKUP($BD19,'EE Avoided Generation'!$A$53:$K$57,'Mass Equivalents - AoIC, PR, GU'!BI$8-2018,0)</f>
        <v>19983504.160429474</v>
      </c>
      <c r="BJ19" s="164">
        <f>MAX($BE19-W19-VLOOKUP($BD19,'EE Avoided Generation'!$A$53:$K$57,'Mass Equivalents - AoIC, PR, GU'!BJ$8-2018,0),0)+'Mass Equivalents - AoIC, PR, GU'!W19+'Mass Equivalents - AoIC, PR, GU'!$T19+VLOOKUP($BD19,'EE Avoided Generation'!$A$53:$K$57,'Mass Equivalents - AoIC, PR, GU'!BJ$8-2018,0)</f>
        <v>19983504.160429474</v>
      </c>
      <c r="BK19" s="164">
        <f>MAX($BE19-X19-VLOOKUP($BD19,'EE Avoided Generation'!$A$53:$K$57,'Mass Equivalents - AoIC, PR, GU'!BK$8-2018,0),0)+'Mass Equivalents - AoIC, PR, GU'!X19+'Mass Equivalents - AoIC, PR, GU'!$T19+VLOOKUP($BD19,'EE Avoided Generation'!$A$53:$K$57,'Mass Equivalents - AoIC, PR, GU'!BK$8-2018,0)</f>
        <v>19983504.160429474</v>
      </c>
      <c r="BL19" s="164">
        <f>MAX($BE19-Y19-VLOOKUP($BD19,'EE Avoided Generation'!$A$53:$K$57,'Mass Equivalents - AoIC, PR, GU'!BL$8-2018,0),0)+'Mass Equivalents - AoIC, PR, GU'!Y19+'Mass Equivalents - AoIC, PR, GU'!$T19+VLOOKUP($BD19,'EE Avoided Generation'!$A$53:$K$57,'Mass Equivalents - AoIC, PR, GU'!BL$8-2018,0)</f>
        <v>19983504.160429474</v>
      </c>
      <c r="BM19" s="164">
        <f>MAX($BE19-Z19-VLOOKUP($BD19,'EE Avoided Generation'!$A$53:$K$57,'Mass Equivalents - AoIC, PR, GU'!BM$8-2018,0),0)+'Mass Equivalents - AoIC, PR, GU'!Z19+'Mass Equivalents - AoIC, PR, GU'!$T19+VLOOKUP($BD19,'EE Avoided Generation'!$A$53:$K$57,'Mass Equivalents - AoIC, PR, GU'!BM$8-2018,0)</f>
        <v>19983504.160429478</v>
      </c>
      <c r="BN19" s="164">
        <f>MAX($BE19-AA19-VLOOKUP($BD19,'EE Avoided Generation'!$A$53:$K$57,'Mass Equivalents - AoIC, PR, GU'!BN$8-2018,0),0)+'Mass Equivalents - AoIC, PR, GU'!AA19+'Mass Equivalents - AoIC, PR, GU'!$T19+VLOOKUP($BD19,'EE Avoided Generation'!$A$53:$K$57,'Mass Equivalents - AoIC, PR, GU'!BN$8-2018,0)</f>
        <v>19983504.160429474</v>
      </c>
      <c r="BO19" s="164">
        <f>MAX($BE19-AB19-VLOOKUP($BD19,'EE Avoided Generation'!$A$53:$K$57,'Mass Equivalents - AoIC, PR, GU'!BO$8-2018,0),0)+'Mass Equivalents - AoIC, PR, GU'!AB19+'Mass Equivalents - AoIC, PR, GU'!$T19+VLOOKUP($BD19,'EE Avoided Generation'!$A$53:$K$57,'Mass Equivalents - AoIC, PR, GU'!BO$8-2018,0)</f>
        <v>19983504.160429474</v>
      </c>
      <c r="BP19" s="164">
        <f>MAX($BE19-AC19-VLOOKUP($BD19,'EE Avoided Generation'!$A$53:$K$57,'Mass Equivalents - AoIC, PR, GU'!BP$8-2018,0),0)+'Mass Equivalents - AoIC, PR, GU'!AC19+'Mass Equivalents - AoIC, PR, GU'!$T19+VLOOKUP($BD19,'EE Avoided Generation'!$A$53:$K$57,'Mass Equivalents - AoIC, PR, GU'!BP$8-2018,0)</f>
        <v>19983504.160429474</v>
      </c>
      <c r="BQ19" s="165">
        <f>MAX($BE19-AD19-VLOOKUP($BD19,'EE Avoided Generation'!$A$53:$K$57,'Mass Equivalents - AoIC, PR, GU'!BQ$8-2018,0),0)+'Mass Equivalents - AoIC, PR, GU'!AD19+'Mass Equivalents - AoIC, PR, GU'!$T19+VLOOKUP($BD19,'EE Avoided Generation'!$A$53:$K$57,'Mass Equivalents - AoIC, PR, GU'!BQ$8-2018,0)</f>
        <v>19983504.160429474</v>
      </c>
      <c r="BS19" s="196">
        <f>BH19*AQ19/2204.62*10^-3</f>
        <v>13791.692685045322</v>
      </c>
      <c r="BT19" s="197">
        <f t="shared" ref="BT19:BT20" si="49">BI19*AR19/2204.62*10^-3</f>
        <v>13690.056148896394</v>
      </c>
      <c r="BU19" s="197">
        <f t="shared" ref="BU19:BU20" si="50">BJ19*AS19/2204.62*10^-3</f>
        <v>13570.291086166984</v>
      </c>
      <c r="BV19" s="197">
        <f t="shared" ref="BV19:BV20" si="51">BK19*AT19/2204.62*10^-3</f>
        <v>13435.190138293363</v>
      </c>
      <c r="BW19" s="197">
        <f t="shared" ref="BW19:BW20" si="52">BL19*AU19/2204.62*10^-3</f>
        <v>13287.54426148645</v>
      </c>
      <c r="BX19" s="197">
        <f t="shared" ref="BX19:BX20" si="53">BM19*AV19/2204.62*10^-3</f>
        <v>13141.500141201788</v>
      </c>
      <c r="BY19" s="197">
        <f t="shared" ref="BY19:BY20" si="54">BN19*AW19/2204.62*10^-3</f>
        <v>13008.848791691287</v>
      </c>
      <c r="BZ19" s="197">
        <f t="shared" ref="BZ19:BZ20" si="55">BO19*AX19/2204.62*10^-3</f>
        <v>12888.560250023515</v>
      </c>
      <c r="CA19" s="197">
        <f t="shared" ref="CA19:CA20" si="56">BP19*AY19/2204.62*10^-3</f>
        <v>12779.719311426315</v>
      </c>
      <c r="CB19" s="197">
        <f t="shared" ref="CB19:CB20" si="57">BQ19*AZ19/2204.62*10^-3</f>
        <v>12681.509660164569</v>
      </c>
      <c r="CC19" s="198">
        <f t="shared" ref="CC19:CC20" si="58">AVERAGE(BS19:CB19)</f>
        <v>13227.491247439601</v>
      </c>
      <c r="CD19" s="199">
        <f t="shared" ref="CD19:CD20" si="59">CB19</f>
        <v>12681.509660164569</v>
      </c>
      <c r="CG19" s="196">
        <f>BH19+VLOOKUP($BD19,'Incremental Demand for New Gen'!$AG$54:$AQ$58,'Mass Equivalents - AoIC, PR, GU'!BH$8-2018,0)</f>
        <v>19983504.160429474</v>
      </c>
      <c r="CH19" s="197">
        <f>BI19+VLOOKUP($BD19,'Incremental Demand for New Gen'!$AG$54:$AQ$58,'Mass Equivalents - AoIC, PR, GU'!BI$8-2018,0)</f>
        <v>19983504.160429474</v>
      </c>
      <c r="CI19" s="197">
        <f>BJ19+VLOOKUP($BD19,'Incremental Demand for New Gen'!$AG$54:$AQ$58,'Mass Equivalents - AoIC, PR, GU'!BJ$8-2018,0)</f>
        <v>19983504.160429474</v>
      </c>
      <c r="CJ19" s="197">
        <f>BK19+VLOOKUP($BD19,'Incremental Demand for New Gen'!$AG$54:$AQ$58,'Mass Equivalents - AoIC, PR, GU'!BK$8-2018,0)</f>
        <v>19983504.160429474</v>
      </c>
      <c r="CK19" s="197">
        <f>BL19+VLOOKUP($BD19,'Incremental Demand for New Gen'!$AG$54:$AQ$58,'Mass Equivalents - AoIC, PR, GU'!BL$8-2018,0)</f>
        <v>19983504.160429474</v>
      </c>
      <c r="CL19" s="197">
        <f>BM19+VLOOKUP($BD19,'Incremental Demand for New Gen'!$AG$54:$AQ$58,'Mass Equivalents - AoIC, PR, GU'!BM$8-2018,0)</f>
        <v>19983504.160429478</v>
      </c>
      <c r="CM19" s="197">
        <f>BN19+VLOOKUP($BD19,'Incremental Demand for New Gen'!$AG$54:$AQ$58,'Mass Equivalents - AoIC, PR, GU'!BN$8-2018,0)</f>
        <v>19983504.160429474</v>
      </c>
      <c r="CN19" s="197">
        <f>BO19+VLOOKUP($BD19,'Incremental Demand for New Gen'!$AG$54:$AQ$58,'Mass Equivalents - AoIC, PR, GU'!BO$8-2018,0)</f>
        <v>19983504.160429474</v>
      </c>
      <c r="CO19" s="197">
        <f>BP19+VLOOKUP($BD19,'Incremental Demand for New Gen'!$AG$54:$AQ$58,'Mass Equivalents - AoIC, PR, GU'!BP$8-2018,0)</f>
        <v>19983504.160429474</v>
      </c>
      <c r="CP19" s="157">
        <f>BQ19+VLOOKUP($BD19,'Incremental Demand for New Gen'!$AG$54:$AQ$58,'Mass Equivalents - AoIC, PR, GU'!BQ$8-2018,0)</f>
        <v>19983504.160429474</v>
      </c>
      <c r="CR19" s="45">
        <f>CG19*AQ19/2204.62*10^-3</f>
        <v>13791.692685045322</v>
      </c>
      <c r="CS19" s="50">
        <f t="shared" ref="CS19:CS20" si="60">CH19*AR19/2204.62*10^-3</f>
        <v>13690.056148896394</v>
      </c>
      <c r="CT19" s="50">
        <f t="shared" ref="CT19:CT20" si="61">CI19*AS19/2204.62*10^-3</f>
        <v>13570.291086166984</v>
      </c>
      <c r="CU19" s="50">
        <f t="shared" ref="CU19:CU20" si="62">CJ19*AT19/2204.62*10^-3</f>
        <v>13435.190138293363</v>
      </c>
      <c r="CV19" s="50">
        <f t="shared" ref="CV19:CV20" si="63">CK19*AU19/2204.62*10^-3</f>
        <v>13287.54426148645</v>
      </c>
      <c r="CW19" s="50">
        <f t="shared" ref="CW19:CW20" si="64">CL19*AV19/2204.62*10^-3</f>
        <v>13141.500141201788</v>
      </c>
      <c r="CX19" s="50">
        <f t="shared" ref="CX19:CX20" si="65">CM19*AW19/2204.62*10^-3</f>
        <v>13008.848791691287</v>
      </c>
      <c r="CY19" s="50">
        <f t="shared" ref="CY19:CY20" si="66">CN19*AX19/2204.62*10^-3</f>
        <v>12888.560250023515</v>
      </c>
      <c r="CZ19" s="50">
        <f t="shared" ref="CZ19:CZ20" si="67">CO19*AY19/2204.62*10^-3</f>
        <v>12779.719311426315</v>
      </c>
      <c r="DA19" s="50">
        <f t="shared" ref="DA19:DA20" si="68">CP19*AZ19/2204.62*10^-3</f>
        <v>12681.509660164569</v>
      </c>
      <c r="DB19" s="169">
        <f>AVERAGE(CR19:DA19)</f>
        <v>13227.491247439601</v>
      </c>
      <c r="DC19" s="170">
        <f>DA19</f>
        <v>12681.509660164569</v>
      </c>
    </row>
    <row r="20" spans="1:107" ht="15.75" thickBot="1" x14ac:dyDescent="0.3">
      <c r="A20" s="108" t="s">
        <v>187</v>
      </c>
      <c r="B20" s="109">
        <v>0</v>
      </c>
      <c r="C20" s="109">
        <v>0</v>
      </c>
      <c r="D20" s="109">
        <v>1947.8707626591574</v>
      </c>
      <c r="E20" s="109">
        <v>0</v>
      </c>
      <c r="F20" s="109">
        <v>0</v>
      </c>
      <c r="G20" s="109">
        <v>0</v>
      </c>
      <c r="H20" s="109">
        <v>713075.48660000018</v>
      </c>
      <c r="I20" s="109">
        <v>0</v>
      </c>
      <c r="J20" s="109">
        <v>0</v>
      </c>
      <c r="K20" s="109">
        <v>0</v>
      </c>
      <c r="L20" s="110">
        <v>0</v>
      </c>
      <c r="M20" s="111">
        <v>0</v>
      </c>
      <c r="N20" s="111">
        <v>713075.48660000018</v>
      </c>
      <c r="O20" s="111">
        <v>0</v>
      </c>
      <c r="P20" s="111">
        <v>0</v>
      </c>
      <c r="Q20" s="111">
        <v>0</v>
      </c>
      <c r="R20" s="112">
        <v>0</v>
      </c>
      <c r="S20" s="112">
        <v>0</v>
      </c>
      <c r="T20" s="113">
        <v>0</v>
      </c>
      <c r="U20" s="114">
        <v>7992.3591712234638</v>
      </c>
      <c r="V20" s="114">
        <v>8684.5161907469083</v>
      </c>
      <c r="W20" s="114">
        <v>9436.6156289494975</v>
      </c>
      <c r="X20" s="114">
        <v>10253.848639652917</v>
      </c>
      <c r="Y20" s="114">
        <v>11141.855942755668</v>
      </c>
      <c r="Z20" s="114">
        <v>12106.766757708045</v>
      </c>
      <c r="AA20" s="114">
        <v>13155.241108717215</v>
      </c>
      <c r="AB20" s="114">
        <v>14294.515793682122</v>
      </c>
      <c r="AC20" s="114">
        <v>15532.454334145794</v>
      </c>
      <c r="AD20" s="114">
        <v>16877.60125103049</v>
      </c>
      <c r="AE20" s="115">
        <v>1.1536048E-2</v>
      </c>
      <c r="AF20" s="115">
        <v>1.8814460690792244E-2</v>
      </c>
      <c r="AG20" s="115">
        <v>2.758082181046604E-2</v>
      </c>
      <c r="AH20" s="115">
        <v>3.7687944233580475E-2</v>
      </c>
      <c r="AI20" s="115">
        <v>4.8984245818188568E-2</v>
      </c>
      <c r="AJ20" s="115">
        <v>6.0364342893702905E-2</v>
      </c>
      <c r="AK20" s="115">
        <v>7.0822936601888362E-2</v>
      </c>
      <c r="AL20" s="115">
        <v>8.0382833780419743E-2</v>
      </c>
      <c r="AM20" s="115">
        <v>8.9065771661748339E-2</v>
      </c>
      <c r="AN20" s="115">
        <v>9.6892451922578393E-2</v>
      </c>
      <c r="AO20" s="116">
        <v>1</v>
      </c>
      <c r="AP20" s="117">
        <v>1680891.9724999999</v>
      </c>
      <c r="AQ20" s="118">
        <f t="shared" si="46"/>
        <v>1875.8357474275479</v>
      </c>
      <c r="AR20" s="118">
        <f t="shared" si="46"/>
        <v>1843.6506524038616</v>
      </c>
      <c r="AS20" s="118">
        <f t="shared" si="46"/>
        <v>1806.5139804724097</v>
      </c>
      <c r="AT20" s="118">
        <f t="shared" si="46"/>
        <v>1765.62412985438</v>
      </c>
      <c r="AU20" s="118">
        <f t="shared" si="46"/>
        <v>1722.1139732168954</v>
      </c>
      <c r="AV20" s="118">
        <f>(($L20*$M20)+($N20*$D20)+($C20*$O20)+$P20)/($M20+$N20+$O20+$Q20+$T20+Z20+(MIN(AJ20*$AP20,$AP20*$AO20*AJ20)))</f>
        <v>1680.2539509478656</v>
      </c>
      <c r="AW20" s="118">
        <f t="shared" si="46"/>
        <v>1643.2244378033972</v>
      </c>
      <c r="AX20" s="118">
        <f t="shared" si="46"/>
        <v>1610.4385739787053</v>
      </c>
      <c r="AY20" s="118">
        <f t="shared" si="46"/>
        <v>1581.4079629962448</v>
      </c>
      <c r="AZ20" s="118">
        <f t="shared" si="46"/>
        <v>1555.7231113208036</v>
      </c>
      <c r="BA20" s="119">
        <f t="shared" ref="BA20" si="69">AVERAGE(AQ20:AZ20)</f>
        <v>1708.4786520422113</v>
      </c>
      <c r="BB20" s="119">
        <f t="shared" ref="BB20" si="70">AZ20</f>
        <v>1555.7231113208036</v>
      </c>
      <c r="BD20" s="61" t="s">
        <v>187</v>
      </c>
      <c r="BE20" s="151">
        <f t="shared" ref="BE20" si="71">M20+N20+O20+Q20</f>
        <v>713075.48660000018</v>
      </c>
      <c r="BF20" s="48">
        <f t="shared" ref="BF20" si="72">((B20*F20)+(C20*G20)+(D20*H20)+E20)/2204.62*10^-3</f>
        <v>630.03097672936474</v>
      </c>
      <c r="BH20" s="152">
        <f>MAX($BE20-U20-VLOOKUP($BD20,'EE Avoided Generation'!$A$53:$K$57,'Mass Equivalents - AoIC, PR, GU'!BH$8-2018,0),0)+'Mass Equivalents - AoIC, PR, GU'!U20+'Mass Equivalents - AoIC, PR, GU'!$T20+VLOOKUP($BD20,'EE Avoided Generation'!$A$53:$K$57,'Mass Equivalents - AoIC, PR, GU'!BH$8-2018,0)</f>
        <v>713075.48660000018</v>
      </c>
      <c r="BI20" s="186">
        <f>MAX($BE20-V20-VLOOKUP($BD20,'EE Avoided Generation'!$A$53:$K$57,'Mass Equivalents - AoIC, PR, GU'!BI$8-2018,0),0)+'Mass Equivalents - AoIC, PR, GU'!V20+'Mass Equivalents - AoIC, PR, GU'!$T20+VLOOKUP($BD20,'EE Avoided Generation'!$A$53:$K$57,'Mass Equivalents - AoIC, PR, GU'!BI$8-2018,0)</f>
        <v>713075.48660000018</v>
      </c>
      <c r="BJ20" s="186">
        <f>MAX($BE20-W20-VLOOKUP($BD20,'EE Avoided Generation'!$A$53:$K$57,'Mass Equivalents - AoIC, PR, GU'!BJ$8-2018,0),0)+'Mass Equivalents - AoIC, PR, GU'!W20+'Mass Equivalents - AoIC, PR, GU'!$T20+VLOOKUP($BD20,'EE Avoided Generation'!$A$53:$K$57,'Mass Equivalents - AoIC, PR, GU'!BJ$8-2018,0)</f>
        <v>713075.48660000018</v>
      </c>
      <c r="BK20" s="186">
        <f>MAX($BE20-X20-VLOOKUP($BD20,'EE Avoided Generation'!$A$53:$K$57,'Mass Equivalents - AoIC, PR, GU'!BK$8-2018,0),0)+'Mass Equivalents - AoIC, PR, GU'!X20+'Mass Equivalents - AoIC, PR, GU'!$T20+VLOOKUP($BD20,'EE Avoided Generation'!$A$53:$K$57,'Mass Equivalents - AoIC, PR, GU'!BK$8-2018,0)</f>
        <v>713075.48660000018</v>
      </c>
      <c r="BL20" s="186">
        <f>MAX($BE20-Y20-VLOOKUP($BD20,'EE Avoided Generation'!$A$53:$K$57,'Mass Equivalents - AoIC, PR, GU'!BL$8-2018,0),0)+'Mass Equivalents - AoIC, PR, GU'!Y20+'Mass Equivalents - AoIC, PR, GU'!$T20+VLOOKUP($BD20,'EE Avoided Generation'!$A$53:$K$57,'Mass Equivalents - AoIC, PR, GU'!BL$8-2018,0)</f>
        <v>713075.48660000018</v>
      </c>
      <c r="BM20" s="186">
        <f>MAX($BE20-Z20-VLOOKUP($BD20,'EE Avoided Generation'!$A$53:$K$57,'Mass Equivalents - AoIC, PR, GU'!BM$8-2018,0),0)+'Mass Equivalents - AoIC, PR, GU'!Z20+'Mass Equivalents - AoIC, PR, GU'!$T20+VLOOKUP($BD20,'EE Avoided Generation'!$A$53:$K$57,'Mass Equivalents - AoIC, PR, GU'!BM$8-2018,0)</f>
        <v>713075.48660000018</v>
      </c>
      <c r="BN20" s="186">
        <f>MAX($BE20-AA20-VLOOKUP($BD20,'EE Avoided Generation'!$A$53:$K$57,'Mass Equivalents - AoIC, PR, GU'!BN$8-2018,0),0)+'Mass Equivalents - AoIC, PR, GU'!AA20+'Mass Equivalents - AoIC, PR, GU'!$T20+VLOOKUP($BD20,'EE Avoided Generation'!$A$53:$K$57,'Mass Equivalents - AoIC, PR, GU'!BN$8-2018,0)</f>
        <v>713075.48660000018</v>
      </c>
      <c r="BO20" s="186">
        <f>MAX($BE20-AB20-VLOOKUP($BD20,'EE Avoided Generation'!$A$53:$K$57,'Mass Equivalents - AoIC, PR, GU'!BO$8-2018,0),0)+'Mass Equivalents - AoIC, PR, GU'!AB20+'Mass Equivalents - AoIC, PR, GU'!$T20+VLOOKUP($BD20,'EE Avoided Generation'!$A$53:$K$57,'Mass Equivalents - AoIC, PR, GU'!BO$8-2018,0)</f>
        <v>713075.48660000018</v>
      </c>
      <c r="BP20" s="186">
        <f>MAX($BE20-AC20-VLOOKUP($BD20,'EE Avoided Generation'!$A$53:$K$57,'Mass Equivalents - AoIC, PR, GU'!BP$8-2018,0),0)+'Mass Equivalents - AoIC, PR, GU'!AC20+'Mass Equivalents - AoIC, PR, GU'!$T20+VLOOKUP($BD20,'EE Avoided Generation'!$A$53:$K$57,'Mass Equivalents - AoIC, PR, GU'!BP$8-2018,0)</f>
        <v>713075.48660000018</v>
      </c>
      <c r="BQ20" s="187">
        <f>MAX($BE20-AD20-VLOOKUP($BD20,'EE Avoided Generation'!$A$53:$K$57,'Mass Equivalents - AoIC, PR, GU'!BQ$8-2018,0),0)+'Mass Equivalents - AoIC, PR, GU'!AD20+'Mass Equivalents - AoIC, PR, GU'!$T20+VLOOKUP($BD20,'EE Avoided Generation'!$A$53:$K$57,'Mass Equivalents - AoIC, PR, GU'!BQ$8-2018,0)</f>
        <v>713075.48660000018</v>
      </c>
      <c r="BS20" s="181">
        <f>BH20*AQ20/2204.62*10^-3</f>
        <v>606.73154030108299</v>
      </c>
      <c r="BT20" s="182">
        <f t="shared" si="49"/>
        <v>596.32140055124751</v>
      </c>
      <c r="BU20" s="182">
        <f t="shared" si="50"/>
        <v>584.30969313308731</v>
      </c>
      <c r="BV20" s="182">
        <f t="shared" si="51"/>
        <v>571.08403513921405</v>
      </c>
      <c r="BW20" s="182">
        <f t="shared" si="52"/>
        <v>557.01084968488783</v>
      </c>
      <c r="BX20" s="182">
        <f t="shared" si="53"/>
        <v>543.47139356611217</v>
      </c>
      <c r="BY20" s="182">
        <f t="shared" si="54"/>
        <v>531.49434622731781</v>
      </c>
      <c r="BZ20" s="182">
        <f t="shared" si="55"/>
        <v>520.88989022111559</v>
      </c>
      <c r="CA20" s="182">
        <f t="shared" si="56"/>
        <v>511.50005566794391</v>
      </c>
      <c r="CB20" s="182">
        <f t="shared" si="57"/>
        <v>503.19239352811286</v>
      </c>
      <c r="CC20" s="190">
        <f t="shared" si="58"/>
        <v>552.60055980201219</v>
      </c>
      <c r="CD20" s="191">
        <f t="shared" si="59"/>
        <v>503.19239352811286</v>
      </c>
      <c r="CG20" s="45">
        <f>BH20+VLOOKUP($BD20,'Incremental Demand for New Gen'!$AG$54:$AQ$58,'Mass Equivalents - AoIC, PR, GU'!BH$8-2018,0)</f>
        <v>713075.48660000018</v>
      </c>
      <c r="CH20" s="50">
        <f>BI20+VLOOKUP($BD20,'Incremental Demand for New Gen'!$AG$54:$AQ$58,'Mass Equivalents - AoIC, PR, GU'!BI$8-2018,0)</f>
        <v>713075.48660000018</v>
      </c>
      <c r="CI20" s="50">
        <f>BJ20+VLOOKUP($BD20,'Incremental Demand for New Gen'!$AG$54:$AQ$58,'Mass Equivalents - AoIC, PR, GU'!BJ$8-2018,0)</f>
        <v>713075.48660000018</v>
      </c>
      <c r="CJ20" s="50">
        <f>BK20+VLOOKUP($BD20,'Incremental Demand for New Gen'!$AG$54:$AQ$58,'Mass Equivalents - AoIC, PR, GU'!BK$8-2018,0)</f>
        <v>713075.48660000018</v>
      </c>
      <c r="CK20" s="50">
        <f>BL20+VLOOKUP($BD20,'Incremental Demand for New Gen'!$AG$54:$AQ$58,'Mass Equivalents - AoIC, PR, GU'!BL$8-2018,0)</f>
        <v>713075.48660000018</v>
      </c>
      <c r="CL20" s="50">
        <f>BM20+VLOOKUP($BD20,'Incremental Demand for New Gen'!$AG$54:$AQ$58,'Mass Equivalents - AoIC, PR, GU'!BM$8-2018,0)</f>
        <v>713075.48660000018</v>
      </c>
      <c r="CM20" s="50">
        <f>BN20+VLOOKUP($BD20,'Incremental Demand for New Gen'!$AG$54:$AQ$58,'Mass Equivalents - AoIC, PR, GU'!BN$8-2018,0)</f>
        <v>713075.48660000018</v>
      </c>
      <c r="CN20" s="50">
        <f>BO20+VLOOKUP($BD20,'Incremental Demand for New Gen'!$AG$54:$AQ$58,'Mass Equivalents - AoIC, PR, GU'!BO$8-2018,0)</f>
        <v>713075.48660000018</v>
      </c>
      <c r="CO20" s="50">
        <f>BP20+VLOOKUP($BD20,'Incremental Demand for New Gen'!$AG$54:$AQ$58,'Mass Equivalents - AoIC, PR, GU'!BP$8-2018,0)</f>
        <v>713075.48660000018</v>
      </c>
      <c r="CP20" s="46">
        <f>BQ20+VLOOKUP($BD20,'Incremental Demand for New Gen'!$AG$54:$AQ$58,'Mass Equivalents - AoIC, PR, GU'!BQ$8-2018,0)</f>
        <v>713075.48660000018</v>
      </c>
      <c r="CR20" s="181">
        <f>CG20*AQ20/2204.62*10^-3</f>
        <v>606.73154030108299</v>
      </c>
      <c r="CS20" s="182">
        <f t="shared" si="60"/>
        <v>596.32140055124751</v>
      </c>
      <c r="CT20" s="182">
        <f t="shared" si="61"/>
        <v>584.30969313308731</v>
      </c>
      <c r="CU20" s="182">
        <f t="shared" si="62"/>
        <v>571.08403513921405</v>
      </c>
      <c r="CV20" s="182">
        <f t="shared" si="63"/>
        <v>557.01084968488783</v>
      </c>
      <c r="CW20" s="182">
        <f t="shared" si="64"/>
        <v>543.47139356611217</v>
      </c>
      <c r="CX20" s="182">
        <f t="shared" si="65"/>
        <v>531.49434622731781</v>
      </c>
      <c r="CY20" s="182">
        <f t="shared" si="66"/>
        <v>520.88989022111559</v>
      </c>
      <c r="CZ20" s="182">
        <f t="shared" si="67"/>
        <v>511.50005566794391</v>
      </c>
      <c r="DA20" s="182">
        <f t="shared" si="68"/>
        <v>503.19239352811286</v>
      </c>
      <c r="DB20" s="190">
        <f>AVERAGE(CR20:DA20)</f>
        <v>552.60055980201219</v>
      </c>
      <c r="DC20" s="191">
        <f>DA20</f>
        <v>503.19239352811286</v>
      </c>
    </row>
    <row r="21" spans="1:107" x14ac:dyDescent="0.2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E21" s="49"/>
      <c r="BF21" s="124"/>
      <c r="BH21" s="49"/>
      <c r="BI21" s="34"/>
      <c r="BJ21" s="34"/>
      <c r="BK21" s="34"/>
      <c r="BL21" s="34"/>
      <c r="BM21" s="34"/>
      <c r="BN21" s="34"/>
      <c r="BO21" s="34"/>
      <c r="BP21" s="34"/>
      <c r="BQ21" s="124"/>
      <c r="BS21" s="49"/>
      <c r="BT21" s="34"/>
      <c r="BU21" s="34"/>
      <c r="BV21" s="34"/>
      <c r="BW21" s="34"/>
      <c r="BX21" s="34"/>
      <c r="BY21" s="34"/>
      <c r="BZ21" s="34"/>
      <c r="CA21" s="34"/>
      <c r="CB21" s="34"/>
      <c r="CC21" s="171"/>
      <c r="CD21" s="172"/>
      <c r="CG21" s="162"/>
      <c r="CH21" s="138"/>
      <c r="CI21" s="138"/>
      <c r="CJ21" s="138"/>
      <c r="CK21" s="138"/>
      <c r="CL21" s="138"/>
      <c r="CM21" s="138"/>
      <c r="CN21" s="138"/>
      <c r="CO21" s="138"/>
      <c r="CP21" s="163"/>
      <c r="CR21" s="49"/>
      <c r="CS21" s="34"/>
      <c r="CT21" s="34"/>
      <c r="CU21" s="34"/>
      <c r="CV21" s="34"/>
      <c r="CW21" s="34"/>
      <c r="CX21" s="34"/>
      <c r="CY21" s="34"/>
      <c r="CZ21" s="34"/>
      <c r="DA21" s="34"/>
      <c r="DB21" s="171"/>
      <c r="DC21" s="172"/>
    </row>
    <row r="22" spans="1:107" ht="20.25" thickBot="1" x14ac:dyDescent="0.35">
      <c r="A22" s="95" t="s">
        <v>192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E22" s="49"/>
      <c r="BF22" s="124"/>
      <c r="BH22" s="49"/>
      <c r="BI22" s="34"/>
      <c r="BJ22" s="34"/>
      <c r="BK22" s="34"/>
      <c r="BL22" s="34"/>
      <c r="BM22" s="34"/>
      <c r="BN22" s="34"/>
      <c r="BO22" s="34"/>
      <c r="BP22" s="34"/>
      <c r="BQ22" s="124"/>
      <c r="BS22" s="49"/>
      <c r="BT22" s="34"/>
      <c r="BU22" s="34"/>
      <c r="BV22" s="34"/>
      <c r="BW22" s="34"/>
      <c r="BX22" s="34"/>
      <c r="BY22" s="34"/>
      <c r="BZ22" s="34"/>
      <c r="CA22" s="34"/>
      <c r="CB22" s="34"/>
      <c r="CC22" s="171"/>
      <c r="CD22" s="172"/>
      <c r="CG22" s="49"/>
      <c r="CH22" s="34"/>
      <c r="CI22" s="34"/>
      <c r="CJ22" s="34"/>
      <c r="CK22" s="34"/>
      <c r="CL22" s="34"/>
      <c r="CM22" s="34"/>
      <c r="CN22" s="34"/>
      <c r="CO22" s="34"/>
      <c r="CP22" s="124"/>
      <c r="CR22" s="49"/>
      <c r="CS22" s="34"/>
      <c r="CT22" s="34"/>
      <c r="CU22" s="34"/>
      <c r="CV22" s="34"/>
      <c r="CW22" s="34"/>
      <c r="CX22" s="34"/>
      <c r="CY22" s="34"/>
      <c r="CZ22" s="34"/>
      <c r="DA22" s="34"/>
      <c r="DB22" s="171"/>
      <c r="DC22" s="172"/>
    </row>
    <row r="23" spans="1:107" ht="15.75" customHeight="1" thickTop="1" thickBot="1" x14ac:dyDescent="0.3">
      <c r="A23" s="96"/>
      <c r="B23" s="217"/>
      <c r="C23" s="218"/>
      <c r="D23" s="218"/>
      <c r="E23" s="218"/>
      <c r="F23" s="218"/>
      <c r="G23" s="218"/>
      <c r="H23" s="218"/>
      <c r="I23" s="218"/>
      <c r="J23" s="218"/>
      <c r="K23" s="219"/>
      <c r="L23" s="97" t="s">
        <v>0</v>
      </c>
      <c r="M23" s="220" t="s">
        <v>1</v>
      </c>
      <c r="N23" s="221"/>
      <c r="O23" s="221"/>
      <c r="P23" s="221"/>
      <c r="Q23" s="221"/>
      <c r="R23" s="221"/>
      <c r="S23" s="222"/>
      <c r="T23" s="98" t="s">
        <v>2</v>
      </c>
      <c r="U23" s="223" t="s">
        <v>3</v>
      </c>
      <c r="V23" s="224"/>
      <c r="W23" s="224"/>
      <c r="X23" s="224"/>
      <c r="Y23" s="224"/>
      <c r="Z23" s="224"/>
      <c r="AA23" s="224"/>
      <c r="AB23" s="224"/>
      <c r="AC23" s="224"/>
      <c r="AD23" s="231"/>
      <c r="AE23" s="225" t="s">
        <v>181</v>
      </c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7"/>
      <c r="AQ23" s="228" t="s">
        <v>4</v>
      </c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E23" s="49"/>
      <c r="BF23" s="124"/>
      <c r="BH23" s="49"/>
      <c r="BI23" s="34"/>
      <c r="BJ23" s="34"/>
      <c r="BK23" s="34"/>
      <c r="BL23" s="34"/>
      <c r="BM23" s="34"/>
      <c r="BN23" s="34"/>
      <c r="BO23" s="34"/>
      <c r="BP23" s="34"/>
      <c r="BQ23" s="124"/>
      <c r="BS23" s="49"/>
      <c r="BT23" s="34"/>
      <c r="BU23" s="34"/>
      <c r="BV23" s="34"/>
      <c r="BW23" s="34"/>
      <c r="BX23" s="34"/>
      <c r="BY23" s="34"/>
      <c r="BZ23" s="34"/>
      <c r="CA23" s="34"/>
      <c r="CB23" s="34"/>
      <c r="CC23" s="171"/>
      <c r="CD23" s="172"/>
      <c r="CG23" s="49"/>
      <c r="CH23" s="34"/>
      <c r="CI23" s="34"/>
      <c r="CJ23" s="34"/>
      <c r="CK23" s="34"/>
      <c r="CL23" s="34"/>
      <c r="CM23" s="34"/>
      <c r="CN23" s="34"/>
      <c r="CO23" s="34"/>
      <c r="CP23" s="124"/>
      <c r="CR23" s="49"/>
      <c r="CS23" s="34"/>
      <c r="CT23" s="34"/>
      <c r="CU23" s="34"/>
      <c r="CV23" s="34"/>
      <c r="CW23" s="34"/>
      <c r="CX23" s="34"/>
      <c r="CY23" s="34"/>
      <c r="CZ23" s="34"/>
      <c r="DA23" s="34"/>
      <c r="DB23" s="171"/>
      <c r="DC23" s="172"/>
    </row>
    <row r="24" spans="1:107" ht="102.75" x14ac:dyDescent="0.25">
      <c r="A24" s="168" t="s">
        <v>199</v>
      </c>
      <c r="B24" s="99" t="s">
        <v>6</v>
      </c>
      <c r="C24" s="99" t="s">
        <v>7</v>
      </c>
      <c r="D24" s="99" t="s">
        <v>95</v>
      </c>
      <c r="E24" s="99" t="s">
        <v>8</v>
      </c>
      <c r="F24" s="99" t="s">
        <v>9</v>
      </c>
      <c r="G24" s="99" t="s">
        <v>10</v>
      </c>
      <c r="H24" s="99" t="s">
        <v>11</v>
      </c>
      <c r="I24" s="99" t="s">
        <v>12</v>
      </c>
      <c r="J24" s="99" t="s">
        <v>13</v>
      </c>
      <c r="K24" s="99" t="s">
        <v>14</v>
      </c>
      <c r="L24" s="100" t="s">
        <v>15</v>
      </c>
      <c r="M24" s="101" t="s">
        <v>16</v>
      </c>
      <c r="N24" s="101" t="s">
        <v>182</v>
      </c>
      <c r="O24" s="101" t="s">
        <v>17</v>
      </c>
      <c r="P24" s="101" t="s">
        <v>8</v>
      </c>
      <c r="Q24" s="101" t="s">
        <v>12</v>
      </c>
      <c r="R24" s="101" t="s">
        <v>18</v>
      </c>
      <c r="S24" s="101" t="s">
        <v>183</v>
      </c>
      <c r="T24" s="102" t="s">
        <v>20</v>
      </c>
      <c r="U24" s="103" t="s">
        <v>21</v>
      </c>
      <c r="V24" s="103" t="s">
        <v>22</v>
      </c>
      <c r="W24" s="103" t="s">
        <v>23</v>
      </c>
      <c r="X24" s="103" t="s">
        <v>24</v>
      </c>
      <c r="Y24" s="103" t="s">
        <v>25</v>
      </c>
      <c r="Z24" s="103" t="s">
        <v>26</v>
      </c>
      <c r="AA24" s="103" t="s">
        <v>27</v>
      </c>
      <c r="AB24" s="103" t="s">
        <v>28</v>
      </c>
      <c r="AC24" s="103" t="s">
        <v>29</v>
      </c>
      <c r="AD24" s="103" t="s">
        <v>30</v>
      </c>
      <c r="AE24" s="104" t="s">
        <v>31</v>
      </c>
      <c r="AF24" s="104" t="s">
        <v>32</v>
      </c>
      <c r="AG24" s="104" t="s">
        <v>33</v>
      </c>
      <c r="AH24" s="104" t="s">
        <v>34</v>
      </c>
      <c r="AI24" s="104" t="s">
        <v>35</v>
      </c>
      <c r="AJ24" s="104" t="s">
        <v>36</v>
      </c>
      <c r="AK24" s="104" t="s">
        <v>37</v>
      </c>
      <c r="AL24" s="104" t="s">
        <v>38</v>
      </c>
      <c r="AM24" s="104" t="s">
        <v>39</v>
      </c>
      <c r="AN24" s="104" t="s">
        <v>40</v>
      </c>
      <c r="AO24" s="104" t="s">
        <v>41</v>
      </c>
      <c r="AP24" s="105" t="s">
        <v>184</v>
      </c>
      <c r="AQ24" s="106">
        <v>2020</v>
      </c>
      <c r="AR24" s="106">
        <v>2021</v>
      </c>
      <c r="AS24" s="106">
        <v>2022</v>
      </c>
      <c r="AT24" s="106">
        <v>2023</v>
      </c>
      <c r="AU24" s="106">
        <v>2024</v>
      </c>
      <c r="AV24" s="106">
        <v>2025</v>
      </c>
      <c r="AW24" s="106">
        <v>2026</v>
      </c>
      <c r="AX24" s="106">
        <v>2027</v>
      </c>
      <c r="AY24" s="106">
        <v>2028</v>
      </c>
      <c r="AZ24" s="106">
        <v>2029</v>
      </c>
      <c r="BA24" s="107" t="s">
        <v>93</v>
      </c>
      <c r="BB24" s="107" t="s">
        <v>185</v>
      </c>
      <c r="BD24" s="281" t="s">
        <v>204</v>
      </c>
      <c r="BE24" s="279"/>
      <c r="BF24" s="280"/>
      <c r="BG24" s="159"/>
      <c r="BH24" s="312"/>
      <c r="BI24" s="313"/>
      <c r="BJ24" s="313"/>
      <c r="BK24" s="313"/>
      <c r="BL24" s="313"/>
      <c r="BM24" s="313"/>
      <c r="BN24" s="313"/>
      <c r="BO24" s="313"/>
      <c r="BP24" s="313"/>
      <c r="BQ24" s="314"/>
      <c r="BS24" s="317"/>
      <c r="BT24" s="318"/>
      <c r="BU24" s="318"/>
      <c r="BV24" s="318"/>
      <c r="BW24" s="318"/>
      <c r="BX24" s="318"/>
      <c r="BY24" s="318"/>
      <c r="BZ24" s="318"/>
      <c r="CA24" s="318"/>
      <c r="CB24" s="318"/>
      <c r="CC24" s="319"/>
      <c r="CD24" s="320"/>
      <c r="CG24" s="329"/>
      <c r="CH24" s="330"/>
      <c r="CI24" s="330"/>
      <c r="CJ24" s="330"/>
      <c r="CK24" s="330"/>
      <c r="CL24" s="330"/>
      <c r="CM24" s="330"/>
      <c r="CN24" s="330"/>
      <c r="CO24" s="330"/>
      <c r="CP24" s="331"/>
      <c r="CR24" s="324"/>
      <c r="CS24" s="325"/>
      <c r="CT24" s="325"/>
      <c r="CU24" s="325"/>
      <c r="CV24" s="325"/>
      <c r="CW24" s="325"/>
      <c r="CX24" s="325"/>
      <c r="CY24" s="325"/>
      <c r="CZ24" s="325"/>
      <c r="DA24" s="325"/>
      <c r="DB24" s="332"/>
      <c r="DC24" s="333"/>
    </row>
    <row r="25" spans="1:107" ht="15.75" thickBot="1" x14ac:dyDescent="0.3">
      <c r="A25" s="108" t="s">
        <v>186</v>
      </c>
      <c r="B25" s="109">
        <v>2215.5639697090478</v>
      </c>
      <c r="C25" s="109">
        <v>927.99376193073351</v>
      </c>
      <c r="D25" s="109">
        <v>1792.9453454305308</v>
      </c>
      <c r="E25" s="109">
        <v>0</v>
      </c>
      <c r="F25" s="109">
        <v>3417319.9074880593</v>
      </c>
      <c r="G25" s="109">
        <v>3802792.7985828486</v>
      </c>
      <c r="H25" s="109">
        <v>12763391.454358565</v>
      </c>
      <c r="I25" s="109">
        <v>0</v>
      </c>
      <c r="J25" s="109">
        <v>1080</v>
      </c>
      <c r="K25" s="109">
        <v>0</v>
      </c>
      <c r="L25" s="110">
        <v>2082.630131526505</v>
      </c>
      <c r="M25" s="111">
        <v>2817961.1878736829</v>
      </c>
      <c r="N25" s="111">
        <v>10524838.97255579</v>
      </c>
      <c r="O25" s="111">
        <v>6640704</v>
      </c>
      <c r="P25" s="111">
        <v>0</v>
      </c>
      <c r="Q25" s="111">
        <v>0</v>
      </c>
      <c r="R25" s="112">
        <v>0.40085433095768069</v>
      </c>
      <c r="S25" s="112">
        <v>0.7</v>
      </c>
      <c r="T25" s="113">
        <v>0</v>
      </c>
      <c r="U25" s="114">
        <v>249220</v>
      </c>
      <c r="V25" s="114">
        <v>249220</v>
      </c>
      <c r="W25" s="114">
        <v>249220</v>
      </c>
      <c r="X25" s="114">
        <v>249220</v>
      </c>
      <c r="Y25" s="114">
        <v>249220</v>
      </c>
      <c r="Z25" s="114">
        <v>249220</v>
      </c>
      <c r="AA25" s="114">
        <v>249220</v>
      </c>
      <c r="AB25" s="114">
        <v>249220</v>
      </c>
      <c r="AC25" s="114">
        <v>249220</v>
      </c>
      <c r="AD25" s="114">
        <v>249220</v>
      </c>
      <c r="AE25" s="115">
        <v>1.1536048E-2</v>
      </c>
      <c r="AF25" s="115">
        <v>1.8814460690792244E-2</v>
      </c>
      <c r="AG25" s="115">
        <v>2.758082181046604E-2</v>
      </c>
      <c r="AH25" s="115">
        <v>3.7687944233580475E-2</v>
      </c>
      <c r="AI25" s="115">
        <v>4.8984245818188561E-2</v>
      </c>
      <c r="AJ25" s="115">
        <v>6.0364342893702905E-2</v>
      </c>
      <c r="AK25" s="115">
        <v>7.0822936601888375E-2</v>
      </c>
      <c r="AL25" s="115">
        <v>8.0382833780419771E-2</v>
      </c>
      <c r="AM25" s="115">
        <v>8.9065771661748366E-2</v>
      </c>
      <c r="AN25" s="115">
        <v>9.6892451922578421E-2</v>
      </c>
      <c r="AO25" s="116">
        <v>1</v>
      </c>
      <c r="AP25" s="117">
        <v>19513419.783</v>
      </c>
      <c r="AQ25" s="118">
        <f t="shared" ref="AQ25:AZ25" si="73">(($L25*$M25)+($N25*$D25)+($C25*$O25)+$P25)/($M25+$N25+$O25+$Q25+$T25+U25+(MIN(AE25*$AP25,$AP25*$AO25*AE25)))</f>
        <v>1510.5102022956735</v>
      </c>
      <c r="AR25" s="118">
        <f t="shared" si="73"/>
        <v>1500.0959166095358</v>
      </c>
      <c r="AS25" s="118">
        <f t="shared" si="73"/>
        <v>1487.7416766182762</v>
      </c>
      <c r="AT25" s="118">
        <f t="shared" si="73"/>
        <v>1473.7481095066416</v>
      </c>
      <c r="AU25" s="118">
        <f t="shared" si="73"/>
        <v>1458.4163784987686</v>
      </c>
      <c r="AV25" s="118">
        <f t="shared" si="73"/>
        <v>1443.2901289963463</v>
      </c>
      <c r="AW25" s="118">
        <f t="shared" si="73"/>
        <v>1429.6628022390748</v>
      </c>
      <c r="AX25" s="118">
        <f t="shared" si="73"/>
        <v>1417.4296474828964</v>
      </c>
      <c r="AY25" s="118">
        <f t="shared" si="73"/>
        <v>1406.4987036876093</v>
      </c>
      <c r="AZ25" s="118">
        <f t="shared" si="73"/>
        <v>1396.7891803641421</v>
      </c>
      <c r="BA25" s="119">
        <f>AVERAGE(AQ25:AZ25)</f>
        <v>1452.4182746298964</v>
      </c>
      <c r="BB25" s="119">
        <f>AZ25</f>
        <v>1396.7891803641421</v>
      </c>
      <c r="BD25" s="61" t="s">
        <v>186</v>
      </c>
      <c r="BE25" s="151">
        <f t="shared" ref="BE25" si="74">M25+N25+O25+Q25</f>
        <v>19983504.160429474</v>
      </c>
      <c r="BF25" s="48">
        <f t="shared" ref="BF25" si="75">((B25*F25)+(C25*G25)+(D25*H25)+E25)/2204.62*10^-3</f>
        <v>15415.04756148452</v>
      </c>
      <c r="BH25" s="151">
        <f>MAX($BE25-U25-VLOOKUP($BD25,'EE Avoided Generation'!$A$53:$K$57,'Mass Equivalents - AoIC, PR, GU'!BH$8-2018,0),0)+'Mass Equivalents - AoIC, PR, GU'!U25+'Mass Equivalents - AoIC, PR, GU'!$T25+VLOOKUP($BD25,'EE Avoided Generation'!$A$53:$K$57,'Mass Equivalents - AoIC, PR, GU'!BH$8-2018,0)</f>
        <v>19983504.160429474</v>
      </c>
      <c r="BI25" s="166">
        <f>MAX($BE25-V25-VLOOKUP($BD25,'EE Avoided Generation'!$A$53:$K$57,'Mass Equivalents - AoIC, PR, GU'!BI$8-2018,0),0)+'Mass Equivalents - AoIC, PR, GU'!V25+'Mass Equivalents - AoIC, PR, GU'!$T25+VLOOKUP($BD25,'EE Avoided Generation'!$A$53:$K$57,'Mass Equivalents - AoIC, PR, GU'!BI$8-2018,0)</f>
        <v>19983504.160429474</v>
      </c>
      <c r="BJ25" s="166">
        <f>MAX($BE25-W25-VLOOKUP($BD25,'EE Avoided Generation'!$A$53:$K$57,'Mass Equivalents - AoIC, PR, GU'!BJ$8-2018,0),0)+'Mass Equivalents - AoIC, PR, GU'!W25+'Mass Equivalents - AoIC, PR, GU'!$T25+VLOOKUP($BD25,'EE Avoided Generation'!$A$53:$K$57,'Mass Equivalents - AoIC, PR, GU'!BJ$8-2018,0)</f>
        <v>19983504.160429474</v>
      </c>
      <c r="BK25" s="166">
        <f>MAX($BE25-X25-VLOOKUP($BD25,'EE Avoided Generation'!$A$53:$K$57,'Mass Equivalents - AoIC, PR, GU'!BK$8-2018,0),0)+'Mass Equivalents - AoIC, PR, GU'!X25+'Mass Equivalents - AoIC, PR, GU'!$T25+VLOOKUP($BD25,'EE Avoided Generation'!$A$53:$K$57,'Mass Equivalents - AoIC, PR, GU'!BK$8-2018,0)</f>
        <v>19983504.160429474</v>
      </c>
      <c r="BL25" s="166">
        <f>MAX($BE25-Y25-VLOOKUP($BD25,'EE Avoided Generation'!$A$53:$K$57,'Mass Equivalents - AoIC, PR, GU'!BL$8-2018,0),0)+'Mass Equivalents - AoIC, PR, GU'!Y25+'Mass Equivalents - AoIC, PR, GU'!$T25+VLOOKUP($BD25,'EE Avoided Generation'!$A$53:$K$57,'Mass Equivalents - AoIC, PR, GU'!BL$8-2018,0)</f>
        <v>19983504.160429474</v>
      </c>
      <c r="BM25" s="166">
        <f>MAX($BE25-Z25-VLOOKUP($BD25,'EE Avoided Generation'!$A$53:$K$57,'Mass Equivalents - AoIC, PR, GU'!BM$8-2018,0),0)+'Mass Equivalents - AoIC, PR, GU'!Z25+'Mass Equivalents - AoIC, PR, GU'!$T25+VLOOKUP($BD25,'EE Avoided Generation'!$A$53:$K$57,'Mass Equivalents - AoIC, PR, GU'!BM$8-2018,0)</f>
        <v>19983504.16042947</v>
      </c>
      <c r="BN25" s="166">
        <f>MAX($BE25-AA25-VLOOKUP($BD25,'EE Avoided Generation'!$A$53:$K$57,'Mass Equivalents - AoIC, PR, GU'!BN$8-2018,0),0)+'Mass Equivalents - AoIC, PR, GU'!AA25+'Mass Equivalents - AoIC, PR, GU'!$T25+VLOOKUP($BD25,'EE Avoided Generation'!$A$53:$K$57,'Mass Equivalents - AoIC, PR, GU'!BN$8-2018,0)</f>
        <v>19983504.160429474</v>
      </c>
      <c r="BO25" s="166">
        <f>MAX($BE25-AB25-VLOOKUP($BD25,'EE Avoided Generation'!$A$53:$K$57,'Mass Equivalents - AoIC, PR, GU'!BO$8-2018,0),0)+'Mass Equivalents - AoIC, PR, GU'!AB25+'Mass Equivalents - AoIC, PR, GU'!$T25+VLOOKUP($BD25,'EE Avoided Generation'!$A$53:$K$57,'Mass Equivalents - AoIC, PR, GU'!BO$8-2018,0)</f>
        <v>19983504.160429474</v>
      </c>
      <c r="BP25" s="166">
        <f>MAX($BE25-AC25-VLOOKUP($BD25,'EE Avoided Generation'!$A$53:$K$57,'Mass Equivalents - AoIC, PR, GU'!BP$8-2018,0),0)+'Mass Equivalents - AoIC, PR, GU'!AC25+'Mass Equivalents - AoIC, PR, GU'!$T25+VLOOKUP($BD25,'EE Avoided Generation'!$A$53:$K$57,'Mass Equivalents - AoIC, PR, GU'!BP$8-2018,0)</f>
        <v>19983504.160429474</v>
      </c>
      <c r="BQ25" s="167">
        <f>MAX($BE25-AD25-VLOOKUP($BD25,'EE Avoided Generation'!$A$53:$K$57,'Mass Equivalents - AoIC, PR, GU'!BQ$8-2018,0),0)+'Mass Equivalents - AoIC, PR, GU'!AD25+'Mass Equivalents - AoIC, PR, GU'!$T25+VLOOKUP($BD25,'EE Avoided Generation'!$A$53:$K$57,'Mass Equivalents - AoIC, PR, GU'!BQ$8-2018,0)</f>
        <v>19983504.160429474</v>
      </c>
      <c r="BS25" s="192">
        <f>BH25*AQ25/2204.62*10^-3</f>
        <v>13691.832112539467</v>
      </c>
      <c r="BT25" s="193">
        <f t="shared" ref="BT25" si="76">BI25*AR25/2204.62*10^-3</f>
        <v>13597.433113466233</v>
      </c>
      <c r="BU25" s="193">
        <f t="shared" ref="BU25" si="77">BJ25*AS25/2204.62*10^-3</f>
        <v>13485.449639550417</v>
      </c>
      <c r="BV25" s="193">
        <f t="shared" ref="BV25" si="78">BK25*AT25/2204.62*10^-3</f>
        <v>13358.606688568119</v>
      </c>
      <c r="BW25" s="193">
        <f t="shared" ref="BW25" si="79">BL25*AU25/2204.62*10^-3</f>
        <v>13219.634117157892</v>
      </c>
      <c r="BX25" s="193">
        <f t="shared" ref="BX25" si="80">BM25*AV25/2204.62*10^-3</f>
        <v>13082.524107331546</v>
      </c>
      <c r="BY25" s="193">
        <f t="shared" ref="BY25" si="81">BN25*AW25/2204.62*10^-3</f>
        <v>12959.000896551703</v>
      </c>
      <c r="BZ25" s="193">
        <f t="shared" ref="BZ25" si="82">BO25*AX25/2204.62*10^-3</f>
        <v>12848.114984709629</v>
      </c>
      <c r="CA25" s="193">
        <f t="shared" ref="CA25" si="83">BP25*AY25/2204.62*10^-3</f>
        <v>12749.032802378644</v>
      </c>
      <c r="CB25" s="193">
        <f t="shared" ref="CB25" si="84">BQ25*AZ25/2204.62*10^-3</f>
        <v>12661.022034205311</v>
      </c>
      <c r="CC25" s="194">
        <f t="shared" ref="CC25" si="85">AVERAGE(BS25:CB25)</f>
        <v>13165.265049645895</v>
      </c>
      <c r="CD25" s="195">
        <f t="shared" ref="CD25" si="86">CB25</f>
        <v>12661.022034205311</v>
      </c>
      <c r="CG25" s="192">
        <f>BH25+VLOOKUP($BD25,'Incremental Demand for New Gen'!$AG$54:$AQ$58,'Mass Equivalents - AoIC, PR, GU'!BH$8-2018,0)</f>
        <v>19983504.160429474</v>
      </c>
      <c r="CH25" s="193">
        <f>BI25+VLOOKUP($BD25,'Incremental Demand for New Gen'!$AG$54:$AQ$58,'Mass Equivalents - AoIC, PR, GU'!BI$8-2018,0)</f>
        <v>19983504.160429474</v>
      </c>
      <c r="CI25" s="193">
        <f>BJ25+VLOOKUP($BD25,'Incremental Demand for New Gen'!$AG$54:$AQ$58,'Mass Equivalents - AoIC, PR, GU'!BJ$8-2018,0)</f>
        <v>19983504.160429474</v>
      </c>
      <c r="CJ25" s="193">
        <f>BK25+VLOOKUP($BD25,'Incremental Demand for New Gen'!$AG$54:$AQ$58,'Mass Equivalents - AoIC, PR, GU'!BK$8-2018,0)</f>
        <v>19983504.160429474</v>
      </c>
      <c r="CK25" s="193">
        <f>BL25+VLOOKUP($BD25,'Incremental Demand for New Gen'!$AG$54:$AQ$58,'Mass Equivalents - AoIC, PR, GU'!BL$8-2018,0)</f>
        <v>19983504.160429474</v>
      </c>
      <c r="CL25" s="193">
        <f>BM25+VLOOKUP($BD25,'Incremental Demand for New Gen'!$AG$54:$AQ$58,'Mass Equivalents - AoIC, PR, GU'!BM$8-2018,0)</f>
        <v>19983504.16042947</v>
      </c>
      <c r="CM25" s="193">
        <f>BN25+VLOOKUP($BD25,'Incremental Demand for New Gen'!$AG$54:$AQ$58,'Mass Equivalents - AoIC, PR, GU'!BN$8-2018,0)</f>
        <v>19983504.160429474</v>
      </c>
      <c r="CN25" s="193">
        <f>BO25+VLOOKUP($BD25,'Incremental Demand for New Gen'!$AG$54:$AQ$58,'Mass Equivalents - AoIC, PR, GU'!BO$8-2018,0)</f>
        <v>19983504.160429474</v>
      </c>
      <c r="CO25" s="193">
        <f>BP25+VLOOKUP($BD25,'Incremental Demand for New Gen'!$AG$54:$AQ$58,'Mass Equivalents - AoIC, PR, GU'!BP$8-2018,0)</f>
        <v>19983504.160429474</v>
      </c>
      <c r="CP25" s="200">
        <f>BQ25+VLOOKUP($BD25,'Incremental Demand for New Gen'!$AG$54:$AQ$58,'Mass Equivalents - AoIC, PR, GU'!BQ$8-2018,0)</f>
        <v>19983504.160429474</v>
      </c>
      <c r="CR25" s="47">
        <f>CG25*AQ25/2204.62*10^-3</f>
        <v>13691.832112539467</v>
      </c>
      <c r="CS25" s="51">
        <f t="shared" ref="CS25" si="87">CH25*AR25/2204.62*10^-3</f>
        <v>13597.433113466233</v>
      </c>
      <c r="CT25" s="51">
        <f t="shared" ref="CT25" si="88">CI25*AS25/2204.62*10^-3</f>
        <v>13485.449639550417</v>
      </c>
      <c r="CU25" s="51">
        <f t="shared" ref="CU25" si="89">CJ25*AT25/2204.62*10^-3</f>
        <v>13358.606688568119</v>
      </c>
      <c r="CV25" s="51">
        <f t="shared" ref="CV25" si="90">CK25*AU25/2204.62*10^-3</f>
        <v>13219.634117157892</v>
      </c>
      <c r="CW25" s="51">
        <f t="shared" ref="CW25" si="91">CL25*AV25/2204.62*10^-3</f>
        <v>13082.524107331546</v>
      </c>
      <c r="CX25" s="51">
        <f t="shared" ref="CX25" si="92">CM25*AW25/2204.62*10^-3</f>
        <v>12959.000896551703</v>
      </c>
      <c r="CY25" s="51">
        <f t="shared" ref="CY25" si="93">CN25*AX25/2204.62*10^-3</f>
        <v>12848.114984709629</v>
      </c>
      <c r="CZ25" s="51">
        <f t="shared" ref="CZ25" si="94">CO25*AY25/2204.62*10^-3</f>
        <v>12749.032802378644</v>
      </c>
      <c r="DA25" s="51">
        <f t="shared" ref="DA25" si="95">CP25*AZ25/2204.62*10^-3</f>
        <v>12661.022034205311</v>
      </c>
      <c r="DB25" s="173">
        <f>AVERAGE(CR25:DA25)</f>
        <v>13165.265049645895</v>
      </c>
      <c r="DC25" s="174">
        <f>DA25</f>
        <v>12661.022034205311</v>
      </c>
    </row>
    <row r="26" spans="1:107" x14ac:dyDescent="0.25">
      <c r="BE26" s="31"/>
      <c r="BF26" s="132"/>
    </row>
    <row r="29" spans="1:107" ht="20.25" thickBot="1" x14ac:dyDescent="0.35">
      <c r="A29" s="95" t="s">
        <v>193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</row>
    <row r="30" spans="1:107" ht="45" customHeight="1" thickTop="1" thickBot="1" x14ac:dyDescent="0.4">
      <c r="A30" s="96"/>
      <c r="B30" s="217"/>
      <c r="C30" s="218"/>
      <c r="D30" s="218"/>
      <c r="E30" s="218"/>
      <c r="F30" s="218"/>
      <c r="G30" s="218"/>
      <c r="H30" s="218"/>
      <c r="I30" s="218"/>
      <c r="J30" s="218"/>
      <c r="K30" s="219"/>
      <c r="L30" s="97" t="s">
        <v>0</v>
      </c>
      <c r="M30" s="220" t="s">
        <v>1</v>
      </c>
      <c r="N30" s="221"/>
      <c r="O30" s="221"/>
      <c r="P30" s="221"/>
      <c r="Q30" s="221"/>
      <c r="R30" s="221"/>
      <c r="S30" s="222"/>
      <c r="T30" s="98" t="s">
        <v>2</v>
      </c>
      <c r="U30" s="223" t="s">
        <v>3</v>
      </c>
      <c r="V30" s="224"/>
      <c r="W30" s="224"/>
      <c r="X30" s="224"/>
      <c r="Y30" s="224"/>
      <c r="Z30" s="225" t="s">
        <v>181</v>
      </c>
      <c r="AA30" s="226"/>
      <c r="AB30" s="226"/>
      <c r="AC30" s="226"/>
      <c r="AD30" s="226"/>
      <c r="AE30" s="226"/>
      <c r="AF30" s="227"/>
      <c r="AG30" s="228" t="s">
        <v>4</v>
      </c>
      <c r="AH30" s="229"/>
      <c r="AI30" s="229"/>
      <c r="AJ30" s="229"/>
      <c r="AK30" s="229"/>
      <c r="AL30" s="229"/>
      <c r="AM30" s="230"/>
      <c r="BD30" s="276" t="s">
        <v>203</v>
      </c>
      <c r="BE30" s="282" t="s">
        <v>152</v>
      </c>
      <c r="BF30" s="276" t="s">
        <v>198</v>
      </c>
      <c r="BG30" s="83"/>
      <c r="BH30" s="306" t="s">
        <v>150</v>
      </c>
      <c r="BI30" s="307"/>
      <c r="BJ30" s="307"/>
      <c r="BK30" s="307"/>
      <c r="BL30" s="308"/>
      <c r="BM30" s="4"/>
      <c r="BN30" s="306" t="s">
        <v>207</v>
      </c>
      <c r="BO30" s="307"/>
      <c r="BP30" s="307"/>
      <c r="BQ30" s="307"/>
      <c r="BR30" s="307"/>
      <c r="BS30" s="307"/>
      <c r="BT30" s="308"/>
      <c r="BU30" s="4"/>
      <c r="BV30" s="4"/>
      <c r="BW30" s="303" t="s">
        <v>151</v>
      </c>
      <c r="BX30" s="304"/>
      <c r="BY30" s="304"/>
      <c r="BZ30" s="304"/>
      <c r="CA30" s="305"/>
      <c r="CB30" s="4"/>
      <c r="CC30" s="303" t="s">
        <v>206</v>
      </c>
      <c r="CD30" s="304"/>
      <c r="CE30" s="304"/>
      <c r="CF30" s="304"/>
      <c r="CG30" s="304"/>
      <c r="CH30" s="304"/>
      <c r="CI30" s="305"/>
    </row>
    <row r="31" spans="1:107" ht="103.5" thickBot="1" x14ac:dyDescent="0.3">
      <c r="A31" s="168" t="s">
        <v>199</v>
      </c>
      <c r="B31" s="99" t="s">
        <v>6</v>
      </c>
      <c r="C31" s="99" t="s">
        <v>7</v>
      </c>
      <c r="D31" s="99" t="s">
        <v>95</v>
      </c>
      <c r="E31" s="99" t="s">
        <v>8</v>
      </c>
      <c r="F31" s="99" t="s">
        <v>9</v>
      </c>
      <c r="G31" s="99" t="s">
        <v>10</v>
      </c>
      <c r="H31" s="99" t="s">
        <v>11</v>
      </c>
      <c r="I31" s="99" t="s">
        <v>12</v>
      </c>
      <c r="J31" s="99" t="s">
        <v>13</v>
      </c>
      <c r="K31" s="99" t="s">
        <v>14</v>
      </c>
      <c r="L31" s="100" t="s">
        <v>15</v>
      </c>
      <c r="M31" s="101" t="s">
        <v>16</v>
      </c>
      <c r="N31" s="101" t="s">
        <v>182</v>
      </c>
      <c r="O31" s="101" t="s">
        <v>17</v>
      </c>
      <c r="P31" s="101" t="s">
        <v>8</v>
      </c>
      <c r="Q31" s="101" t="s">
        <v>12</v>
      </c>
      <c r="R31" s="101" t="s">
        <v>18</v>
      </c>
      <c r="S31" s="101" t="s">
        <v>183</v>
      </c>
      <c r="T31" s="102" t="s">
        <v>20</v>
      </c>
      <c r="U31" s="103" t="s">
        <v>21</v>
      </c>
      <c r="V31" s="103" t="s">
        <v>22</v>
      </c>
      <c r="W31" s="103" t="s">
        <v>23</v>
      </c>
      <c r="X31" s="103" t="s">
        <v>24</v>
      </c>
      <c r="Y31" s="103" t="s">
        <v>25</v>
      </c>
      <c r="Z31" s="104" t="s">
        <v>31</v>
      </c>
      <c r="AA31" s="104" t="s">
        <v>32</v>
      </c>
      <c r="AB31" s="104" t="s">
        <v>33</v>
      </c>
      <c r="AC31" s="104" t="s">
        <v>34</v>
      </c>
      <c r="AD31" s="104" t="s">
        <v>35</v>
      </c>
      <c r="AE31" s="104" t="s">
        <v>41</v>
      </c>
      <c r="AF31" s="105" t="s">
        <v>184</v>
      </c>
      <c r="AG31" s="106">
        <v>2020</v>
      </c>
      <c r="AH31" s="106">
        <v>2021</v>
      </c>
      <c r="AI31" s="106">
        <v>2022</v>
      </c>
      <c r="AJ31" s="106">
        <v>2023</v>
      </c>
      <c r="AK31" s="106">
        <v>2024</v>
      </c>
      <c r="AL31" s="107" t="s">
        <v>161</v>
      </c>
      <c r="AM31" s="107" t="s">
        <v>194</v>
      </c>
      <c r="BD31" s="277"/>
      <c r="BE31" s="283"/>
      <c r="BF31" s="284"/>
      <c r="BG31" s="83"/>
      <c r="BH31" s="309">
        <v>2020</v>
      </c>
      <c r="BI31" s="310">
        <v>2021</v>
      </c>
      <c r="BJ31" s="310">
        <v>2022</v>
      </c>
      <c r="BK31" s="310">
        <v>2023</v>
      </c>
      <c r="BL31" s="311">
        <v>2024</v>
      </c>
      <c r="BM31" s="15"/>
      <c r="BN31" s="309">
        <v>2020</v>
      </c>
      <c r="BO31" s="310">
        <v>2021</v>
      </c>
      <c r="BP31" s="310">
        <v>2022</v>
      </c>
      <c r="BQ31" s="310">
        <v>2023</v>
      </c>
      <c r="BR31" s="310">
        <v>2024</v>
      </c>
      <c r="BS31" s="315" t="s">
        <v>166</v>
      </c>
      <c r="BT31" s="316" t="s">
        <v>167</v>
      </c>
      <c r="BU31" s="15"/>
      <c r="BV31" s="15"/>
      <c r="BW31" s="321">
        <v>2020</v>
      </c>
      <c r="BX31" s="322">
        <v>2021</v>
      </c>
      <c r="BY31" s="322">
        <v>2022</v>
      </c>
      <c r="BZ31" s="322">
        <v>2023</v>
      </c>
      <c r="CA31" s="323">
        <v>2024</v>
      </c>
      <c r="CB31" s="15"/>
      <c r="CC31" s="321">
        <v>2020</v>
      </c>
      <c r="CD31" s="322">
        <v>2021</v>
      </c>
      <c r="CE31" s="322">
        <v>2022</v>
      </c>
      <c r="CF31" s="322">
        <v>2023</v>
      </c>
      <c r="CG31" s="322">
        <v>2024</v>
      </c>
      <c r="CH31" s="327" t="s">
        <v>166</v>
      </c>
      <c r="CI31" s="328" t="s">
        <v>167</v>
      </c>
    </row>
    <row r="32" spans="1:107" x14ac:dyDescent="0.25">
      <c r="A32" s="108" t="s">
        <v>186</v>
      </c>
      <c r="B32" s="109">
        <v>2215.5639697090478</v>
      </c>
      <c r="C32" s="109">
        <v>927.99376193073351</v>
      </c>
      <c r="D32" s="109">
        <v>1792.9453454305308</v>
      </c>
      <c r="E32" s="109">
        <v>0</v>
      </c>
      <c r="F32" s="109">
        <v>3417319.9074880593</v>
      </c>
      <c r="G32" s="109">
        <v>3802792.7985828486</v>
      </c>
      <c r="H32" s="109">
        <v>12763391.454358565</v>
      </c>
      <c r="I32" s="109">
        <v>0</v>
      </c>
      <c r="J32" s="109">
        <v>1080</v>
      </c>
      <c r="K32" s="109">
        <v>0</v>
      </c>
      <c r="L32" s="110">
        <v>2126.9414109206859</v>
      </c>
      <c r="M32" s="111">
        <v>2918139.5928516248</v>
      </c>
      <c r="N32" s="111">
        <v>10898996.567577848</v>
      </c>
      <c r="O32" s="111">
        <v>6166368</v>
      </c>
      <c r="P32" s="111">
        <v>0</v>
      </c>
      <c r="Q32" s="111">
        <v>0</v>
      </c>
      <c r="R32" s="112">
        <v>0.40085433095768069</v>
      </c>
      <c r="S32" s="112">
        <v>0.65</v>
      </c>
      <c r="T32" s="113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5">
        <v>8.6600728815789466E-3</v>
      </c>
      <c r="AA32" s="115">
        <v>1.4135711101491689E-2</v>
      </c>
      <c r="AB32" s="115">
        <v>2.074423721160585E-2</v>
      </c>
      <c r="AC32" s="115">
        <v>2.8382926063932591E-2</v>
      </c>
      <c r="AD32" s="115">
        <v>3.6460625797624699E-2</v>
      </c>
      <c r="AE32" s="116">
        <v>1</v>
      </c>
      <c r="AF32" s="117">
        <v>19513419.783</v>
      </c>
      <c r="AG32" s="118">
        <v>1561.6117580856298</v>
      </c>
      <c r="AH32" s="118">
        <v>1553.3757662744442</v>
      </c>
      <c r="AI32" s="118">
        <v>1543.5507424803604</v>
      </c>
      <c r="AJ32" s="118">
        <v>1532.3478886506084</v>
      </c>
      <c r="AK32" s="118">
        <v>1520.6767414317944</v>
      </c>
      <c r="AL32" s="119">
        <v>1542.3125793845675</v>
      </c>
      <c r="AM32" s="119">
        <v>1520.6767414317944</v>
      </c>
      <c r="BD32" s="175" t="s">
        <v>186</v>
      </c>
      <c r="BE32" s="149">
        <f>M32+N32+O32+Q32</f>
        <v>19983504.160429474</v>
      </c>
      <c r="BF32" s="129">
        <f>((B32*F32)+(C32*G32)+(D32*H32)+E32)/2204.62*10^-3</f>
        <v>15415.04756148452</v>
      </c>
      <c r="BH32" s="150">
        <f>MAX($BE32-U32-VLOOKUP($BD32,'EE Avoided Generation'!$N$53:$S$57,'Mass Equivalents - AoIC, PR, GU'!BH$31-2018,0),0)+'Mass Equivalents - AoIC, PR, GU'!U32+'Mass Equivalents - AoIC, PR, GU'!$T32+VLOOKUP($BD32,'EE Avoided Generation'!$N$53:$S$57,'Mass Equivalents - AoIC, PR, GU'!BH$31-2018,0)</f>
        <v>19983504.160429474</v>
      </c>
      <c r="BI32" s="164">
        <f>MAX($BE32-V32-VLOOKUP($BD32,'EE Avoided Generation'!$N$53:$S$57,'Mass Equivalents - AoIC, PR, GU'!BI$31-2018,0),0)+'Mass Equivalents - AoIC, PR, GU'!V32+'Mass Equivalents - AoIC, PR, GU'!$T32+VLOOKUP($BD32,'EE Avoided Generation'!$N$53:$S$57,'Mass Equivalents - AoIC, PR, GU'!BI$31-2018,0)</f>
        <v>19983504.160429474</v>
      </c>
      <c r="BJ32" s="164">
        <f>MAX($BE32-W32-VLOOKUP($BD32,'EE Avoided Generation'!$N$53:$S$57,'Mass Equivalents - AoIC, PR, GU'!BJ$31-2018,0),0)+'Mass Equivalents - AoIC, PR, GU'!W32+'Mass Equivalents - AoIC, PR, GU'!$T32+VLOOKUP($BD32,'EE Avoided Generation'!$N$53:$S$57,'Mass Equivalents - AoIC, PR, GU'!BJ$31-2018,0)</f>
        <v>19983504.160429474</v>
      </c>
      <c r="BK32" s="164">
        <f>MAX($BE32-X32-VLOOKUP($BD32,'EE Avoided Generation'!$N$53:$S$57,'Mass Equivalents - AoIC, PR, GU'!BK$31-2018,0),0)+'Mass Equivalents - AoIC, PR, GU'!X32+'Mass Equivalents - AoIC, PR, GU'!$T32+VLOOKUP($BD32,'EE Avoided Generation'!$N$53:$S$57,'Mass Equivalents - AoIC, PR, GU'!BK$31-2018,0)</f>
        <v>19983504.160429474</v>
      </c>
      <c r="BL32" s="165">
        <f>MAX($BE32-Y32-VLOOKUP($BD32,'EE Avoided Generation'!$N$53:$S$57,'Mass Equivalents - AoIC, PR, GU'!BL$31-2018,0),0)+'Mass Equivalents - AoIC, PR, GU'!Y32+'Mass Equivalents - AoIC, PR, GU'!$T32+VLOOKUP($BD32,'EE Avoided Generation'!$N$53:$S$57,'Mass Equivalents - AoIC, PR, GU'!BL$31-2018,0)</f>
        <v>19983504.160429474</v>
      </c>
      <c r="BN32" s="45">
        <f>BH32*AG32/2204.62*10^-3</f>
        <v>14155.03581781884</v>
      </c>
      <c r="BO32" s="50">
        <f t="shared" ref="BO32:BR32" si="96">BI32*AH32/2204.62*10^-3</f>
        <v>14080.381693015432</v>
      </c>
      <c r="BP32" s="50">
        <f t="shared" si="96"/>
        <v>13991.323985172177</v>
      </c>
      <c r="BQ32" s="50">
        <f t="shared" si="96"/>
        <v>13889.777108106955</v>
      </c>
      <c r="BR32" s="50">
        <f t="shared" si="96"/>
        <v>13783.985443781967</v>
      </c>
      <c r="BS32" s="179">
        <f>AVERAGE(BN32:BR32)</f>
        <v>13980.100809579075</v>
      </c>
      <c r="BT32" s="177">
        <f>BR32</f>
        <v>13783.985443781967</v>
      </c>
      <c r="BW32" s="150">
        <f>BH32+VLOOKUP($BD32,'Incremental Demand for New Gen'!$AG$115:$AL$119,'Mass Equivalents - AoIC, PR, GU'!BH$31-2018,0)</f>
        <v>19983504.160429474</v>
      </c>
      <c r="BX32" s="164">
        <f>BI32+VLOOKUP($BD32,'Incremental Demand for New Gen'!$AG$115:$AL$119,'Mass Equivalents - AoIC, PR, GU'!BI$31-2018,0)</f>
        <v>19983504.160429474</v>
      </c>
      <c r="BY32" s="164">
        <f>BJ32+VLOOKUP($BD32,'Incremental Demand for New Gen'!$AG$115:$AL$119,'Mass Equivalents - AoIC, PR, GU'!BJ$31-2018,0)</f>
        <v>19983504.160429474</v>
      </c>
      <c r="BZ32" s="164">
        <f>BK32+VLOOKUP($BD32,'Incremental Demand for New Gen'!$AG$115:$AL$119,'Mass Equivalents - AoIC, PR, GU'!BK$31-2018,0)</f>
        <v>19983504.160429474</v>
      </c>
      <c r="CA32" s="165">
        <f>BL32+VLOOKUP($BD32,'Incremental Demand for New Gen'!$AG$115:$AL$119,'Mass Equivalents - AoIC, PR, GU'!BL$31-2018,0)</f>
        <v>19983504.160429474</v>
      </c>
      <c r="CC32" s="45">
        <f>BW32*AG32/2204.62*10^-3</f>
        <v>14155.03581781884</v>
      </c>
      <c r="CD32" s="50">
        <f t="shared" ref="CD32:CG32" si="97">BX32*AH32/2204.62*10^-3</f>
        <v>14080.381693015432</v>
      </c>
      <c r="CE32" s="50">
        <f t="shared" si="97"/>
        <v>13991.323985172177</v>
      </c>
      <c r="CF32" s="50">
        <f t="shared" si="97"/>
        <v>13889.777108106955</v>
      </c>
      <c r="CG32" s="50">
        <f t="shared" si="97"/>
        <v>13783.985443781967</v>
      </c>
      <c r="CH32" s="179">
        <f>AVERAGE(CC32:CG32)</f>
        <v>13980.100809579075</v>
      </c>
      <c r="CI32" s="177">
        <f>CG32</f>
        <v>13783.985443781967</v>
      </c>
    </row>
    <row r="33" spans="1:87" x14ac:dyDescent="0.25">
      <c r="A33" s="108" t="s">
        <v>187</v>
      </c>
      <c r="B33" s="109">
        <v>0</v>
      </c>
      <c r="C33" s="109">
        <v>0</v>
      </c>
      <c r="D33" s="109">
        <v>1947.8707626591574</v>
      </c>
      <c r="E33" s="109">
        <v>0</v>
      </c>
      <c r="F33" s="109">
        <v>0</v>
      </c>
      <c r="G33" s="109">
        <v>0</v>
      </c>
      <c r="H33" s="109">
        <v>713075.48660000018</v>
      </c>
      <c r="I33" s="109">
        <v>0</v>
      </c>
      <c r="J33" s="109">
        <v>0</v>
      </c>
      <c r="K33" s="109">
        <v>0</v>
      </c>
      <c r="L33" s="110">
        <v>0</v>
      </c>
      <c r="M33" s="111">
        <v>0</v>
      </c>
      <c r="N33" s="111">
        <v>713075.48660000018</v>
      </c>
      <c r="O33" s="111">
        <v>0</v>
      </c>
      <c r="P33" s="111">
        <v>0</v>
      </c>
      <c r="Q33" s="111">
        <v>0</v>
      </c>
      <c r="R33" s="112">
        <v>0</v>
      </c>
      <c r="S33" s="112">
        <v>0</v>
      </c>
      <c r="T33" s="113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5">
        <v>8.6600728815789483E-3</v>
      </c>
      <c r="AA33" s="115">
        <v>1.4135711101491692E-2</v>
      </c>
      <c r="AB33" s="115">
        <v>2.074423721160585E-2</v>
      </c>
      <c r="AC33" s="115">
        <v>2.8382926063932595E-2</v>
      </c>
      <c r="AD33" s="115">
        <v>3.6460625797624699E-2</v>
      </c>
      <c r="AE33" s="116">
        <v>1</v>
      </c>
      <c r="AF33" s="117">
        <v>1680891.9724999999</v>
      </c>
      <c r="AG33" s="118">
        <v>1908.9026278541589</v>
      </c>
      <c r="AH33" s="118">
        <v>1885.0581709092075</v>
      </c>
      <c r="AI33" s="118">
        <v>1857.0619179920009</v>
      </c>
      <c r="AJ33" s="118">
        <v>1825.7201443949641</v>
      </c>
      <c r="AK33" s="118">
        <v>1793.7077792647669</v>
      </c>
      <c r="AL33" s="119">
        <v>1854.0901280830199</v>
      </c>
      <c r="AM33" s="119">
        <v>1793.7077792647669</v>
      </c>
      <c r="BD33" s="175" t="s">
        <v>187</v>
      </c>
      <c r="BE33" s="152">
        <f t="shared" ref="BE33" si="98">M33+N33+O33+Q33</f>
        <v>713075.48660000018</v>
      </c>
      <c r="BF33" s="153">
        <f t="shared" ref="BF33" si="99">((B33*F33)+(C33*G33)+(D33*H33)+E33)/2204.62*10^-3</f>
        <v>630.03097672936474</v>
      </c>
      <c r="BH33" s="152">
        <f>MAX($BE33-U33-VLOOKUP($BD33,'EE Avoided Generation'!$N$53:$S$57,'Mass Equivalents - AoIC, PR, GU'!BH$31-2018,0),0)+'Mass Equivalents - AoIC, PR, GU'!U33+'Mass Equivalents - AoIC, PR, GU'!$T33+VLOOKUP($BD33,'EE Avoided Generation'!$N$53:$S$57,'Mass Equivalents - AoIC, PR, GU'!BH$31-2018,0)</f>
        <v>713075.48660000018</v>
      </c>
      <c r="BI33" s="186">
        <f>MAX($BE33-V33-VLOOKUP($BD33,'EE Avoided Generation'!$N$53:$S$57,'Mass Equivalents - AoIC, PR, GU'!BI$31-2018,0),0)+'Mass Equivalents - AoIC, PR, GU'!V33+'Mass Equivalents - AoIC, PR, GU'!$T33+VLOOKUP($BD33,'EE Avoided Generation'!$N$53:$S$57,'Mass Equivalents - AoIC, PR, GU'!BI$31-2018,0)</f>
        <v>713075.48660000018</v>
      </c>
      <c r="BJ33" s="186">
        <f>MAX($BE33-W33-VLOOKUP($BD33,'EE Avoided Generation'!$N$53:$S$57,'Mass Equivalents - AoIC, PR, GU'!BJ$31-2018,0),0)+'Mass Equivalents - AoIC, PR, GU'!W33+'Mass Equivalents - AoIC, PR, GU'!$T33+VLOOKUP($BD33,'EE Avoided Generation'!$N$53:$S$57,'Mass Equivalents - AoIC, PR, GU'!BJ$31-2018,0)</f>
        <v>713075.48660000018</v>
      </c>
      <c r="BK33" s="186">
        <f>MAX($BE33-X33-VLOOKUP($BD33,'EE Avoided Generation'!$N$53:$S$57,'Mass Equivalents - AoIC, PR, GU'!BK$31-2018,0),0)+'Mass Equivalents - AoIC, PR, GU'!X33+'Mass Equivalents - AoIC, PR, GU'!$T33+VLOOKUP($BD33,'EE Avoided Generation'!$N$53:$S$57,'Mass Equivalents - AoIC, PR, GU'!BK$31-2018,0)</f>
        <v>713075.48660000018</v>
      </c>
      <c r="BL33" s="187">
        <f>MAX($BE33-Y33-VLOOKUP($BD33,'EE Avoided Generation'!$N$53:$S$57,'Mass Equivalents - AoIC, PR, GU'!BL$31-2018,0),0)+'Mass Equivalents - AoIC, PR, GU'!Y33+'Mass Equivalents - AoIC, PR, GU'!$T33+VLOOKUP($BD33,'EE Avoided Generation'!$N$53:$S$57,'Mass Equivalents - AoIC, PR, GU'!BL$31-2018,0)</f>
        <v>713075.48660000018</v>
      </c>
      <c r="BN33" s="181">
        <f>BH33*AG33/2204.62*10^-3</f>
        <v>617.4268899987859</v>
      </c>
      <c r="BO33" s="182">
        <f t="shared" ref="BO33" si="100">BI33*AH33/2204.62*10^-3</f>
        <v>609.714496144637</v>
      </c>
      <c r="BP33" s="182">
        <f t="shared" ref="BP33" si="101">BJ33*AI33/2204.62*10^-3</f>
        <v>600.65922055432497</v>
      </c>
      <c r="BQ33" s="182">
        <f t="shared" ref="BQ33" si="102">BK33*AJ33/2204.62*10^-3</f>
        <v>590.52184973367832</v>
      </c>
      <c r="BR33" s="182">
        <f t="shared" ref="BR33" si="103">BL33*AK33/2204.62*10^-3</f>
        <v>580.16757877431462</v>
      </c>
      <c r="BS33" s="183">
        <f>AVERAGE(BN33:BR33)</f>
        <v>599.69800704114823</v>
      </c>
      <c r="BT33" s="184">
        <f>BR33</f>
        <v>580.16757877431462</v>
      </c>
      <c r="BW33" s="152">
        <f>BH33+VLOOKUP($BD33,'Incremental Demand for New Gen'!$AG$115:$AL$119,'Mass Equivalents - AoIC, PR, GU'!BH$31-2018,0)</f>
        <v>713075.48660000018</v>
      </c>
      <c r="BX33" s="186">
        <f>BI33+VLOOKUP($BD33,'Incremental Demand for New Gen'!$AG$115:$AL$119,'Mass Equivalents - AoIC, PR, GU'!BI$31-2018,0)</f>
        <v>713075.48660000018</v>
      </c>
      <c r="BY33" s="186">
        <f>BJ33+VLOOKUP($BD33,'Incremental Demand for New Gen'!$AG$115:$AL$119,'Mass Equivalents - AoIC, PR, GU'!BJ$31-2018,0)</f>
        <v>713075.48660000018</v>
      </c>
      <c r="BZ33" s="186">
        <f>BK33+VLOOKUP($BD33,'Incremental Demand for New Gen'!$AG$115:$AL$119,'Mass Equivalents - AoIC, PR, GU'!BK$31-2018,0)</f>
        <v>713075.48660000018</v>
      </c>
      <c r="CA33" s="187">
        <f>BL33+VLOOKUP($BD33,'Incremental Demand for New Gen'!$AG$115:$AL$119,'Mass Equivalents - AoIC, PR, GU'!BL$31-2018,0)</f>
        <v>713075.48660000018</v>
      </c>
      <c r="CC33" s="181">
        <f>BW33*AG33/2204.62*10^-3</f>
        <v>617.4268899987859</v>
      </c>
      <c r="CD33" s="182">
        <f t="shared" ref="CD33" si="104">BX33*AH33/2204.62*10^-3</f>
        <v>609.714496144637</v>
      </c>
      <c r="CE33" s="182">
        <f t="shared" ref="CE33" si="105">BY33*AI33/2204.62*10^-3</f>
        <v>600.65922055432497</v>
      </c>
      <c r="CF33" s="182">
        <f t="shared" ref="CF33" si="106">BZ33*AJ33/2204.62*10^-3</f>
        <v>590.52184973367832</v>
      </c>
      <c r="CG33" s="182">
        <f t="shared" ref="CG33" si="107">CA33*AK33/2204.62*10^-3</f>
        <v>580.16757877431462</v>
      </c>
      <c r="CH33" s="183">
        <f>AVERAGE(CC33:CG33)</f>
        <v>599.69800704114823</v>
      </c>
      <c r="CI33" s="184">
        <f>CG33</f>
        <v>580.16757877431462</v>
      </c>
    </row>
    <row r="34" spans="1:87" x14ac:dyDescent="0.25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BD34" s="175"/>
      <c r="BE34" s="154"/>
      <c r="BF34" s="155"/>
      <c r="BH34" s="160"/>
      <c r="BI34" s="185"/>
      <c r="BJ34" s="185"/>
      <c r="BK34" s="185"/>
      <c r="BL34" s="161"/>
      <c r="BN34" s="160"/>
      <c r="BO34" s="185"/>
      <c r="BP34" s="185"/>
      <c r="BQ34" s="185"/>
      <c r="BR34" s="185"/>
      <c r="BS34" s="160"/>
      <c r="BT34" s="161"/>
      <c r="BW34" s="160"/>
      <c r="BX34" s="185"/>
      <c r="BY34" s="185"/>
      <c r="BZ34" s="185"/>
      <c r="CA34" s="161"/>
      <c r="CC34" s="160"/>
      <c r="CD34" s="185"/>
      <c r="CE34" s="185"/>
      <c r="CF34" s="185"/>
      <c r="CG34" s="185"/>
      <c r="CH34" s="160"/>
      <c r="CI34" s="161"/>
    </row>
    <row r="35" spans="1:87" x14ac:dyDescent="0.25">
      <c r="A35" s="108" t="s">
        <v>188</v>
      </c>
      <c r="B35" s="109">
        <v>2120.6515416265024</v>
      </c>
      <c r="C35" s="109">
        <v>0</v>
      </c>
      <c r="D35" s="109">
        <v>0</v>
      </c>
      <c r="E35" s="109">
        <v>0</v>
      </c>
      <c r="F35" s="109">
        <v>29629453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10">
        <v>2035.8254799614422</v>
      </c>
      <c r="M35" s="111">
        <v>29629453</v>
      </c>
      <c r="N35" s="111">
        <v>0</v>
      </c>
      <c r="O35" s="111">
        <v>0</v>
      </c>
      <c r="P35" s="111">
        <v>0</v>
      </c>
      <c r="Q35" s="111">
        <v>0</v>
      </c>
      <c r="R35" s="112">
        <v>0</v>
      </c>
      <c r="S35" s="112">
        <v>0</v>
      </c>
      <c r="T35" s="113">
        <v>0</v>
      </c>
      <c r="U35" s="114">
        <v>0</v>
      </c>
      <c r="V35" s="114">
        <v>0</v>
      </c>
      <c r="W35" s="114">
        <v>0</v>
      </c>
      <c r="X35" s="114">
        <v>0</v>
      </c>
      <c r="Y35" s="114">
        <v>0</v>
      </c>
      <c r="Z35" s="115">
        <v>8.4792605833782925E-3</v>
      </c>
      <c r="AA35" s="115">
        <v>1.3786477087970223E-2</v>
      </c>
      <c r="AB35" s="115">
        <v>2.0155085415072747E-2</v>
      </c>
      <c r="AC35" s="115">
        <v>2.7475903782224774E-2</v>
      </c>
      <c r="AD35" s="115">
        <v>3.5159771809582907E-2</v>
      </c>
      <c r="AE35" s="116">
        <v>40.767969547601119</v>
      </c>
      <c r="AF35" s="117">
        <v>726782.65139999997</v>
      </c>
      <c r="AG35" s="118">
        <v>2035.4021401353559</v>
      </c>
      <c r="AH35" s="118">
        <v>2035.1372589511061</v>
      </c>
      <c r="AI35" s="118">
        <v>2034.8194950869724</v>
      </c>
      <c r="AJ35" s="118">
        <v>2034.4543429537221</v>
      </c>
      <c r="AK35" s="118">
        <v>2034.0712233513855</v>
      </c>
      <c r="AL35" s="119">
        <v>2034.7768920957085</v>
      </c>
      <c r="AM35" s="119">
        <v>2034.0712233513855</v>
      </c>
      <c r="BD35" s="175" t="s">
        <v>188</v>
      </c>
      <c r="BE35" s="156">
        <f t="shared" ref="BE35:BE37" si="108">M35+N35+O35+Q35</f>
        <v>29629453</v>
      </c>
      <c r="BF35" s="157">
        <f t="shared" ref="BF35:BF37" si="109">((B35*F35)+(C35*G35)+(D35*H35)+E35)/2204.62*10^-3</f>
        <v>28500.941287840989</v>
      </c>
      <c r="BH35" s="150">
        <f>MAX($BE35-U35-VLOOKUP($BD35,'EE Avoided Generation'!$N$53:$S$57,'Mass Equivalents - AoIC, PR, GU'!BH$31-2018,0),0)+'Mass Equivalents - AoIC, PR, GU'!U35+'Mass Equivalents - AoIC, PR, GU'!$T35+VLOOKUP($BD35,'EE Avoided Generation'!$N$53:$S$57,'Mass Equivalents - AoIC, PR, GU'!BH$31-2018,0)</f>
        <v>29629453</v>
      </c>
      <c r="BI35" s="164">
        <f>MAX($BE35-V35-VLOOKUP($BD35,'EE Avoided Generation'!$N$53:$S$57,'Mass Equivalents - AoIC, PR, GU'!BI$31-2018,0),0)+'Mass Equivalents - AoIC, PR, GU'!V35+'Mass Equivalents - AoIC, PR, GU'!$T35+VLOOKUP($BD35,'EE Avoided Generation'!$N$53:$S$57,'Mass Equivalents - AoIC, PR, GU'!BI$31-2018,0)</f>
        <v>29629453</v>
      </c>
      <c r="BJ35" s="164">
        <f>MAX($BE35-W35-VLOOKUP($BD35,'EE Avoided Generation'!$N$53:$S$57,'Mass Equivalents - AoIC, PR, GU'!BJ$31-2018,0),0)+'Mass Equivalents - AoIC, PR, GU'!W35+'Mass Equivalents - AoIC, PR, GU'!$T35+VLOOKUP($BD35,'EE Avoided Generation'!$N$53:$S$57,'Mass Equivalents - AoIC, PR, GU'!BJ$31-2018,0)</f>
        <v>29629453</v>
      </c>
      <c r="BK35" s="164">
        <f>MAX($BE35-X35-VLOOKUP($BD35,'EE Avoided Generation'!$N$53:$S$57,'Mass Equivalents - AoIC, PR, GU'!BK$31-2018,0),0)+'Mass Equivalents - AoIC, PR, GU'!X35+'Mass Equivalents - AoIC, PR, GU'!$T35+VLOOKUP($BD35,'EE Avoided Generation'!$N$53:$S$57,'Mass Equivalents - AoIC, PR, GU'!BK$31-2018,0)</f>
        <v>29629453</v>
      </c>
      <c r="BL35" s="165">
        <f>MAX($BE35-Y35-VLOOKUP($BD35,'EE Avoided Generation'!$N$53:$S$57,'Mass Equivalents - AoIC, PR, GU'!BL$31-2018,0),0)+'Mass Equivalents - AoIC, PR, GU'!Y35+'Mass Equivalents - AoIC, PR, GU'!$T35+VLOOKUP($BD35,'EE Avoided Generation'!$N$53:$S$57,'Mass Equivalents - AoIC, PR, GU'!BL$31-2018,0)</f>
        <v>29629453</v>
      </c>
      <c r="BN35" s="45">
        <f>BH35*AG35/2204.62*10^-3</f>
        <v>27355.21407192167</v>
      </c>
      <c r="BO35" s="50">
        <f t="shared" ref="BO35:BO37" si="110">BI35*AH35/2204.62*10^-3</f>
        <v>27351.654145676184</v>
      </c>
      <c r="BP35" s="50">
        <f t="shared" ref="BP35:BP37" si="111">BJ35*AI35/2204.62*10^-3</f>
        <v>27347.383491560078</v>
      </c>
      <c r="BQ35" s="50">
        <f t="shared" ref="BQ35:BQ37" si="112">BK35*AJ35/2204.62*10^-3</f>
        <v>27342.475952859539</v>
      </c>
      <c r="BR35" s="50">
        <f t="shared" ref="BR35:BR37" si="113">BL35*AK35/2204.62*10^-3</f>
        <v>27337.32693658879</v>
      </c>
      <c r="BS35" s="179">
        <f>AVERAGE(BN35:BR35)</f>
        <v>27346.810919721254</v>
      </c>
      <c r="BT35" s="177">
        <f>BR35</f>
        <v>27337.32693658879</v>
      </c>
      <c r="BW35" s="150">
        <f>BH35+VLOOKUP($BD35,'Incremental Demand for New Gen'!$AG$115:$AL$119,'Mass Equivalents - AoIC, PR, GU'!BH$31-2018,0)</f>
        <v>29710144.414443634</v>
      </c>
      <c r="BX35" s="164">
        <f>BI35+VLOOKUP($BD35,'Incremental Demand for New Gen'!$AG$115:$AL$119,'Mass Equivalents - AoIC, PR, GU'!BI$31-2018,0)</f>
        <v>29720841.35736765</v>
      </c>
      <c r="BY35" s="164">
        <f>BJ35+VLOOKUP($BD35,'Incremental Demand for New Gen'!$AG$115:$AL$119,'Mass Equivalents - AoIC, PR, GU'!BJ$31-2018,0)</f>
        <v>29731680.007118866</v>
      </c>
      <c r="BZ35" s="164">
        <f>BK35+VLOOKUP($BD35,'Incremental Demand for New Gen'!$AG$115:$AL$119,'Mass Equivalents - AoIC, PR, GU'!BK$31-2018,0)</f>
        <v>29742662.240946233</v>
      </c>
      <c r="CA35" s="165">
        <f>BL35+VLOOKUP($BD35,'Incremental Demand for New Gen'!$AG$115:$AL$119,'Mass Equivalents - AoIC, PR, GU'!BL$31-2018,0)</f>
        <v>29753789.960967403</v>
      </c>
      <c r="CC35" s="45">
        <f>BW35*AG35/2204.62*10^-3</f>
        <v>27429.711934432718</v>
      </c>
      <c r="CD35" s="50">
        <f t="shared" ref="CD35:CD37" si="114">BX35*AH35/2204.62*10^-3</f>
        <v>27436.016916182321</v>
      </c>
      <c r="CE35" s="50">
        <f t="shared" ref="CE35:CE37" si="115">BY35*AI35/2204.62*10^-3</f>
        <v>27441.736943406595</v>
      </c>
      <c r="CF35" s="50">
        <f t="shared" ref="CF35:CF37" si="116">BZ35*AJ35/2204.62*10^-3</f>
        <v>27446.947032639982</v>
      </c>
      <c r="CG35" s="50">
        <f t="shared" ref="CG35:CG37" si="117">CA35*AK35/2204.62*10^-3</f>
        <v>27452.045225592232</v>
      </c>
      <c r="CH35" s="179">
        <f>AVERAGE(CC35:CG35)</f>
        <v>27441.291610450768</v>
      </c>
      <c r="CI35" s="177">
        <f>CG35</f>
        <v>27452.045225592232</v>
      </c>
    </row>
    <row r="36" spans="1:87" x14ac:dyDescent="0.25">
      <c r="A36" s="108" t="s">
        <v>189</v>
      </c>
      <c r="B36" s="109">
        <v>2144.7457524560473</v>
      </c>
      <c r="C36" s="109">
        <v>0</v>
      </c>
      <c r="D36" s="109">
        <v>0</v>
      </c>
      <c r="E36" s="109">
        <v>0</v>
      </c>
      <c r="F36" s="109">
        <v>3090433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10">
        <v>2058.9559223578053</v>
      </c>
      <c r="M36" s="111">
        <v>3090433</v>
      </c>
      <c r="N36" s="111">
        <v>0</v>
      </c>
      <c r="O36" s="111">
        <v>0</v>
      </c>
      <c r="P36" s="111">
        <v>0</v>
      </c>
      <c r="Q36" s="111">
        <v>0</v>
      </c>
      <c r="R36" s="112">
        <v>0</v>
      </c>
      <c r="S36" s="112">
        <v>0</v>
      </c>
      <c r="T36" s="113">
        <v>0</v>
      </c>
      <c r="U36" s="114">
        <v>0</v>
      </c>
      <c r="V36" s="114">
        <v>0</v>
      </c>
      <c r="W36" s="114">
        <v>0</v>
      </c>
      <c r="X36" s="114">
        <v>0</v>
      </c>
      <c r="Y36" s="114">
        <v>0</v>
      </c>
      <c r="Z36" s="115">
        <v>8.5241796631988238E-3</v>
      </c>
      <c r="AA36" s="115">
        <v>1.3873039612643426E-2</v>
      </c>
      <c r="AB36" s="115">
        <v>2.0300788939367757E-2</v>
      </c>
      <c r="AC36" s="115">
        <v>2.7699730208821192E-2</v>
      </c>
      <c r="AD36" s="115">
        <v>3.5480078800976117E-2</v>
      </c>
      <c r="AE36" s="116">
        <v>6.5752914318297391</v>
      </c>
      <c r="AF36" s="117">
        <v>470007</v>
      </c>
      <c r="AG36" s="118">
        <v>2056.2901566018281</v>
      </c>
      <c r="AH36" s="118">
        <v>2054.6209300844521</v>
      </c>
      <c r="AI36" s="118">
        <v>2052.6185946067617</v>
      </c>
      <c r="AJ36" s="118">
        <v>2050.3185454233858</v>
      </c>
      <c r="AK36" s="118">
        <v>2047.9054847113796</v>
      </c>
      <c r="AL36" s="119">
        <v>2052.3507422855614</v>
      </c>
      <c r="AM36" s="119">
        <v>2047.9054847113796</v>
      </c>
      <c r="BD36" s="175" t="s">
        <v>189</v>
      </c>
      <c r="BE36" s="150">
        <f t="shared" si="108"/>
        <v>3090433</v>
      </c>
      <c r="BF36" s="46">
        <f t="shared" si="109"/>
        <v>3006.5013698505868</v>
      </c>
      <c r="BH36" s="150">
        <f>MAX($BE36-U36-VLOOKUP($BD36,'EE Avoided Generation'!$N$53:$S$57,'Mass Equivalents - AoIC, PR, GU'!BH$31-2018,0),0)+'Mass Equivalents - AoIC, PR, GU'!U36+'Mass Equivalents - AoIC, PR, GU'!$T36+VLOOKUP($BD36,'EE Avoided Generation'!$N$53:$S$57,'Mass Equivalents - AoIC, PR, GU'!BH$31-2018,0)</f>
        <v>3090433</v>
      </c>
      <c r="BI36" s="164">
        <f>MAX($BE36-V36-VLOOKUP($BD36,'EE Avoided Generation'!$N$53:$S$57,'Mass Equivalents - AoIC, PR, GU'!BI$31-2018,0),0)+'Mass Equivalents - AoIC, PR, GU'!V36+'Mass Equivalents - AoIC, PR, GU'!$T36+VLOOKUP($BD36,'EE Avoided Generation'!$N$53:$S$57,'Mass Equivalents - AoIC, PR, GU'!BI$31-2018,0)</f>
        <v>3090433</v>
      </c>
      <c r="BJ36" s="164">
        <f>MAX($BE36-W36-VLOOKUP($BD36,'EE Avoided Generation'!$N$53:$S$57,'Mass Equivalents - AoIC, PR, GU'!BJ$31-2018,0),0)+'Mass Equivalents - AoIC, PR, GU'!W36+'Mass Equivalents - AoIC, PR, GU'!$T36+VLOOKUP($BD36,'EE Avoided Generation'!$N$53:$S$57,'Mass Equivalents - AoIC, PR, GU'!BJ$31-2018,0)</f>
        <v>3090433</v>
      </c>
      <c r="BK36" s="164">
        <f>MAX($BE36-X36-VLOOKUP($BD36,'EE Avoided Generation'!$N$53:$S$57,'Mass Equivalents - AoIC, PR, GU'!BK$31-2018,0),0)+'Mass Equivalents - AoIC, PR, GU'!X36+'Mass Equivalents - AoIC, PR, GU'!$T36+VLOOKUP($BD36,'EE Avoided Generation'!$N$53:$S$57,'Mass Equivalents - AoIC, PR, GU'!BK$31-2018,0)</f>
        <v>3090433</v>
      </c>
      <c r="BL36" s="165">
        <f>MAX($BE36-Y36-VLOOKUP($BD36,'EE Avoided Generation'!$N$53:$S$57,'Mass Equivalents - AoIC, PR, GU'!BL$31-2018,0),0)+'Mass Equivalents - AoIC, PR, GU'!Y36+'Mass Equivalents - AoIC, PR, GU'!$T36+VLOOKUP($BD36,'EE Avoided Generation'!$N$53:$S$57,'Mass Equivalents - AoIC, PR, GU'!BL$31-2018,0)</f>
        <v>3090433</v>
      </c>
      <c r="BN36" s="45">
        <f>BH36*AG36/2204.62*10^-3</f>
        <v>2882.5044486294501</v>
      </c>
      <c r="BO36" s="50">
        <f t="shared" si="110"/>
        <v>2880.1645294080995</v>
      </c>
      <c r="BP36" s="50">
        <f t="shared" si="111"/>
        <v>2877.3576585472138</v>
      </c>
      <c r="BQ36" s="50">
        <f t="shared" si="112"/>
        <v>2874.133453061494</v>
      </c>
      <c r="BR36" s="50">
        <f t="shared" si="113"/>
        <v>2870.7508281849223</v>
      </c>
      <c r="BS36" s="179">
        <f>AVERAGE(BN36:BR36)</f>
        <v>2876.982183566236</v>
      </c>
      <c r="BT36" s="177">
        <f>BR36</f>
        <v>2870.7508281849223</v>
      </c>
      <c r="BW36" s="150">
        <f>BH36+VLOOKUP($BD36,'Incremental Demand for New Gen'!$AG$115:$AL$119,'Mass Equivalents - AoIC, PR, GU'!BH$31-2018,0)</f>
        <v>3139047.0338381524</v>
      </c>
      <c r="BX36" s="164">
        <f>BI36+VLOOKUP($BD36,'Incremental Demand for New Gen'!$AG$115:$AL$119,'Mass Equivalents - AoIC, PR, GU'!BI$31-2018,0)</f>
        <v>3145443.8130333354</v>
      </c>
      <c r="BY36" s="164">
        <f>BJ36+VLOOKUP($BD36,'Incremental Demand for New Gen'!$AG$115:$AL$119,'Mass Equivalents - AoIC, PR, GU'!BJ$31-2018,0)</f>
        <v>3151914.4647126757</v>
      </c>
      <c r="BZ36" s="164">
        <f>BK36+VLOOKUP($BD36,'Incremental Demand for New Gen'!$AG$115:$AL$119,'Mass Equivalents - AoIC, PR, GU'!BK$31-2018,0)</f>
        <v>3158459.8419842375</v>
      </c>
      <c r="CA36" s="165">
        <f>BL36+VLOOKUP($BD36,'Incremental Demand for New Gen'!$AG$115:$AL$119,'Mass Equivalents - AoIC, PR, GU'!BL$31-2018,0)</f>
        <v>3165080.8078081082</v>
      </c>
      <c r="CC36" s="45">
        <f>BW36*AG36/2204.62*10^-3</f>
        <v>2927.8476639019691</v>
      </c>
      <c r="CD36" s="50">
        <f t="shared" si="114"/>
        <v>2931.4324884392495</v>
      </c>
      <c r="CE36" s="50">
        <f t="shared" si="115"/>
        <v>2934.6001754856879</v>
      </c>
      <c r="CF36" s="50">
        <f t="shared" si="116"/>
        <v>2937.3990932656416</v>
      </c>
      <c r="CG36" s="50">
        <f t="shared" si="117"/>
        <v>2940.0923269610857</v>
      </c>
      <c r="CH36" s="179">
        <f>AVERAGE(CC36:CG36)</f>
        <v>2934.2743496107264</v>
      </c>
      <c r="CI36" s="177">
        <f>CG36</f>
        <v>2940.0923269610857</v>
      </c>
    </row>
    <row r="37" spans="1:87" ht="15.75" thickBot="1" x14ac:dyDescent="0.3">
      <c r="A37" s="108" t="s">
        <v>190</v>
      </c>
      <c r="B37" s="109">
        <v>0</v>
      </c>
      <c r="C37" s="109">
        <v>858.0739538294863</v>
      </c>
      <c r="D37" s="109">
        <v>0</v>
      </c>
      <c r="E37" s="109">
        <v>0</v>
      </c>
      <c r="F37" s="109">
        <v>0</v>
      </c>
      <c r="G37" s="109">
        <v>1360092.9998999999</v>
      </c>
      <c r="H37" s="109">
        <v>0</v>
      </c>
      <c r="I37" s="109">
        <v>0</v>
      </c>
      <c r="J37" s="109">
        <v>708</v>
      </c>
      <c r="K37" s="109">
        <v>0</v>
      </c>
      <c r="L37" s="110">
        <v>0</v>
      </c>
      <c r="M37" s="111">
        <v>0</v>
      </c>
      <c r="N37" s="111">
        <v>0</v>
      </c>
      <c r="O37" s="111">
        <v>1360092.9998999999</v>
      </c>
      <c r="P37" s="111">
        <v>0</v>
      </c>
      <c r="Q37" s="111">
        <v>0</v>
      </c>
      <c r="R37" s="112">
        <v>0.2186970982005032</v>
      </c>
      <c r="S37" s="112">
        <v>0.2186970982005032</v>
      </c>
      <c r="T37" s="113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5">
        <v>8.4792605833782925E-3</v>
      </c>
      <c r="AA37" s="115">
        <v>1.3786477087970225E-2</v>
      </c>
      <c r="AB37" s="115">
        <v>2.015508541507275E-2</v>
      </c>
      <c r="AC37" s="115">
        <v>2.7475903782224777E-2</v>
      </c>
      <c r="AD37" s="115">
        <v>3.5159771809582914E-2</v>
      </c>
      <c r="AE37" s="116">
        <v>26.35593975560413</v>
      </c>
      <c r="AF37" s="117">
        <v>51604.799999999996</v>
      </c>
      <c r="AG37" s="118">
        <v>857.79798216290556</v>
      </c>
      <c r="AH37" s="118">
        <v>857.62534026407161</v>
      </c>
      <c r="AI37" s="118">
        <v>857.41826336673478</v>
      </c>
      <c r="AJ37" s="118">
        <v>857.18034863075741</v>
      </c>
      <c r="AK37" s="118">
        <v>856.93077734375265</v>
      </c>
      <c r="AL37" s="119">
        <v>857.39054235364461</v>
      </c>
      <c r="AM37" s="119">
        <v>856.93077734375265</v>
      </c>
      <c r="BD37" s="176" t="s">
        <v>190</v>
      </c>
      <c r="BE37" s="151">
        <f t="shared" si="108"/>
        <v>1360092.9998999999</v>
      </c>
      <c r="BF37" s="48">
        <f t="shared" si="109"/>
        <v>529.37031234407755</v>
      </c>
      <c r="BH37" s="152">
        <f>MAX($BE37-U37-VLOOKUP($BD37,'EE Avoided Generation'!$N$53:$S$57,'Mass Equivalents - AoIC, PR, GU'!BH$31-2018,0),0)+'Mass Equivalents - AoIC, PR, GU'!U37+'Mass Equivalents - AoIC, PR, GU'!$T37+VLOOKUP($BD37,'EE Avoided Generation'!$N$53:$S$57,'Mass Equivalents - AoIC, PR, GU'!BH$31-2018,0)</f>
        <v>1360092.9998999999</v>
      </c>
      <c r="BI37" s="186">
        <f>MAX($BE37-V37-VLOOKUP($BD37,'EE Avoided Generation'!$N$53:$S$57,'Mass Equivalents - AoIC, PR, GU'!BI$31-2018,0),0)+'Mass Equivalents - AoIC, PR, GU'!V37+'Mass Equivalents - AoIC, PR, GU'!$T37+VLOOKUP($BD37,'EE Avoided Generation'!$N$53:$S$57,'Mass Equivalents - AoIC, PR, GU'!BI$31-2018,0)</f>
        <v>1360092.9998999999</v>
      </c>
      <c r="BJ37" s="186">
        <f>MAX($BE37-W37-VLOOKUP($BD37,'EE Avoided Generation'!$N$53:$S$57,'Mass Equivalents - AoIC, PR, GU'!BJ$31-2018,0),0)+'Mass Equivalents - AoIC, PR, GU'!W37+'Mass Equivalents - AoIC, PR, GU'!$T37+VLOOKUP($BD37,'EE Avoided Generation'!$N$53:$S$57,'Mass Equivalents - AoIC, PR, GU'!BJ$31-2018,0)</f>
        <v>1360092.9998999999</v>
      </c>
      <c r="BK37" s="186">
        <f>MAX($BE37-X37-VLOOKUP($BD37,'EE Avoided Generation'!$N$53:$S$57,'Mass Equivalents - AoIC, PR, GU'!BK$31-2018,0),0)+'Mass Equivalents - AoIC, PR, GU'!X37+'Mass Equivalents - AoIC, PR, GU'!$T37+VLOOKUP($BD37,'EE Avoided Generation'!$N$53:$S$57,'Mass Equivalents - AoIC, PR, GU'!BK$31-2018,0)</f>
        <v>1360092.9998999999</v>
      </c>
      <c r="BL37" s="187">
        <f>MAX($BE37-Y37-VLOOKUP($BD37,'EE Avoided Generation'!$N$53:$S$57,'Mass Equivalents - AoIC, PR, GU'!BL$31-2018,0),0)+'Mass Equivalents - AoIC, PR, GU'!Y37+'Mass Equivalents - AoIC, PR, GU'!$T37+VLOOKUP($BD37,'EE Avoided Generation'!$N$53:$S$57,'Mass Equivalents - AoIC, PR, GU'!BL$31-2018,0)</f>
        <v>1360092.9998999999</v>
      </c>
      <c r="BN37" s="181">
        <f>BH37*AG37/2204.62*10^-3</f>
        <v>529.2000575464765</v>
      </c>
      <c r="BO37" s="182">
        <f t="shared" si="110"/>
        <v>529.09354983172591</v>
      </c>
      <c r="BP37" s="182">
        <f t="shared" si="111"/>
        <v>528.96579818359203</v>
      </c>
      <c r="BQ37" s="182">
        <f t="shared" si="112"/>
        <v>528.81902179266024</v>
      </c>
      <c r="BR37" s="182">
        <f t="shared" si="113"/>
        <v>528.66505414271103</v>
      </c>
      <c r="BS37" s="183">
        <f>AVERAGE(BN37:BR37)</f>
        <v>528.94869629943321</v>
      </c>
      <c r="BT37" s="184">
        <f>BR37</f>
        <v>528.66505414271103</v>
      </c>
      <c r="BW37" s="152">
        <f>BH37+VLOOKUP($BD37,'Incremental Demand for New Gen'!$AG$115:$AL$119,'Mass Equivalents - AoIC, PR, GU'!BH$31-2018,0)</f>
        <v>1365822.4491322562</v>
      </c>
      <c r="BX37" s="186">
        <f>BI37+VLOOKUP($BD37,'Incremental Demand for New Gen'!$AG$115:$AL$119,'Mass Equivalents - AoIC, PR, GU'!BI$31-2018,0)</f>
        <v>1366581.9796454594</v>
      </c>
      <c r="BY37" s="186">
        <f>BJ37+VLOOKUP($BD37,'Incremental Demand for New Gen'!$AG$115:$AL$119,'Mass Equivalents - AoIC, PR, GU'!BJ$31-2018,0)</f>
        <v>1367351.5719735154</v>
      </c>
      <c r="BZ37" s="186">
        <f>BK37+VLOOKUP($BD37,'Incremental Demand for New Gen'!$AG$115:$AL$119,'Mass Equivalents - AoIC, PR, GU'!BK$31-2018,0)</f>
        <v>1368131.3594094468</v>
      </c>
      <c r="CA37" s="187">
        <f>BL37+VLOOKUP($BD37,'Incremental Demand for New Gen'!$AG$115:$AL$119,'Mass Equivalents - AoIC, PR, GU'!BL$31-2018,0)</f>
        <v>1368921.4770120645</v>
      </c>
      <c r="CC37" s="181">
        <f>BW37*AG37/2204.62*10^-3</f>
        <v>531.42933515002449</v>
      </c>
      <c r="CD37" s="182">
        <f t="shared" si="114"/>
        <v>531.61784583836936</v>
      </c>
      <c r="CE37" s="182">
        <f t="shared" si="115"/>
        <v>531.78879364847751</v>
      </c>
      <c r="CF37" s="182">
        <f t="shared" si="116"/>
        <v>531.94442381510726</v>
      </c>
      <c r="CG37" s="182">
        <f t="shared" si="117"/>
        <v>532.09666310679677</v>
      </c>
      <c r="CH37" s="183">
        <f>AVERAGE(CC37:CG37)</f>
        <v>531.77541231175508</v>
      </c>
      <c r="CI37" s="184">
        <f>CG37</f>
        <v>532.09666310679677</v>
      </c>
    </row>
    <row r="38" spans="1:87" x14ac:dyDescent="0.25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6"/>
      <c r="AA38" s="126"/>
      <c r="AB38" s="126"/>
      <c r="AC38" s="126"/>
      <c r="AD38" s="126"/>
      <c r="AE38" s="126"/>
      <c r="AF38" s="126"/>
      <c r="AG38" s="120"/>
      <c r="AH38" s="120"/>
      <c r="AI38" s="120"/>
      <c r="AJ38" s="120"/>
      <c r="AK38" s="120"/>
      <c r="AL38" s="120"/>
      <c r="AM38" s="120"/>
      <c r="BE38" s="49"/>
      <c r="BF38" s="124"/>
      <c r="BH38" s="49"/>
      <c r="BI38" s="34"/>
      <c r="BJ38" s="34"/>
      <c r="BK38" s="34"/>
      <c r="BL38" s="124"/>
      <c r="BN38" s="49"/>
      <c r="BO38" s="34"/>
      <c r="BP38" s="34"/>
      <c r="BQ38" s="34"/>
      <c r="BR38" s="34"/>
      <c r="BS38" s="49"/>
      <c r="BT38" s="124"/>
      <c r="BW38" s="49"/>
      <c r="BX38" s="34"/>
      <c r="BY38" s="34"/>
      <c r="BZ38" s="34"/>
      <c r="CA38" s="124"/>
      <c r="CC38" s="49"/>
      <c r="CD38" s="34"/>
      <c r="CE38" s="34"/>
      <c r="CF38" s="34"/>
      <c r="CG38" s="34"/>
      <c r="CH38" s="49"/>
      <c r="CI38" s="124"/>
    </row>
    <row r="39" spans="1:87" ht="20.25" thickBot="1" x14ac:dyDescent="0.35">
      <c r="A39" s="95" t="s">
        <v>195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126"/>
      <c r="AA39" s="126"/>
      <c r="AB39" s="126"/>
      <c r="AC39" s="126"/>
      <c r="AD39" s="126"/>
      <c r="AE39" s="126"/>
      <c r="AF39" s="126"/>
      <c r="AG39" s="95"/>
      <c r="AH39" s="95"/>
      <c r="AI39" s="95"/>
      <c r="AJ39" s="95"/>
      <c r="AK39" s="95"/>
      <c r="AL39" s="95"/>
      <c r="AM39" s="95"/>
      <c r="BE39" s="49"/>
      <c r="BF39" s="124"/>
      <c r="BH39" s="49"/>
      <c r="BI39" s="34"/>
      <c r="BJ39" s="34"/>
      <c r="BK39" s="34"/>
      <c r="BL39" s="124"/>
      <c r="BN39" s="49"/>
      <c r="BO39" s="34"/>
      <c r="BP39" s="34"/>
      <c r="BQ39" s="34"/>
      <c r="BR39" s="34"/>
      <c r="BS39" s="49"/>
      <c r="BT39" s="124"/>
      <c r="BW39" s="49"/>
      <c r="BX39" s="34"/>
      <c r="BY39" s="34"/>
      <c r="BZ39" s="34"/>
      <c r="CA39" s="124"/>
      <c r="CC39" s="49"/>
      <c r="CD39" s="34"/>
      <c r="CE39" s="34"/>
      <c r="CF39" s="34"/>
      <c r="CG39" s="34"/>
      <c r="CH39" s="49"/>
      <c r="CI39" s="124"/>
    </row>
    <row r="40" spans="1:87" ht="15.75" customHeight="1" thickTop="1" thickBot="1" x14ac:dyDescent="0.3">
      <c r="A40" s="96"/>
      <c r="B40" s="217"/>
      <c r="C40" s="218"/>
      <c r="D40" s="218"/>
      <c r="E40" s="218"/>
      <c r="F40" s="218"/>
      <c r="G40" s="218"/>
      <c r="H40" s="218"/>
      <c r="I40" s="218"/>
      <c r="J40" s="218"/>
      <c r="K40" s="219"/>
      <c r="L40" s="97" t="s">
        <v>0</v>
      </c>
      <c r="M40" s="220" t="s">
        <v>1</v>
      </c>
      <c r="N40" s="221"/>
      <c r="O40" s="221"/>
      <c r="P40" s="221"/>
      <c r="Q40" s="221"/>
      <c r="R40" s="221"/>
      <c r="S40" s="222"/>
      <c r="T40" s="98" t="s">
        <v>2</v>
      </c>
      <c r="U40" s="223" t="s">
        <v>3</v>
      </c>
      <c r="V40" s="224"/>
      <c r="W40" s="224"/>
      <c r="X40" s="224"/>
      <c r="Y40" s="224"/>
      <c r="Z40" s="225" t="s">
        <v>181</v>
      </c>
      <c r="AA40" s="226"/>
      <c r="AB40" s="226"/>
      <c r="AC40" s="226"/>
      <c r="AD40" s="226"/>
      <c r="AE40" s="226"/>
      <c r="AF40" s="227"/>
      <c r="AG40" s="228" t="s">
        <v>4</v>
      </c>
      <c r="AH40" s="229"/>
      <c r="AI40" s="229"/>
      <c r="AJ40" s="229"/>
      <c r="AK40" s="229"/>
      <c r="AL40" s="229"/>
      <c r="AM40" s="230"/>
      <c r="BE40" s="49"/>
      <c r="BF40" s="124"/>
      <c r="BH40" s="49"/>
      <c r="BI40" s="34"/>
      <c r="BJ40" s="34"/>
      <c r="BK40" s="34"/>
      <c r="BL40" s="124"/>
      <c r="BN40" s="49"/>
      <c r="BO40" s="34"/>
      <c r="BP40" s="34"/>
      <c r="BQ40" s="34"/>
      <c r="BR40" s="34"/>
      <c r="BS40" s="49"/>
      <c r="BT40" s="124"/>
      <c r="BW40" s="49"/>
      <c r="BX40" s="34"/>
      <c r="BY40" s="34"/>
      <c r="BZ40" s="34"/>
      <c r="CA40" s="124"/>
      <c r="CC40" s="49"/>
      <c r="CD40" s="34"/>
      <c r="CE40" s="34"/>
      <c r="CF40" s="34"/>
      <c r="CG40" s="34"/>
      <c r="CH40" s="49"/>
      <c r="CI40" s="124"/>
    </row>
    <row r="41" spans="1:87" ht="102.75" x14ac:dyDescent="0.25">
      <c r="A41" s="168" t="s">
        <v>199</v>
      </c>
      <c r="B41" s="99" t="s">
        <v>6</v>
      </c>
      <c r="C41" s="99" t="s">
        <v>7</v>
      </c>
      <c r="D41" s="99" t="s">
        <v>95</v>
      </c>
      <c r="E41" s="99" t="s">
        <v>8</v>
      </c>
      <c r="F41" s="99" t="s">
        <v>9</v>
      </c>
      <c r="G41" s="99" t="s">
        <v>10</v>
      </c>
      <c r="H41" s="99" t="s">
        <v>11</v>
      </c>
      <c r="I41" s="99" t="s">
        <v>12</v>
      </c>
      <c r="J41" s="99" t="s">
        <v>13</v>
      </c>
      <c r="K41" s="99" t="s">
        <v>14</v>
      </c>
      <c r="L41" s="100" t="s">
        <v>15</v>
      </c>
      <c r="M41" s="101" t="s">
        <v>16</v>
      </c>
      <c r="N41" s="101" t="s">
        <v>182</v>
      </c>
      <c r="O41" s="101" t="s">
        <v>17</v>
      </c>
      <c r="P41" s="101" t="s">
        <v>8</v>
      </c>
      <c r="Q41" s="101" t="s">
        <v>12</v>
      </c>
      <c r="R41" s="101" t="s">
        <v>18</v>
      </c>
      <c r="S41" s="101" t="s">
        <v>183</v>
      </c>
      <c r="T41" s="102" t="s">
        <v>20</v>
      </c>
      <c r="U41" s="103" t="s">
        <v>21</v>
      </c>
      <c r="V41" s="103" t="s">
        <v>22</v>
      </c>
      <c r="W41" s="103" t="s">
        <v>23</v>
      </c>
      <c r="X41" s="103" t="s">
        <v>24</v>
      </c>
      <c r="Y41" s="103" t="s">
        <v>25</v>
      </c>
      <c r="Z41" s="104" t="s">
        <v>31</v>
      </c>
      <c r="AA41" s="104" t="s">
        <v>32</v>
      </c>
      <c r="AB41" s="104" t="s">
        <v>33</v>
      </c>
      <c r="AC41" s="104" t="s">
        <v>34</v>
      </c>
      <c r="AD41" s="104" t="s">
        <v>35</v>
      </c>
      <c r="AE41" s="104" t="s">
        <v>41</v>
      </c>
      <c r="AF41" s="105" t="s">
        <v>184</v>
      </c>
      <c r="AG41" s="106">
        <v>2020</v>
      </c>
      <c r="AH41" s="106">
        <v>2021</v>
      </c>
      <c r="AI41" s="106">
        <v>2022</v>
      </c>
      <c r="AJ41" s="106">
        <v>2023</v>
      </c>
      <c r="AK41" s="106">
        <v>2024</v>
      </c>
      <c r="AL41" s="107" t="s">
        <v>161</v>
      </c>
      <c r="AM41" s="107" t="s">
        <v>194</v>
      </c>
      <c r="BD41" s="278" t="s">
        <v>205</v>
      </c>
      <c r="BE41" s="285"/>
      <c r="BF41" s="286"/>
      <c r="BH41" s="312"/>
      <c r="BI41" s="313"/>
      <c r="BJ41" s="313"/>
      <c r="BK41" s="313"/>
      <c r="BL41" s="314"/>
      <c r="BN41" s="312"/>
      <c r="BO41" s="313"/>
      <c r="BP41" s="313"/>
      <c r="BQ41" s="313"/>
      <c r="BR41" s="313"/>
      <c r="BS41" s="312"/>
      <c r="BT41" s="314"/>
      <c r="BW41" s="324"/>
      <c r="BX41" s="325"/>
      <c r="BY41" s="325"/>
      <c r="BZ41" s="325"/>
      <c r="CA41" s="326"/>
      <c r="CC41" s="324"/>
      <c r="CD41" s="325"/>
      <c r="CE41" s="325"/>
      <c r="CF41" s="325"/>
      <c r="CG41" s="325"/>
      <c r="CH41" s="324"/>
      <c r="CI41" s="326"/>
    </row>
    <row r="42" spans="1:87" ht="15.75" customHeight="1" x14ac:dyDescent="0.25">
      <c r="A42" s="108" t="s">
        <v>186</v>
      </c>
      <c r="B42" s="109">
        <v>2215.5639697090478</v>
      </c>
      <c r="C42" s="109">
        <v>927.99376193073351</v>
      </c>
      <c r="D42" s="109">
        <v>1792.9453454305308</v>
      </c>
      <c r="E42" s="109">
        <v>0</v>
      </c>
      <c r="F42" s="109">
        <v>3417319.9074880593</v>
      </c>
      <c r="G42" s="109">
        <v>3802792.7985828486</v>
      </c>
      <c r="H42" s="109">
        <v>12763391.454358565</v>
      </c>
      <c r="I42" s="109">
        <v>0</v>
      </c>
      <c r="J42" s="109">
        <v>1080</v>
      </c>
      <c r="K42" s="109">
        <v>0</v>
      </c>
      <c r="L42" s="110">
        <v>2126.9414109206859</v>
      </c>
      <c r="M42" s="111">
        <v>2918139.5928516248</v>
      </c>
      <c r="N42" s="111">
        <v>10898996.567577848</v>
      </c>
      <c r="O42" s="111">
        <v>6166368</v>
      </c>
      <c r="P42" s="111">
        <v>0</v>
      </c>
      <c r="Q42" s="111">
        <v>0</v>
      </c>
      <c r="R42" s="112">
        <v>0.40085433095768069</v>
      </c>
      <c r="S42" s="112">
        <v>0.65</v>
      </c>
      <c r="T42" s="113">
        <v>0</v>
      </c>
      <c r="U42" s="114">
        <v>101092.36598262208</v>
      </c>
      <c r="V42" s="114">
        <v>109847.2015994996</v>
      </c>
      <c r="W42" s="114">
        <v>119360.22648154601</v>
      </c>
      <c r="X42" s="114">
        <v>129697.10159453763</v>
      </c>
      <c r="Y42" s="114">
        <v>140929.17429764193</v>
      </c>
      <c r="Z42" s="115">
        <v>8.6600728815789466E-3</v>
      </c>
      <c r="AA42" s="115">
        <v>1.4135711101491689E-2</v>
      </c>
      <c r="AB42" s="115">
        <v>2.074423721160585E-2</v>
      </c>
      <c r="AC42" s="115">
        <v>2.8382926063932591E-2</v>
      </c>
      <c r="AD42" s="115">
        <v>3.6460625797624699E-2</v>
      </c>
      <c r="AE42" s="116">
        <v>1</v>
      </c>
      <c r="AF42" s="117">
        <v>19513419.783</v>
      </c>
      <c r="AG42" s="118">
        <v>1553.8172350968284</v>
      </c>
      <c r="AH42" s="118">
        <v>1544.9987025564189</v>
      </c>
      <c r="AI42" s="118">
        <v>1534.5668502384979</v>
      </c>
      <c r="AJ42" s="118">
        <v>1522.7315627908104</v>
      </c>
      <c r="AK42" s="118">
        <v>1510.3912405487247</v>
      </c>
      <c r="AL42" s="119">
        <v>1533.301118246256</v>
      </c>
      <c r="AM42" s="119">
        <v>1510.3912405487247</v>
      </c>
      <c r="BD42" s="49" t="s">
        <v>186</v>
      </c>
      <c r="BE42" s="150">
        <f t="shared" ref="BE42:BE43" si="118">M42+N42+O42+Q42</f>
        <v>19983504.160429474</v>
      </c>
      <c r="BF42" s="46">
        <f t="shared" ref="BF42:BF43" si="119">((B42*F42)+(C42*G42)+(D42*H42)+E42)/2204.62*10^-3</f>
        <v>15415.04756148452</v>
      </c>
      <c r="BH42" s="150">
        <f>MAX($BE42-U42-VLOOKUP($BD42,'EE Avoided Generation'!$N$53:$S$57,'Mass Equivalents - AoIC, PR, GU'!BH$31-2018,0),0)+'Mass Equivalents - AoIC, PR, GU'!U42+'Mass Equivalents - AoIC, PR, GU'!$T42+VLOOKUP($BD42,'EE Avoided Generation'!$N$53:$S$57,'Mass Equivalents - AoIC, PR, GU'!BH$31-2018,0)</f>
        <v>19983504.160429474</v>
      </c>
      <c r="BI42" s="164">
        <f>MAX($BE42-V42-VLOOKUP($BD42,'EE Avoided Generation'!$N$53:$S$57,'Mass Equivalents - AoIC, PR, GU'!BI$31-2018,0),0)+'Mass Equivalents - AoIC, PR, GU'!V42+'Mass Equivalents - AoIC, PR, GU'!$T42+VLOOKUP($BD42,'EE Avoided Generation'!$N$53:$S$57,'Mass Equivalents - AoIC, PR, GU'!BI$31-2018,0)</f>
        <v>19983504.160429474</v>
      </c>
      <c r="BJ42" s="164">
        <f>MAX($BE42-W42-VLOOKUP($BD42,'EE Avoided Generation'!$N$53:$S$57,'Mass Equivalents - AoIC, PR, GU'!BJ$31-2018,0),0)+'Mass Equivalents - AoIC, PR, GU'!W42+'Mass Equivalents - AoIC, PR, GU'!$T42+VLOOKUP($BD42,'EE Avoided Generation'!$N$53:$S$57,'Mass Equivalents - AoIC, PR, GU'!BJ$31-2018,0)</f>
        <v>19983504.160429474</v>
      </c>
      <c r="BK42" s="164">
        <f>MAX($BE42-X42-VLOOKUP($BD42,'EE Avoided Generation'!$N$53:$S$57,'Mass Equivalents - AoIC, PR, GU'!BK$31-2018,0),0)+'Mass Equivalents - AoIC, PR, GU'!X42+'Mass Equivalents - AoIC, PR, GU'!$T42+VLOOKUP($BD42,'EE Avoided Generation'!$N$53:$S$57,'Mass Equivalents - AoIC, PR, GU'!BK$31-2018,0)</f>
        <v>19983504.160429474</v>
      </c>
      <c r="BL42" s="165">
        <f>MAX($BE42-Y42-VLOOKUP($BD42,'EE Avoided Generation'!$N$53:$S$57,'Mass Equivalents - AoIC, PR, GU'!BL$31-2018,0),0)+'Mass Equivalents - AoIC, PR, GU'!Y42+'Mass Equivalents - AoIC, PR, GU'!$T42+VLOOKUP($BD42,'EE Avoided Generation'!$N$53:$S$57,'Mass Equivalents - AoIC, PR, GU'!BL$31-2018,0)</f>
        <v>19983504.160429474</v>
      </c>
      <c r="BN42" s="45">
        <f>BH42*AG42/2204.62*10^-3</f>
        <v>14084.383332322348</v>
      </c>
      <c r="BO42" s="50">
        <f t="shared" ref="BO42:BO43" si="120">BI42*AH42/2204.62*10^-3</f>
        <v>14004.448839434615</v>
      </c>
      <c r="BP42" s="50">
        <f t="shared" ref="BP42:BP43" si="121">BJ42*AI42/2204.62*10^-3</f>
        <v>13909.890609809481</v>
      </c>
      <c r="BQ42" s="50">
        <f t="shared" ref="BQ42:BQ43" si="122">BK42*AJ42/2204.62*10^-3</f>
        <v>13802.611116767259</v>
      </c>
      <c r="BR42" s="50">
        <f t="shared" ref="BR42:BR43" si="123">BL42*AK42/2204.62*10^-3</f>
        <v>13690.75379856015</v>
      </c>
      <c r="BS42" s="179">
        <f>AVERAGE(BN42:BR42)</f>
        <v>13898.41753937877</v>
      </c>
      <c r="BT42" s="177">
        <f>BR42</f>
        <v>13690.75379856015</v>
      </c>
      <c r="BW42" s="150">
        <f>BH42+VLOOKUP($BD42,'Incremental Demand for New Gen'!$AG$115:$AL$119,'Mass Equivalents - AoIC, PR, GU'!BH$31-2018,0)</f>
        <v>19983504.160429474</v>
      </c>
      <c r="BX42" s="164">
        <f>BI42+VLOOKUP($BD42,'Incremental Demand for New Gen'!$AG$115:$AL$119,'Mass Equivalents - AoIC, PR, GU'!BI$31-2018,0)</f>
        <v>19983504.160429474</v>
      </c>
      <c r="BY42" s="164">
        <f>BJ42+VLOOKUP($BD42,'Incremental Demand for New Gen'!$AG$115:$AL$119,'Mass Equivalents - AoIC, PR, GU'!BJ$31-2018,0)</f>
        <v>19983504.160429474</v>
      </c>
      <c r="BZ42" s="164">
        <f>BK42+VLOOKUP($BD42,'Incremental Demand for New Gen'!$AG$115:$AL$119,'Mass Equivalents - AoIC, PR, GU'!BK$31-2018,0)</f>
        <v>19983504.160429474</v>
      </c>
      <c r="CA42" s="165">
        <f>BL42+VLOOKUP($BD42,'Incremental Demand for New Gen'!$AG$115:$AL$119,'Mass Equivalents - AoIC, PR, GU'!BL$31-2018,0)</f>
        <v>19983504.160429474</v>
      </c>
      <c r="CC42" s="45">
        <f>BW42*AG42/2204.62*10^-3</f>
        <v>14084.383332322348</v>
      </c>
      <c r="CD42" s="50">
        <f t="shared" ref="CD42:CD43" si="124">BX42*AH42/2204.62*10^-3</f>
        <v>14004.448839434615</v>
      </c>
      <c r="CE42" s="50">
        <f t="shared" ref="CE42:CE43" si="125">BY42*AI42/2204.62*10^-3</f>
        <v>13909.890609809481</v>
      </c>
      <c r="CF42" s="50">
        <f t="shared" ref="CF42:CF43" si="126">BZ42*AJ42/2204.62*10^-3</f>
        <v>13802.611116767259</v>
      </c>
      <c r="CG42" s="50">
        <f t="shared" ref="CG42:CG43" si="127">CA42*AK42/2204.62*10^-3</f>
        <v>13690.75379856015</v>
      </c>
      <c r="CH42" s="179">
        <f>AVERAGE(CC42:CG42)</f>
        <v>13898.41753937877</v>
      </c>
      <c r="CI42" s="177">
        <f>CG42</f>
        <v>13690.75379856015</v>
      </c>
    </row>
    <row r="43" spans="1:87" ht="15.75" thickBot="1" x14ac:dyDescent="0.3">
      <c r="A43" s="108" t="s">
        <v>187</v>
      </c>
      <c r="B43" s="109">
        <v>0</v>
      </c>
      <c r="C43" s="109">
        <v>0</v>
      </c>
      <c r="D43" s="109">
        <v>1947.8707626591574</v>
      </c>
      <c r="E43" s="109">
        <v>0</v>
      </c>
      <c r="F43" s="109">
        <v>0</v>
      </c>
      <c r="G43" s="109">
        <v>0</v>
      </c>
      <c r="H43" s="109">
        <v>713075.48660000018</v>
      </c>
      <c r="I43" s="109">
        <v>0</v>
      </c>
      <c r="J43" s="109">
        <v>0</v>
      </c>
      <c r="K43" s="109">
        <v>0</v>
      </c>
      <c r="L43" s="110">
        <v>0</v>
      </c>
      <c r="M43" s="111">
        <v>0</v>
      </c>
      <c r="N43" s="111">
        <v>713075.48660000018</v>
      </c>
      <c r="O43" s="111">
        <v>0</v>
      </c>
      <c r="P43" s="111">
        <v>0</v>
      </c>
      <c r="Q43" s="111">
        <v>0</v>
      </c>
      <c r="R43" s="112">
        <v>0</v>
      </c>
      <c r="S43" s="112">
        <v>0</v>
      </c>
      <c r="T43" s="113">
        <v>0</v>
      </c>
      <c r="U43" s="114">
        <v>7992.3591712234638</v>
      </c>
      <c r="V43" s="114">
        <v>8684.5161907469083</v>
      </c>
      <c r="W43" s="114">
        <v>9436.6156289494975</v>
      </c>
      <c r="X43" s="114">
        <v>10253.848639652917</v>
      </c>
      <c r="Y43" s="114">
        <v>11141.855942755668</v>
      </c>
      <c r="Z43" s="115">
        <v>8.6600728815789483E-3</v>
      </c>
      <c r="AA43" s="115">
        <v>1.4135711101491692E-2</v>
      </c>
      <c r="AB43" s="115">
        <v>2.074423721160585E-2</v>
      </c>
      <c r="AC43" s="115">
        <v>2.8382926063932595E-2</v>
      </c>
      <c r="AD43" s="115">
        <v>3.6460625797624699E-2</v>
      </c>
      <c r="AE43" s="116">
        <v>1</v>
      </c>
      <c r="AF43" s="117">
        <v>1680891.9724999999</v>
      </c>
      <c r="AG43" s="118">
        <v>1888.1629222368554</v>
      </c>
      <c r="AH43" s="118">
        <v>1863.0992631719009</v>
      </c>
      <c r="AI43" s="118">
        <v>1833.9237863555174</v>
      </c>
      <c r="AJ43" s="118">
        <v>1801.4403309481577</v>
      </c>
      <c r="AK43" s="118">
        <v>1768.2652087472297</v>
      </c>
      <c r="AL43" s="119">
        <v>1830.9783022919321</v>
      </c>
      <c r="AM43" s="119">
        <v>1768.2652087472297</v>
      </c>
      <c r="BD43" s="61" t="s">
        <v>187</v>
      </c>
      <c r="BE43" s="151">
        <f t="shared" si="118"/>
        <v>713075.48660000018</v>
      </c>
      <c r="BF43" s="48">
        <f t="shared" si="119"/>
        <v>630.03097672936474</v>
      </c>
      <c r="BH43" s="151">
        <f>MAX($BE43-U43-VLOOKUP($BD43,'EE Avoided Generation'!$N$53:$S$57,'Mass Equivalents - AoIC, PR, GU'!BH$31-2018,0),0)+'Mass Equivalents - AoIC, PR, GU'!U43+'Mass Equivalents - AoIC, PR, GU'!$T43+VLOOKUP($BD43,'EE Avoided Generation'!$N$53:$S$57,'Mass Equivalents - AoIC, PR, GU'!BH$31-2018,0)</f>
        <v>713075.48660000018</v>
      </c>
      <c r="BI43" s="166">
        <f>MAX($BE43-V43-VLOOKUP($BD43,'EE Avoided Generation'!$N$53:$S$57,'Mass Equivalents - AoIC, PR, GU'!BI$31-2018,0),0)+'Mass Equivalents - AoIC, PR, GU'!V43+'Mass Equivalents - AoIC, PR, GU'!$T43+VLOOKUP($BD43,'EE Avoided Generation'!$N$53:$S$57,'Mass Equivalents - AoIC, PR, GU'!BI$31-2018,0)</f>
        <v>713075.48660000018</v>
      </c>
      <c r="BJ43" s="166">
        <f>MAX($BE43-W43-VLOOKUP($BD43,'EE Avoided Generation'!$N$53:$S$57,'Mass Equivalents - AoIC, PR, GU'!BJ$31-2018,0),0)+'Mass Equivalents - AoIC, PR, GU'!W43+'Mass Equivalents - AoIC, PR, GU'!$T43+VLOOKUP($BD43,'EE Avoided Generation'!$N$53:$S$57,'Mass Equivalents - AoIC, PR, GU'!BJ$31-2018,0)</f>
        <v>713075.48660000018</v>
      </c>
      <c r="BK43" s="166">
        <f>MAX($BE43-X43-VLOOKUP($BD43,'EE Avoided Generation'!$N$53:$S$57,'Mass Equivalents - AoIC, PR, GU'!BK$31-2018,0),0)+'Mass Equivalents - AoIC, PR, GU'!X43+'Mass Equivalents - AoIC, PR, GU'!$T43+VLOOKUP($BD43,'EE Avoided Generation'!$N$53:$S$57,'Mass Equivalents - AoIC, PR, GU'!BK$31-2018,0)</f>
        <v>713075.48660000018</v>
      </c>
      <c r="BL43" s="167">
        <f>MAX($BE43-Y43-VLOOKUP($BD43,'EE Avoided Generation'!$N$53:$S$57,'Mass Equivalents - AoIC, PR, GU'!BL$31-2018,0),0)+'Mass Equivalents - AoIC, PR, GU'!Y43+'Mass Equivalents - AoIC, PR, GU'!$T43+VLOOKUP($BD43,'EE Avoided Generation'!$N$53:$S$57,'Mass Equivalents - AoIC, PR, GU'!BL$31-2018,0)</f>
        <v>713075.48660000018</v>
      </c>
      <c r="BN43" s="47">
        <f>BH43*AG43/2204.62*10^-3</f>
        <v>610.71871549478999</v>
      </c>
      <c r="BO43" s="51">
        <f t="shared" si="120"/>
        <v>602.61197561049312</v>
      </c>
      <c r="BP43" s="51">
        <f t="shared" si="121"/>
        <v>593.17528478503107</v>
      </c>
      <c r="BQ43" s="51">
        <f t="shared" si="122"/>
        <v>582.66864156712859</v>
      </c>
      <c r="BR43" s="51">
        <f t="shared" si="123"/>
        <v>571.93828150215541</v>
      </c>
      <c r="BS43" s="180">
        <f>AVERAGE(BN43:BR43)</f>
        <v>592.22257979191966</v>
      </c>
      <c r="BT43" s="178">
        <f>BR43</f>
        <v>571.93828150215541</v>
      </c>
      <c r="BW43" s="151">
        <f>BH43+VLOOKUP($BD43,'Incremental Demand for New Gen'!$AG$115:$AL$119,'Mass Equivalents - AoIC, PR, GU'!BH$31-2018,0)</f>
        <v>713075.48660000018</v>
      </c>
      <c r="BX43" s="166">
        <f>BI43+VLOOKUP($BD43,'Incremental Demand for New Gen'!$AG$115:$AL$119,'Mass Equivalents - AoIC, PR, GU'!BI$31-2018,0)</f>
        <v>713075.48660000018</v>
      </c>
      <c r="BY43" s="166">
        <f>BJ43+VLOOKUP($BD43,'Incremental Demand for New Gen'!$AG$115:$AL$119,'Mass Equivalents - AoIC, PR, GU'!BJ$31-2018,0)</f>
        <v>713075.48660000018</v>
      </c>
      <c r="BZ43" s="166">
        <f>BK43+VLOOKUP($BD43,'Incremental Demand for New Gen'!$AG$115:$AL$119,'Mass Equivalents - AoIC, PR, GU'!BK$31-2018,0)</f>
        <v>713075.48660000018</v>
      </c>
      <c r="CA43" s="167">
        <f>BL43+VLOOKUP($BD43,'Incremental Demand for New Gen'!$AG$115:$AL$119,'Mass Equivalents - AoIC, PR, GU'!BL$31-2018,0)</f>
        <v>713075.48660000018</v>
      </c>
      <c r="CC43" s="47">
        <f>BW43*AG43/2204.62*10^-3</f>
        <v>610.71871549478999</v>
      </c>
      <c r="CD43" s="51">
        <f t="shared" si="124"/>
        <v>602.61197561049312</v>
      </c>
      <c r="CE43" s="51">
        <f t="shared" si="125"/>
        <v>593.17528478503107</v>
      </c>
      <c r="CF43" s="51">
        <f t="shared" si="126"/>
        <v>582.66864156712859</v>
      </c>
      <c r="CG43" s="51">
        <f t="shared" si="127"/>
        <v>571.93828150215541</v>
      </c>
      <c r="CH43" s="180">
        <f>AVERAGE(CC43:CG43)</f>
        <v>592.22257979191966</v>
      </c>
      <c r="CI43" s="178">
        <f>CG43</f>
        <v>571.93828150215541</v>
      </c>
    </row>
  </sheetData>
  <mergeCells count="39">
    <mergeCell ref="AQ7:BB7"/>
    <mergeCell ref="B17:K17"/>
    <mergeCell ref="M17:S17"/>
    <mergeCell ref="U17:AD17"/>
    <mergeCell ref="AE17:AP17"/>
    <mergeCell ref="AQ17:BB17"/>
    <mergeCell ref="AG30:AM30"/>
    <mergeCell ref="B7:K7"/>
    <mergeCell ref="M7:S7"/>
    <mergeCell ref="U7:AD7"/>
    <mergeCell ref="AE7:AP7"/>
    <mergeCell ref="CR7:DC7"/>
    <mergeCell ref="B40:K40"/>
    <mergeCell ref="M40:S40"/>
    <mergeCell ref="U40:Y40"/>
    <mergeCell ref="Z40:AF40"/>
    <mergeCell ref="AG40:AM40"/>
    <mergeCell ref="BE30:BE31"/>
    <mergeCell ref="B23:K23"/>
    <mergeCell ref="M23:S23"/>
    <mergeCell ref="U23:AD23"/>
    <mergeCell ref="AE23:AP23"/>
    <mergeCell ref="AQ23:BB23"/>
    <mergeCell ref="B30:K30"/>
    <mergeCell ref="M30:S30"/>
    <mergeCell ref="U30:Y30"/>
    <mergeCell ref="Z30:AF30"/>
    <mergeCell ref="BW30:CA30"/>
    <mergeCell ref="CC30:CI30"/>
    <mergeCell ref="BE7:BE8"/>
    <mergeCell ref="BF7:BF8"/>
    <mergeCell ref="BH7:BQ7"/>
    <mergeCell ref="BS7:CD7"/>
    <mergeCell ref="CG7:CP7"/>
    <mergeCell ref="BD30:BD31"/>
    <mergeCell ref="BD7:BD8"/>
    <mergeCell ref="BF30:BF31"/>
    <mergeCell ref="BH30:BL30"/>
    <mergeCell ref="BN30:BT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workbookViewId="0">
      <selection activeCell="B30" sqref="B30"/>
    </sheetView>
  </sheetViews>
  <sheetFormatPr defaultRowHeight="15" x14ac:dyDescent="0.25"/>
  <cols>
    <col min="1" max="1" width="15.28515625" bestFit="1" customWidth="1"/>
    <col min="2" max="2" width="16.7109375" bestFit="1" customWidth="1"/>
    <col min="3" max="11" width="13.28515625" bestFit="1" customWidth="1"/>
    <col min="14" max="14" width="15.28515625" bestFit="1" customWidth="1"/>
    <col min="15" max="19" width="13.85546875" customWidth="1"/>
  </cols>
  <sheetData>
    <row r="1" spans="1:19" ht="21.75" thickBot="1" x14ac:dyDescent="0.4">
      <c r="A1" s="94"/>
      <c r="N1" s="94"/>
    </row>
    <row r="2" spans="1:19" ht="45.75" customHeight="1" x14ac:dyDescent="0.35">
      <c r="A2" s="241"/>
      <c r="B2" s="242" t="s">
        <v>176</v>
      </c>
      <c r="C2" s="242"/>
      <c r="D2" s="242"/>
      <c r="E2" s="242"/>
      <c r="F2" s="242"/>
      <c r="G2" s="242"/>
      <c r="H2" s="242"/>
      <c r="I2" s="242"/>
      <c r="J2" s="242"/>
      <c r="K2" s="243"/>
      <c r="N2" s="241"/>
      <c r="O2" s="247" t="s">
        <v>177</v>
      </c>
      <c r="P2" s="247"/>
      <c r="Q2" s="247"/>
      <c r="R2" s="247"/>
      <c r="S2" s="248"/>
    </row>
    <row r="3" spans="1:19" ht="15.75" thickBot="1" x14ac:dyDescent="0.3">
      <c r="A3" s="244"/>
      <c r="B3" s="245">
        <v>2020</v>
      </c>
      <c r="C3" s="245">
        <v>2021</v>
      </c>
      <c r="D3" s="245">
        <v>2022</v>
      </c>
      <c r="E3" s="245">
        <v>2023</v>
      </c>
      <c r="F3" s="245">
        <v>2024</v>
      </c>
      <c r="G3" s="245">
        <v>2025</v>
      </c>
      <c r="H3" s="245">
        <v>2026</v>
      </c>
      <c r="I3" s="245">
        <v>2027</v>
      </c>
      <c r="J3" s="245">
        <v>2028</v>
      </c>
      <c r="K3" s="246">
        <v>2029</v>
      </c>
      <c r="N3" s="244"/>
      <c r="O3" s="245">
        <v>2020</v>
      </c>
      <c r="P3" s="245">
        <v>2021</v>
      </c>
      <c r="Q3" s="245">
        <v>2022</v>
      </c>
      <c r="R3" s="245">
        <v>2023</v>
      </c>
      <c r="S3" s="246">
        <v>2024</v>
      </c>
    </row>
    <row r="4" spans="1:19" x14ac:dyDescent="0.25">
      <c r="A4" s="49" t="s">
        <v>42</v>
      </c>
      <c r="B4" s="50">
        <f>MIN(VLOOKUP($A4,'Mass Equivalents - States, Opt1'!$A$8:$AP$56,31,0)*VLOOKUP($A4,'Mass Equivalents - States, Opt1'!$A$8:$AP$56,42,0),VLOOKUP($A4,'Mass Equivalents - States, Opt1'!$A$8:$AP$56,31,0)*VLOOKUP($A4,'Mass Equivalents - States, Opt1'!$A$8:$AP$56,42)*VLOOKUP($A4,'Mass Equivalents - States, Opt1'!$A$8:$AP$56,41,0))</f>
        <v>1256904.7288611401</v>
      </c>
      <c r="C4" s="50">
        <f>MIN(VLOOKUP($A4,'Mass Equivalents - States, Opt1'!$A$8:$AP$56,32,0)*VLOOKUP($A4,'Mass Equivalents - States, Opt1'!$A$8:$AP$56,42,0),VLOOKUP($A4,'Mass Equivalents - States, Opt1'!$A$8:$AP$56,32,0)*VLOOKUP($A4,'Mass Equivalents - States, Opt1'!$A$8:$AP$56,42)*VLOOKUP($A4,'Mass Equivalents - States, Opt1'!$A$8:$AP$56,41,0))</f>
        <v>1955967.1253956095</v>
      </c>
      <c r="D4" s="50">
        <f>MIN(VLOOKUP($A4,'Mass Equivalents - States, Opt1'!$A$8:$AP$56,33,0)*VLOOKUP($A4,'Mass Equivalents - States, Opt1'!$A$8:$AP$56,42,0),VLOOKUP($A4,'Mass Equivalents - States, Opt1'!$A$8:$AP$56,33,0)*VLOOKUP($A4,'Mass Equivalents - States, Opt1'!$A$8:$AP$56,42)*VLOOKUP($A4,'Mass Equivalents - States, Opt1'!$A$8:$AP$56,41,0))</f>
        <v>2781567.6984971124</v>
      </c>
      <c r="E4" s="50">
        <f>MIN(VLOOKUP($A4,'Mass Equivalents - States, Opt1'!$A$8:$AP$56,34,0)*VLOOKUP($A4,'Mass Equivalents - States, Opt1'!$A$8:$AP$56,42,0),VLOOKUP($A4,'Mass Equivalents - States, Opt1'!$A$8:$AP$56,34,0)*VLOOKUP($A4,'Mass Equivalents - States, Opt1'!$A$8:$AP$56,42)*VLOOKUP($A4,'Mass Equivalents - States, Opt1'!$A$8:$AP$56,41,0))</f>
        <v>3719434.7494326979</v>
      </c>
      <c r="F4" s="50">
        <f>MIN(VLOOKUP($A4,'Mass Equivalents - States, Opt1'!$A$8:$AP$56,35,0)*VLOOKUP($A4,'Mass Equivalents - States, Opt1'!$A$8:$AP$56,42,0),VLOOKUP($A4,'Mass Equivalents - States, Opt1'!$A$8:$AP$56,35,0)*VLOOKUP($A4,'Mass Equivalents - States, Opt1'!$A$8:$AP$56,42)*VLOOKUP($A4,'Mass Equivalents - States, Opt1'!$A$8:$AP$56,41,0))</f>
        <v>4755210.8430325761</v>
      </c>
      <c r="G4" s="50">
        <f>MIN(VLOOKUP($A4,'Mass Equivalents - States, Opt1'!$A$8:$AP$56,36,0)*VLOOKUP($A4,'Mass Equivalents - States, Opt1'!$A$8:$AP$56,42,0),VLOOKUP($A4,'Mass Equivalents - States, Opt1'!$A$8:$AP$56,36,0)*VLOOKUP($A4,'Mass Equivalents - States, Opt1'!$A$8:$AP$56,42)*VLOOKUP($A4,'Mass Equivalents - States, Opt1'!$A$8:$AP$56,41,0))</f>
        <v>5733303.5945475046</v>
      </c>
      <c r="H4" s="50">
        <f>MIN(VLOOKUP($A4,'Mass Equivalents - States, Opt1'!$A$8:$AP$56,37,0)*VLOOKUP($A4,'Mass Equivalents - States, Opt1'!$A$8:$AP$56,42,0),VLOOKUP($A4,'Mass Equivalents - States, Opt1'!$A$8:$AP$56,37,0)*VLOOKUP($A4,'Mass Equivalents - States, Opt1'!$A$8:$AP$56,42)*VLOOKUP($A4,'Mass Equivalents - States, Opt1'!$A$8:$AP$56,41,0))</f>
        <v>6621780.2623698702</v>
      </c>
      <c r="I4" s="50">
        <f>MIN(VLOOKUP($A4,'Mass Equivalents - States, Opt1'!$A$8:$AP$56,38,0)*VLOOKUP($A4,'Mass Equivalents - States, Opt1'!$A$8:$AP$56,42,0),VLOOKUP($A4,'Mass Equivalents - States, Opt1'!$A$8:$AP$56,38,0)*VLOOKUP($A4,'Mass Equivalents - States, Opt1'!$A$8:$AP$56,42)*VLOOKUP($A4,'Mass Equivalents - States, Opt1'!$A$8:$AP$56,41,0))</f>
        <v>7424299.6285651214</v>
      </c>
      <c r="J4" s="50">
        <f>MIN(VLOOKUP($A4,'Mass Equivalents - States, Opt1'!$A$8:$AP$56,39,0)*VLOOKUP($A4,'Mass Equivalents - States, Opt1'!$A$8:$AP$56,42,0),VLOOKUP($A4,'Mass Equivalents - States, Opt1'!$A$8:$AP$56,39,0)*VLOOKUP($A4,'Mass Equivalents - States, Opt1'!$A$8:$AP$56,42)*VLOOKUP($A4,'Mass Equivalents - States, Opt1'!$A$8:$AP$56,41,0))</f>
        <v>8144345.2788382638</v>
      </c>
      <c r="K4" s="46">
        <f>MIN(VLOOKUP($A4,'Mass Equivalents - States, Opt1'!$A$8:$AP$56,40,0)*VLOOKUP($A4,'Mass Equivalents - States, Opt1'!$A$8:$AP$56,42,0),VLOOKUP($A4,'Mass Equivalents - States, Opt1'!$A$8:$AP$56,40,0)*VLOOKUP($A4,'Mass Equivalents - States, Opt1'!$A$8:$AP$56,42)*VLOOKUP($A4,'Mass Equivalents - States, Opt1'!$A$8:$AP$56,41,0))</f>
        <v>8785233.6629818324</v>
      </c>
      <c r="N4" s="49" t="s">
        <v>42</v>
      </c>
      <c r="O4" s="50">
        <f>MIN(VLOOKUP($N4,'Mass Equivalents - States, Opt2'!$A$8:$AF$56,32,0)*VLOOKUP($N4,'Mass Equivalents - States, Opt2'!$A$8:$AF$56,31,0)*VLOOKUP($N4,'Mass Equivalents - States, Opt2'!$A$8:$AF$56,26,0),VLOOKUP($N4,'Mass Equivalents - States, Opt2'!$A$8:$AF$56,32,0)*VLOOKUP($N4,'Mass Equivalents - States, Opt2'!$A$8:$AF$56,26,0))</f>
        <v>995297.79677740822</v>
      </c>
      <c r="P4" s="50">
        <f>MIN(VLOOKUP($N4,'Mass Equivalents - States, Opt2'!$A$8:$AF$56,32,0)*VLOOKUP($N4,'Mass Equivalents - States, Opt2'!$A$8:$AF$56,31,0)*VLOOKUP($N4,'Mass Equivalents - States, Opt2'!$A$8:$AF$56,27,0),VLOOKUP($N4,'Mass Equivalents - States, Opt2'!$A$8:$AF$56,32,0)*VLOOKUP($N4,'Mass Equivalents - States, Opt2'!$A$8:$AF$56,27,0))</f>
        <v>1531914.9071283941</v>
      </c>
      <c r="Q4" s="50">
        <f>MIN(VLOOKUP($N4,'Mass Equivalents - States, Opt2'!$A$8:$AF$56,32,0)*VLOOKUP($N4,'Mass Equivalents - States, Opt2'!$A$8:$AF$56,31,0)*VLOOKUP($N4,'Mass Equivalents - States, Opt2'!$A$8:$AF$56,28,0),VLOOKUP($N4,'Mass Equivalents - States, Opt2'!$A$8:$AF$56,32,0)*VLOOKUP($N4,'Mass Equivalents - States, Opt2'!$A$8:$AF$56,28,0))</f>
        <v>2164103.0175647927</v>
      </c>
      <c r="R4" s="50">
        <f>MIN(VLOOKUP($N4,'Mass Equivalents - States, Opt2'!$A$8:$AF$56,32,0)*VLOOKUP($N4,'Mass Equivalents - States, Opt2'!$A$8:$AF$56,31,0)*VLOOKUP($N4,'Mass Equivalents - States, Opt2'!$A$8:$AF$56,29,0),VLOOKUP($N4,'Mass Equivalents - States, Opt2'!$A$8:$AF$56,32,0)*VLOOKUP($N4,'Mass Equivalents - States, Opt2'!$A$8:$AF$56,29,0))</f>
        <v>2881834.8260027361</v>
      </c>
      <c r="S4" s="46">
        <f>MIN(VLOOKUP($N4,'Mass Equivalents - States, Opt2'!$A$8:$AF$56,32,0)*VLOOKUP($N4,'Mass Equivalents - States, Opt2'!$A$8:$AF$56,31,0)*VLOOKUP($N4,'Mass Equivalents - States, Opt2'!$A$8:$AF$56,30,0),VLOOKUP($N4,'Mass Equivalents - States, Opt2'!$A$8:$AF$56,32,0)*VLOOKUP($N4,'Mass Equivalents - States, Opt2'!$A$8:$AF$56,30,0))</f>
        <v>3575196.3080844739</v>
      </c>
    </row>
    <row r="5" spans="1:19" x14ac:dyDescent="0.25">
      <c r="A5" s="49" t="s">
        <v>43</v>
      </c>
      <c r="B5" s="50">
        <f>MIN(VLOOKUP($A5,'Mass Equivalents - States, Opt1'!$A$8:$AP$56,31,0)*VLOOKUP($A5,'Mass Equivalents - States, Opt1'!$A$8:$AP$56,42,0),VLOOKUP($A5,'Mass Equivalents - States, Opt1'!$A$8:$AP$56,31,0)*VLOOKUP($A5,'Mass Equivalents - States, Opt1'!$A$8:$AP$56,42)*VLOOKUP($A5,'Mass Equivalents - States, Opt1'!$A$8:$AP$56,41,0))</f>
        <v>80517.418400403723</v>
      </c>
      <c r="C5" s="50">
        <f>MIN(VLOOKUP($A5,'Mass Equivalents - States, Opt1'!$A$8:$AP$56,32,0)*VLOOKUP($A5,'Mass Equivalents - States, Opt1'!$A$8:$AP$56,42,0),VLOOKUP($A5,'Mass Equivalents - States, Opt1'!$A$8:$AP$56,32,0)*VLOOKUP($A5,'Mass Equivalents - States, Opt1'!$A$8:$AP$56,42)*VLOOKUP($A5,'Mass Equivalents - States, Opt1'!$A$8:$AP$56,41,0))</f>
        <v>128707.1868908839</v>
      </c>
      <c r="D5" s="50">
        <f>MIN(VLOOKUP($A5,'Mass Equivalents - States, Opt1'!$A$8:$AP$56,33,0)*VLOOKUP($A5,'Mass Equivalents - States, Opt1'!$A$8:$AP$56,42,0),VLOOKUP($A5,'Mass Equivalents - States, Opt1'!$A$8:$AP$56,33,0)*VLOOKUP($A5,'Mass Equivalents - States, Opt1'!$A$8:$AP$56,42)*VLOOKUP($A5,'Mass Equivalents - States, Opt1'!$A$8:$AP$56,41,0))</f>
        <v>186218.14669441001</v>
      </c>
      <c r="E5" s="50">
        <f>MIN(VLOOKUP($A5,'Mass Equivalents - States, Opt1'!$A$8:$AP$56,34,0)*VLOOKUP($A5,'Mass Equivalents - States, Opt1'!$A$8:$AP$56,42,0),VLOOKUP($A5,'Mass Equivalents - States, Opt1'!$A$8:$AP$56,34,0)*VLOOKUP($A5,'Mass Equivalents - States, Opt1'!$A$8:$AP$56,42)*VLOOKUP($A5,'Mass Equivalents - States, Opt1'!$A$8:$AP$56,41,0))</f>
        <v>252045.82699835495</v>
      </c>
      <c r="F5" s="50">
        <f>MIN(VLOOKUP($A5,'Mass Equivalents - States, Opt1'!$A$8:$AP$56,35,0)*VLOOKUP($A5,'Mass Equivalents - States, Opt1'!$A$8:$AP$56,42,0),VLOOKUP($A5,'Mass Equivalents - States, Opt1'!$A$8:$AP$56,35,0)*VLOOKUP($A5,'Mass Equivalents - States, Opt1'!$A$8:$AP$56,42)*VLOOKUP($A5,'Mass Equivalents - States, Opt1'!$A$8:$AP$56,41,0))</f>
        <v>325172.90248437831</v>
      </c>
      <c r="G5" s="50">
        <f>MIN(VLOOKUP($A5,'Mass Equivalents - States, Opt1'!$A$8:$AP$56,36,0)*VLOOKUP($A5,'Mass Equivalents - States, Opt1'!$A$8:$AP$56,42,0),VLOOKUP($A5,'Mass Equivalents - States, Opt1'!$A$8:$AP$56,36,0)*VLOOKUP($A5,'Mass Equivalents - States, Opt1'!$A$8:$AP$56,42)*VLOOKUP($A5,'Mass Equivalents - States, Opt1'!$A$8:$AP$56,41,0))</f>
        <v>396934.37350110291</v>
      </c>
      <c r="H5" s="50">
        <f>MIN(VLOOKUP($A5,'Mass Equivalents - States, Opt1'!$A$8:$AP$56,37,0)*VLOOKUP($A5,'Mass Equivalents - States, Opt1'!$A$8:$AP$56,42,0),VLOOKUP($A5,'Mass Equivalents - States, Opt1'!$A$8:$AP$56,37,0)*VLOOKUP($A5,'Mass Equivalents - States, Opt1'!$A$8:$AP$56,42)*VLOOKUP($A5,'Mass Equivalents - States, Opt1'!$A$8:$AP$56,41,0))</f>
        <v>462349.53213032678</v>
      </c>
      <c r="I5" s="50">
        <f>MIN(VLOOKUP($A5,'Mass Equivalents - States, Opt1'!$A$8:$AP$56,38,0)*VLOOKUP($A5,'Mass Equivalents - States, Opt1'!$A$8:$AP$56,42,0),VLOOKUP($A5,'Mass Equivalents - States, Opt1'!$A$8:$AP$56,38,0)*VLOOKUP($A5,'Mass Equivalents - States, Opt1'!$A$8:$AP$56,42)*VLOOKUP($A5,'Mass Equivalents - States, Opt1'!$A$8:$AP$56,41,0))</f>
        <v>521653.81171034783</v>
      </c>
      <c r="J5" s="50">
        <f>MIN(VLOOKUP($A5,'Mass Equivalents - States, Opt1'!$A$8:$AP$56,39,0)*VLOOKUP($A5,'Mass Equivalents - States, Opt1'!$A$8:$AP$56,42,0),VLOOKUP($A5,'Mass Equivalents - States, Opt1'!$A$8:$AP$56,39,0)*VLOOKUP($A5,'Mass Equivalents - States, Opt1'!$A$8:$AP$56,42)*VLOOKUP($A5,'Mass Equivalents - States, Opt1'!$A$8:$AP$56,41,0))</f>
        <v>575071.68756397476</v>
      </c>
      <c r="K5" s="46">
        <f>MIN(VLOOKUP($A5,'Mass Equivalents - States, Opt1'!$A$8:$AP$56,40,0)*VLOOKUP($A5,'Mass Equivalents - States, Opt1'!$A$8:$AP$56,42,0),VLOOKUP($A5,'Mass Equivalents - States, Opt1'!$A$8:$AP$56,40,0)*VLOOKUP($A5,'Mass Equivalents - States, Opt1'!$A$8:$AP$56,42)*VLOOKUP($A5,'Mass Equivalents - States, Opt1'!$A$8:$AP$56,41,0))</f>
        <v>622817.1508390638</v>
      </c>
      <c r="N5" s="49" t="s">
        <v>43</v>
      </c>
      <c r="O5" s="50">
        <f>MIN(VLOOKUP($N5,'Mass Equivalents - States, Opt2'!$A$8:$AF$56,32,0)*VLOOKUP($N5,'Mass Equivalents - States, Opt2'!$A$8:$AF$56,31,0)*VLOOKUP($N5,'Mass Equivalents - States, Opt2'!$A$8:$AF$56,26,0),VLOOKUP($N5,'Mass Equivalents - States, Opt2'!$A$8:$AF$56,32,0)*VLOOKUP($N5,'Mass Equivalents - States, Opt2'!$A$8:$AF$56,26,0))</f>
        <v>61805.461559547126</v>
      </c>
      <c r="P5" s="50">
        <f>MIN(VLOOKUP($N5,'Mass Equivalents - States, Opt2'!$A$8:$AF$56,32,0)*VLOOKUP($N5,'Mass Equivalents - States, Opt2'!$A$8:$AF$56,31,0)*VLOOKUP($N5,'Mass Equivalents - States, Opt2'!$A$8:$AF$56,27,0),VLOOKUP($N5,'Mass Equivalents - States, Opt2'!$A$8:$AF$56,32,0)*VLOOKUP($N5,'Mass Equivalents - States, Opt2'!$A$8:$AF$56,27,0))</f>
        <v>98342.687108898186</v>
      </c>
      <c r="Q5" s="50">
        <f>MIN(VLOOKUP($N5,'Mass Equivalents - States, Opt2'!$A$8:$AF$56,32,0)*VLOOKUP($N5,'Mass Equivalents - States, Opt2'!$A$8:$AF$56,31,0)*VLOOKUP($N5,'Mass Equivalents - States, Opt2'!$A$8:$AF$56,28,0),VLOOKUP($N5,'Mass Equivalents - States, Opt2'!$A$8:$AF$56,32,0)*VLOOKUP($N5,'Mass Equivalents - States, Opt2'!$A$8:$AF$56,28,0))</f>
        <v>141957.4899394385</v>
      </c>
      <c r="R5" s="50">
        <f>MIN(VLOOKUP($N5,'Mass Equivalents - States, Opt2'!$A$8:$AF$56,32,0)*VLOOKUP($N5,'Mass Equivalents - States, Opt2'!$A$8:$AF$56,31,0)*VLOOKUP($N5,'Mass Equivalents - States, Opt2'!$A$8:$AF$56,29,0),VLOOKUP($N5,'Mass Equivalents - States, Opt2'!$A$8:$AF$56,32,0)*VLOOKUP($N5,'Mass Equivalents - States, Opt2'!$A$8:$AF$56,29,0))</f>
        <v>191944.76757670281</v>
      </c>
      <c r="S5" s="46">
        <f>MIN(VLOOKUP($N5,'Mass Equivalents - States, Opt2'!$A$8:$AF$56,32,0)*VLOOKUP($N5,'Mass Equivalents - States, Opt2'!$A$8:$AF$56,31,0)*VLOOKUP($N5,'Mass Equivalents - States, Opt2'!$A$8:$AF$56,30,0),VLOOKUP($N5,'Mass Equivalents - States, Opt2'!$A$8:$AF$56,32,0)*VLOOKUP($N5,'Mass Equivalents - States, Opt2'!$A$8:$AF$56,30,0))</f>
        <v>242961.82386683277</v>
      </c>
    </row>
    <row r="6" spans="1:19" x14ac:dyDescent="0.25">
      <c r="A6" s="49" t="s">
        <v>44</v>
      </c>
      <c r="B6" s="50">
        <f>MIN(VLOOKUP($A6,'Mass Equivalents - States, Opt1'!$A$8:$AP$56,31,0)*VLOOKUP($A6,'Mass Equivalents - States, Opt1'!$A$8:$AP$56,42,0),VLOOKUP($A6,'Mass Equivalents - States, Opt1'!$A$8:$AP$56,31,0)*VLOOKUP($A6,'Mass Equivalents - States, Opt1'!$A$8:$AP$56,42)*VLOOKUP($A6,'Mass Equivalents - States, Opt1'!$A$8:$AP$56,41,0))</f>
        <v>4226129.0132082812</v>
      </c>
      <c r="C6" s="50">
        <f>MIN(VLOOKUP($A6,'Mass Equivalents - States, Opt1'!$A$8:$AP$56,32,0)*VLOOKUP($A6,'Mass Equivalents - States, Opt1'!$A$8:$AP$56,42,0),VLOOKUP($A6,'Mass Equivalents - States, Opt1'!$A$8:$AP$56,32,0)*VLOOKUP($A6,'Mass Equivalents - States, Opt1'!$A$8:$AP$56,42)*VLOOKUP($A6,'Mass Equivalents - States, Opt1'!$A$8:$AP$56,41,0))</f>
        <v>5065760.780183576</v>
      </c>
      <c r="D6" s="50">
        <f>MIN(VLOOKUP($A6,'Mass Equivalents - States, Opt1'!$A$8:$AP$56,33,0)*VLOOKUP($A6,'Mass Equivalents - States, Opt1'!$A$8:$AP$56,42,0),VLOOKUP($A6,'Mass Equivalents - States, Opt1'!$A$8:$AP$56,33,0)*VLOOKUP($A6,'Mass Equivalents - States, Opt1'!$A$8:$AP$56,42)*VLOOKUP($A6,'Mass Equivalents - States, Opt1'!$A$8:$AP$56,41,0))</f>
        <v>5826398.273441107</v>
      </c>
      <c r="E6" s="50">
        <f>MIN(VLOOKUP($A6,'Mass Equivalents - States, Opt1'!$A$8:$AP$56,34,0)*VLOOKUP($A6,'Mass Equivalents - States, Opt1'!$A$8:$AP$56,42,0),VLOOKUP($A6,'Mass Equivalents - States, Opt1'!$A$8:$AP$56,34,0)*VLOOKUP($A6,'Mass Equivalents - States, Opt1'!$A$8:$AP$56,42)*VLOOKUP($A6,'Mass Equivalents - States, Opt1'!$A$8:$AP$56,41,0))</f>
        <v>6511589.6379976235</v>
      </c>
      <c r="F6" s="50">
        <f>MIN(VLOOKUP($A6,'Mass Equivalents - States, Opt1'!$A$8:$AP$56,35,0)*VLOOKUP($A6,'Mass Equivalents - States, Opt1'!$A$8:$AP$56,42,0),VLOOKUP($A6,'Mass Equivalents - States, Opt1'!$A$8:$AP$56,35,0)*VLOOKUP($A6,'Mass Equivalents - States, Opt1'!$A$8:$AP$56,42)*VLOOKUP($A6,'Mass Equivalents - States, Opt1'!$A$8:$AP$56,41,0))</f>
        <v>7124706.5725680375</v>
      </c>
      <c r="G6" s="50">
        <f>MIN(VLOOKUP($A6,'Mass Equivalents - States, Opt1'!$A$8:$AP$56,36,0)*VLOOKUP($A6,'Mass Equivalents - States, Opt1'!$A$8:$AP$56,42,0),VLOOKUP($A6,'Mass Equivalents - States, Opt1'!$A$8:$AP$56,36,0)*VLOOKUP($A6,'Mass Equivalents - States, Opt1'!$A$8:$AP$56,42)*VLOOKUP($A6,'Mass Equivalents - States, Opt1'!$A$8:$AP$56,41,0))</f>
        <v>7668952.9468319826</v>
      </c>
      <c r="H6" s="50">
        <f>MIN(VLOOKUP($A6,'Mass Equivalents - States, Opt1'!$A$8:$AP$56,37,0)*VLOOKUP($A6,'Mass Equivalents - States, Opt1'!$A$8:$AP$56,42,0),VLOOKUP($A6,'Mass Equivalents - States, Opt1'!$A$8:$AP$56,37,0)*VLOOKUP($A6,'Mass Equivalents - States, Opt1'!$A$8:$AP$56,42)*VLOOKUP($A6,'Mass Equivalents - States, Opt1'!$A$8:$AP$56,41,0))</f>
        <v>8147372.9965430722</v>
      </c>
      <c r="I6" s="50">
        <f>MIN(VLOOKUP($A6,'Mass Equivalents - States, Opt1'!$A$8:$AP$56,38,0)*VLOOKUP($A6,'Mass Equivalents - States, Opt1'!$A$8:$AP$56,42,0),VLOOKUP($A6,'Mass Equivalents - States, Opt1'!$A$8:$AP$56,38,0)*VLOOKUP($A6,'Mass Equivalents - States, Opt1'!$A$8:$AP$56,42)*VLOOKUP($A6,'Mass Equivalents - States, Opt1'!$A$8:$AP$56,41,0))</f>
        <v>8562859.1171511058</v>
      </c>
      <c r="J6" s="50">
        <f>MIN(VLOOKUP($A6,'Mass Equivalents - States, Opt1'!$A$8:$AP$56,39,0)*VLOOKUP($A6,'Mass Equivalents - States, Opt1'!$A$8:$AP$56,42,0),VLOOKUP($A6,'Mass Equivalents - States, Opt1'!$A$8:$AP$56,39,0)*VLOOKUP($A6,'Mass Equivalents - States, Opt1'!$A$8:$AP$56,42)*VLOOKUP($A6,'Mass Equivalents - States, Opt1'!$A$8:$AP$56,41,0))</f>
        <v>8918159.2755953576</v>
      </c>
      <c r="K6" s="46">
        <f>MIN(VLOOKUP($A6,'Mass Equivalents - States, Opt1'!$A$8:$AP$56,40,0)*VLOOKUP($A6,'Mass Equivalents - States, Opt1'!$A$8:$AP$56,42,0),VLOOKUP($A6,'Mass Equivalents - States, Opt1'!$A$8:$AP$56,40,0)*VLOOKUP($A6,'Mass Equivalents - States, Opt1'!$A$8:$AP$56,42)*VLOOKUP($A6,'Mass Equivalents - States, Opt1'!$A$8:$AP$56,41,0))</f>
        <v>9215884.0589643996</v>
      </c>
      <c r="N6" s="49" t="s">
        <v>44</v>
      </c>
      <c r="O6" s="50">
        <f>MIN(VLOOKUP($N6,'Mass Equivalents - States, Opt2'!$A$8:$AF$56,32,0)*VLOOKUP($N6,'Mass Equivalents - States, Opt2'!$A$8:$AF$56,31,0)*VLOOKUP($N6,'Mass Equivalents - States, Opt2'!$A$8:$AF$56,26,0),VLOOKUP($N6,'Mass Equivalents - States, Opt2'!$A$8:$AF$56,32,0)*VLOOKUP($N6,'Mass Equivalents - States, Opt2'!$A$8:$AF$56,26,0))</f>
        <v>2838633.2124583018</v>
      </c>
      <c r="P6" s="50">
        <f>MIN(VLOOKUP($N6,'Mass Equivalents - States, Opt2'!$A$8:$AF$56,32,0)*VLOOKUP($N6,'Mass Equivalents - States, Opt2'!$A$8:$AF$56,31,0)*VLOOKUP($N6,'Mass Equivalents - States, Opt2'!$A$8:$AF$56,27,0),VLOOKUP($N6,'Mass Equivalents - States, Opt2'!$A$8:$AF$56,32,0)*VLOOKUP($N6,'Mass Equivalents - States, Opt2'!$A$8:$AF$56,27,0))</f>
        <v>3410668.1730034896</v>
      </c>
      <c r="Q6" s="50">
        <f>MIN(VLOOKUP($N6,'Mass Equivalents - States, Opt2'!$A$8:$AF$56,32,0)*VLOOKUP($N6,'Mass Equivalents - States, Opt2'!$A$8:$AF$56,31,0)*VLOOKUP($N6,'Mass Equivalents - States, Opt2'!$A$8:$AF$56,28,0),VLOOKUP($N6,'Mass Equivalents - States, Opt2'!$A$8:$AF$56,32,0)*VLOOKUP($N6,'Mass Equivalents - States, Opt2'!$A$8:$AF$56,28,0))</f>
        <v>3931827.0635509202</v>
      </c>
      <c r="R6" s="50">
        <f>MIN(VLOOKUP($N6,'Mass Equivalents - States, Opt2'!$A$8:$AF$56,32,0)*VLOOKUP($N6,'Mass Equivalents - States, Opt2'!$A$8:$AF$56,31,0)*VLOOKUP($N6,'Mass Equivalents - States, Opt2'!$A$8:$AF$56,29,0),VLOOKUP($N6,'Mass Equivalents - States, Opt2'!$A$8:$AF$56,32,0)*VLOOKUP($N6,'Mass Equivalents - States, Opt2'!$A$8:$AF$56,29,0))</f>
        <v>4404046.4929623967</v>
      </c>
      <c r="S6" s="46">
        <f>MIN(VLOOKUP($N6,'Mass Equivalents - States, Opt2'!$A$8:$AF$56,32,0)*VLOOKUP($N6,'Mass Equivalents - States, Opt2'!$A$8:$AF$56,31,0)*VLOOKUP($N6,'Mass Equivalents - States, Opt2'!$A$8:$AF$56,30,0),VLOOKUP($N6,'Mass Equivalents - States, Opt2'!$A$8:$AF$56,32,0)*VLOOKUP($N6,'Mass Equivalents - States, Opt2'!$A$8:$AF$56,30,0))</f>
        <v>4829182.9306758204</v>
      </c>
    </row>
    <row r="7" spans="1:19" x14ac:dyDescent="0.25">
      <c r="A7" s="49" t="s">
        <v>45</v>
      </c>
      <c r="B7" s="50">
        <f>MIN(VLOOKUP($A7,'Mass Equivalents - States, Opt1'!$A$8:$AP$56,31,0)*VLOOKUP($A7,'Mass Equivalents - States, Opt1'!$A$8:$AP$56,42,0),VLOOKUP($A7,'Mass Equivalents - States, Opt1'!$A$8:$AP$56,31,0)*VLOOKUP($A7,'Mass Equivalents - States, Opt1'!$A$8:$AP$56,42)*VLOOKUP($A7,'Mass Equivalents - States, Opt1'!$A$8:$AP$56,41,0))</f>
        <v>767658.68278879835</v>
      </c>
      <c r="C7" s="50">
        <f>MIN(VLOOKUP($A7,'Mass Equivalents - States, Opt1'!$A$8:$AP$56,32,0)*VLOOKUP($A7,'Mass Equivalents - States, Opt1'!$A$8:$AP$56,42,0),VLOOKUP($A7,'Mass Equivalents - States, Opt1'!$A$8:$AP$56,32,0)*VLOOKUP($A7,'Mass Equivalents - States, Opt1'!$A$8:$AP$56,42)*VLOOKUP($A7,'Mass Equivalents - States, Opt1'!$A$8:$AP$56,41,0))</f>
        <v>1165794.4548915531</v>
      </c>
      <c r="D7" s="50">
        <f>MIN(VLOOKUP($A7,'Mass Equivalents - States, Opt1'!$A$8:$AP$56,33,0)*VLOOKUP($A7,'Mass Equivalents - States, Opt1'!$A$8:$AP$56,42,0),VLOOKUP($A7,'Mass Equivalents - States, Opt1'!$A$8:$AP$56,33,0)*VLOOKUP($A7,'Mass Equivalents - States, Opt1'!$A$8:$AP$56,42)*VLOOKUP($A7,'Mass Equivalents - States, Opt1'!$A$8:$AP$56,41,0))</f>
        <v>1631571.2412995144</v>
      </c>
      <c r="E7" s="50">
        <f>MIN(VLOOKUP($A7,'Mass Equivalents - States, Opt1'!$A$8:$AP$56,34,0)*VLOOKUP($A7,'Mass Equivalents - States, Opt1'!$A$8:$AP$56,42,0),VLOOKUP($A7,'Mass Equivalents - States, Opt1'!$A$8:$AP$56,34,0)*VLOOKUP($A7,'Mass Equivalents - States, Opt1'!$A$8:$AP$56,42)*VLOOKUP($A7,'Mass Equivalents - States, Opt1'!$A$8:$AP$56,41,0))</f>
        <v>2157245.4218494268</v>
      </c>
      <c r="F7" s="50">
        <f>MIN(VLOOKUP($A7,'Mass Equivalents - States, Opt1'!$A$8:$AP$56,35,0)*VLOOKUP($A7,'Mass Equivalents - States, Opt1'!$A$8:$AP$56,42,0),VLOOKUP($A7,'Mass Equivalents - States, Opt1'!$A$8:$AP$56,35,0)*VLOOKUP($A7,'Mass Equivalents - States, Opt1'!$A$8:$AP$56,42)*VLOOKUP($A7,'Mass Equivalents - States, Opt1'!$A$8:$AP$56,41,0))</f>
        <v>2731098.4072538516</v>
      </c>
      <c r="G7" s="50">
        <f>MIN(VLOOKUP($A7,'Mass Equivalents - States, Opt1'!$A$8:$AP$56,36,0)*VLOOKUP($A7,'Mass Equivalents - States, Opt1'!$A$8:$AP$56,42,0),VLOOKUP($A7,'Mass Equivalents - States, Opt1'!$A$8:$AP$56,36,0)*VLOOKUP($A7,'Mass Equivalents - States, Opt1'!$A$8:$AP$56,42)*VLOOKUP($A7,'Mass Equivalents - States, Opt1'!$A$8:$AP$56,41,0))</f>
        <v>3255153.8789924723</v>
      </c>
      <c r="H7" s="50">
        <f>MIN(VLOOKUP($A7,'Mass Equivalents - States, Opt1'!$A$8:$AP$56,37,0)*VLOOKUP($A7,'Mass Equivalents - States, Opt1'!$A$8:$AP$56,42,0),VLOOKUP($A7,'Mass Equivalents - States, Opt1'!$A$8:$AP$56,37,0)*VLOOKUP($A7,'Mass Equivalents - States, Opt1'!$A$8:$AP$56,42)*VLOOKUP($A7,'Mass Equivalents - States, Opt1'!$A$8:$AP$56,41,0))</f>
        <v>3731334.9498333894</v>
      </c>
      <c r="I7" s="50">
        <f>MIN(VLOOKUP($A7,'Mass Equivalents - States, Opt1'!$A$8:$AP$56,38,0)*VLOOKUP($A7,'Mass Equivalents - States, Opt1'!$A$8:$AP$56,42,0),VLOOKUP($A7,'Mass Equivalents - States, Opt1'!$A$8:$AP$56,38,0)*VLOOKUP($A7,'Mass Equivalents - States, Opt1'!$A$8:$AP$56,42)*VLOOKUP($A7,'Mass Equivalents - States, Opt1'!$A$8:$AP$56,41,0))</f>
        <v>4161474.5591690536</v>
      </c>
      <c r="J7" s="50">
        <f>MIN(VLOOKUP($A7,'Mass Equivalents - States, Opt1'!$A$8:$AP$56,39,0)*VLOOKUP($A7,'Mass Equivalents - States, Opt1'!$A$8:$AP$56,42,0),VLOOKUP($A7,'Mass Equivalents - States, Opt1'!$A$8:$AP$56,39,0)*VLOOKUP($A7,'Mass Equivalents - States, Opt1'!$A$8:$AP$56,42)*VLOOKUP($A7,'Mass Equivalents - States, Opt1'!$A$8:$AP$56,41,0))</f>
        <v>4547319.4641456679</v>
      </c>
      <c r="K7" s="46">
        <f>MIN(VLOOKUP($A7,'Mass Equivalents - States, Opt1'!$A$8:$AP$56,40,0)*VLOOKUP($A7,'Mass Equivalents - States, Opt1'!$A$8:$AP$56,42,0),VLOOKUP($A7,'Mass Equivalents - States, Opt1'!$A$8:$AP$56,40,0)*VLOOKUP($A7,'Mass Equivalents - States, Opt1'!$A$8:$AP$56,42)*VLOOKUP($A7,'Mass Equivalents - States, Opt1'!$A$8:$AP$56,41,0))</f>
        <v>4890534.051233314</v>
      </c>
      <c r="N7" s="49" t="s">
        <v>45</v>
      </c>
      <c r="O7" s="50">
        <f>MIN(VLOOKUP($N7,'Mass Equivalents - States, Opt2'!$A$8:$AF$56,32,0)*VLOOKUP($N7,'Mass Equivalents - States, Opt2'!$A$8:$AF$56,31,0)*VLOOKUP($N7,'Mass Equivalents - States, Opt2'!$A$8:$AF$56,26,0),VLOOKUP($N7,'Mass Equivalents - States, Opt2'!$A$8:$AF$56,32,0)*VLOOKUP($N7,'Mass Equivalents - States, Opt2'!$A$8:$AF$56,26,0))</f>
        <v>625233.95610435901</v>
      </c>
      <c r="P7" s="50">
        <f>MIN(VLOOKUP($N7,'Mass Equivalents - States, Opt2'!$A$8:$AF$56,32,0)*VLOOKUP($N7,'Mass Equivalents - States, Opt2'!$A$8:$AF$56,31,0)*VLOOKUP($N7,'Mass Equivalents - States, Opt2'!$A$8:$AF$56,27,0),VLOOKUP($N7,'Mass Equivalents - States, Opt2'!$A$8:$AF$56,32,0)*VLOOKUP($N7,'Mass Equivalents - States, Opt2'!$A$8:$AF$56,27,0))</f>
        <v>934917.25786134764</v>
      </c>
      <c r="Q7" s="50">
        <f>MIN(VLOOKUP($N7,'Mass Equivalents - States, Opt2'!$A$8:$AF$56,32,0)*VLOOKUP($N7,'Mass Equivalents - States, Opt2'!$A$8:$AF$56,31,0)*VLOOKUP($N7,'Mass Equivalents - States, Opt2'!$A$8:$AF$56,28,0),VLOOKUP($N7,'Mass Equivalents - States, Opt2'!$A$8:$AF$56,32,0)*VLOOKUP($N7,'Mass Equivalents - States, Opt2'!$A$8:$AF$56,28,0))</f>
        <v>1295371.6076332116</v>
      </c>
      <c r="R7" s="50">
        <f>MIN(VLOOKUP($N7,'Mass Equivalents - States, Opt2'!$A$8:$AF$56,32,0)*VLOOKUP($N7,'Mass Equivalents - States, Opt2'!$A$8:$AF$56,31,0)*VLOOKUP($N7,'Mass Equivalents - States, Opt2'!$A$8:$AF$56,29,0),VLOOKUP($N7,'Mass Equivalents - States, Opt2'!$A$8:$AF$56,32,0)*VLOOKUP($N7,'Mass Equivalents - States, Opt2'!$A$8:$AF$56,29,0))</f>
        <v>1697170.7176994875</v>
      </c>
      <c r="S7" s="46">
        <f>MIN(VLOOKUP($N7,'Mass Equivalents - States, Opt2'!$A$8:$AF$56,32,0)*VLOOKUP($N7,'Mass Equivalents - States, Opt2'!$A$8:$AF$56,31,0)*VLOOKUP($N7,'Mass Equivalents - States, Opt2'!$A$8:$AF$56,30,0),VLOOKUP($N7,'Mass Equivalents - States, Opt2'!$A$8:$AF$56,32,0)*VLOOKUP($N7,'Mass Equivalents - States, Opt2'!$A$8:$AF$56,30,0))</f>
        <v>2066785.8676430394</v>
      </c>
    </row>
    <row r="8" spans="1:19" x14ac:dyDescent="0.25">
      <c r="A8" s="49" t="s">
        <v>46</v>
      </c>
      <c r="B8" s="50">
        <f>MIN(VLOOKUP($A8,'Mass Equivalents - States, Opt1'!$A$8:$AP$56,31,0)*VLOOKUP($A8,'Mass Equivalents - States, Opt1'!$A$8:$AP$56,42,0),VLOOKUP($A8,'Mass Equivalents - States, Opt1'!$A$8:$AP$56,31,0)*VLOOKUP($A8,'Mass Equivalents - States, Opt1'!$A$8:$AP$56,42)*VLOOKUP($A8,'Mass Equivalents - States, Opt1'!$A$8:$AP$56,41,0))</f>
        <v>9806849.6924873758</v>
      </c>
      <c r="C8" s="50">
        <f>MIN(VLOOKUP($A8,'Mass Equivalents - States, Opt1'!$A$8:$AP$56,32,0)*VLOOKUP($A8,'Mass Equivalents - States, Opt1'!$A$8:$AP$56,42,0),VLOOKUP($A8,'Mass Equivalents - States, Opt1'!$A$8:$AP$56,32,0)*VLOOKUP($A8,'Mass Equivalents - States, Opt1'!$A$8:$AP$56,42)*VLOOKUP($A8,'Mass Equivalents - States, Opt1'!$A$8:$AP$56,41,0))</f>
        <v>11969558.146291541</v>
      </c>
      <c r="D8" s="50">
        <f>MIN(VLOOKUP($A8,'Mass Equivalents - States, Opt1'!$A$8:$AP$56,33,0)*VLOOKUP($A8,'Mass Equivalents - States, Opt1'!$A$8:$AP$56,42,0),VLOOKUP($A8,'Mass Equivalents - States, Opt1'!$A$8:$AP$56,33,0)*VLOOKUP($A8,'Mass Equivalents - States, Opt1'!$A$8:$AP$56,42)*VLOOKUP($A8,'Mass Equivalents - States, Opt1'!$A$8:$AP$56,41,0))</f>
        <v>13939654.60824904</v>
      </c>
      <c r="E8" s="50">
        <f>MIN(VLOOKUP($A8,'Mass Equivalents - States, Opt1'!$A$8:$AP$56,34,0)*VLOOKUP($A8,'Mass Equivalents - States, Opt1'!$A$8:$AP$56,42,0),VLOOKUP($A8,'Mass Equivalents - States, Opt1'!$A$8:$AP$56,34,0)*VLOOKUP($A8,'Mass Equivalents - States, Opt1'!$A$8:$AP$56,42)*VLOOKUP($A8,'Mass Equivalents - States, Opt1'!$A$8:$AP$56,41,0))</f>
        <v>15724641.255781619</v>
      </c>
      <c r="F8" s="50">
        <f>MIN(VLOOKUP($A8,'Mass Equivalents - States, Opt1'!$A$8:$AP$56,35,0)*VLOOKUP($A8,'Mass Equivalents - States, Opt1'!$A$8:$AP$56,42,0),VLOOKUP($A8,'Mass Equivalents - States, Opt1'!$A$8:$AP$56,35,0)*VLOOKUP($A8,'Mass Equivalents - States, Opt1'!$A$8:$AP$56,42)*VLOOKUP($A8,'Mass Equivalents - States, Opt1'!$A$8:$AP$56,41,0))</f>
        <v>17331666.826133613</v>
      </c>
      <c r="G8" s="50">
        <f>MIN(VLOOKUP($A8,'Mass Equivalents - States, Opt1'!$A$8:$AP$56,36,0)*VLOOKUP($A8,'Mass Equivalents - States, Opt1'!$A$8:$AP$56,42,0),VLOOKUP($A8,'Mass Equivalents - States, Opt1'!$A$8:$AP$56,36,0)*VLOOKUP($A8,'Mass Equivalents - States, Opt1'!$A$8:$AP$56,42)*VLOOKUP($A8,'Mass Equivalents - States, Opt1'!$A$8:$AP$56,41,0))</f>
        <v>18767542.379287001</v>
      </c>
      <c r="H8" s="50">
        <f>MIN(VLOOKUP($A8,'Mass Equivalents - States, Opt1'!$A$8:$AP$56,37,0)*VLOOKUP($A8,'Mass Equivalents - States, Opt1'!$A$8:$AP$56,42,0),VLOOKUP($A8,'Mass Equivalents - States, Opt1'!$A$8:$AP$56,37,0)*VLOOKUP($A8,'Mass Equivalents - States, Opt1'!$A$8:$AP$56,42)*VLOOKUP($A8,'Mass Equivalents - States, Opt1'!$A$8:$AP$56,41,0))</f>
        <v>20038756.347220838</v>
      </c>
      <c r="I8" s="50">
        <f>MIN(VLOOKUP($A8,'Mass Equivalents - States, Opt1'!$A$8:$AP$56,38,0)*VLOOKUP($A8,'Mass Equivalents - States, Opt1'!$A$8:$AP$56,42,0),VLOOKUP($A8,'Mass Equivalents - States, Opt1'!$A$8:$AP$56,38,0)*VLOOKUP($A8,'Mass Equivalents - States, Opt1'!$A$8:$AP$56,42)*VLOOKUP($A8,'Mass Equivalents - States, Opt1'!$A$8:$AP$56,41,0))</f>
        <v>21151488.901690483</v>
      </c>
      <c r="J8" s="50">
        <f>MIN(VLOOKUP($A8,'Mass Equivalents - States, Opt1'!$A$8:$AP$56,39,0)*VLOOKUP($A8,'Mass Equivalents - States, Opt1'!$A$8:$AP$56,42,0),VLOOKUP($A8,'Mass Equivalents - States, Opt1'!$A$8:$AP$56,39,0)*VLOOKUP($A8,'Mass Equivalents - States, Opt1'!$A$8:$AP$56,42)*VLOOKUP($A8,'Mass Equivalents - States, Opt1'!$A$8:$AP$56,41,0))</f>
        <v>22111625.671249423</v>
      </c>
      <c r="K8" s="46">
        <f>MIN(VLOOKUP($A8,'Mass Equivalents - States, Opt1'!$A$8:$AP$56,40,0)*VLOOKUP($A8,'Mass Equivalents - States, Opt1'!$A$8:$AP$56,42,0),VLOOKUP($A8,'Mass Equivalents - States, Opt1'!$A$8:$AP$56,40,0)*VLOOKUP($A8,'Mass Equivalents - States, Opt1'!$A$8:$AP$56,42)*VLOOKUP($A8,'Mass Equivalents - States, Opt1'!$A$8:$AP$56,41,0))</f>
        <v>22924770.836850192</v>
      </c>
      <c r="N8" s="49" t="s">
        <v>46</v>
      </c>
      <c r="O8" s="50">
        <f>MIN(VLOOKUP($N8,'Mass Equivalents - States, Opt2'!$A$8:$AF$56,32,0)*VLOOKUP($N8,'Mass Equivalents - States, Opt2'!$A$8:$AF$56,31,0)*VLOOKUP($N8,'Mass Equivalents - States, Opt2'!$A$8:$AF$56,26,0),VLOOKUP($N8,'Mass Equivalents - States, Opt2'!$A$8:$AF$56,32,0)*VLOOKUP($N8,'Mass Equivalents - States, Opt2'!$A$8:$AF$56,26,0))</f>
        <v>7042830.31490188</v>
      </c>
      <c r="P8" s="50">
        <f>MIN(VLOOKUP($N8,'Mass Equivalents - States, Opt2'!$A$8:$AF$56,32,0)*VLOOKUP($N8,'Mass Equivalents - States, Opt2'!$A$8:$AF$56,31,0)*VLOOKUP($N8,'Mass Equivalents - States, Opt2'!$A$8:$AF$56,27,0),VLOOKUP($N8,'Mass Equivalents - States, Opt2'!$A$8:$AF$56,32,0)*VLOOKUP($N8,'Mass Equivalents - States, Opt2'!$A$8:$AF$56,27,0))</f>
        <v>8477027.7149054781</v>
      </c>
      <c r="Q8" s="50">
        <f>MIN(VLOOKUP($N8,'Mass Equivalents - States, Opt2'!$A$8:$AF$56,32,0)*VLOOKUP($N8,'Mass Equivalents - States, Opt2'!$A$8:$AF$56,31,0)*VLOOKUP($N8,'Mass Equivalents - States, Opt2'!$A$8:$AF$56,28,0),VLOOKUP($N8,'Mass Equivalents - States, Opt2'!$A$8:$AF$56,32,0)*VLOOKUP($N8,'Mass Equivalents - States, Opt2'!$A$8:$AF$56,28,0))</f>
        <v>9788946.7757933736</v>
      </c>
      <c r="R8" s="50">
        <f>MIN(VLOOKUP($N8,'Mass Equivalents - States, Opt2'!$A$8:$AF$56,32,0)*VLOOKUP($N8,'Mass Equivalents - States, Opt2'!$A$8:$AF$56,31,0)*VLOOKUP($N8,'Mass Equivalents - States, Opt2'!$A$8:$AF$56,29,0),VLOOKUP($N8,'Mass Equivalents - States, Opt2'!$A$8:$AF$56,32,0)*VLOOKUP($N8,'Mass Equivalents - States, Opt2'!$A$8:$AF$56,29,0))</f>
        <v>10982471.102822997</v>
      </c>
      <c r="S8" s="46">
        <f>MIN(VLOOKUP($N8,'Mass Equivalents - States, Opt2'!$A$8:$AF$56,32,0)*VLOOKUP($N8,'Mass Equivalents - States, Opt2'!$A$8:$AF$56,31,0)*VLOOKUP($N8,'Mass Equivalents - States, Opt2'!$A$8:$AF$56,30,0),VLOOKUP($N8,'Mass Equivalents - States, Opt2'!$A$8:$AF$56,32,0)*VLOOKUP($N8,'Mass Equivalents - States, Opt2'!$A$8:$AF$56,30,0))</f>
        <v>12061334.06733365</v>
      </c>
    </row>
    <row r="9" spans="1:19" x14ac:dyDescent="0.25">
      <c r="A9" s="49" t="s">
        <v>47</v>
      </c>
      <c r="B9" s="50">
        <f>MIN(VLOOKUP($A9,'Mass Equivalents - States, Opt1'!$A$8:$AP$56,31,0)*VLOOKUP($A9,'Mass Equivalents - States, Opt1'!$A$8:$AP$56,42,0),VLOOKUP($A9,'Mass Equivalents - States, Opt1'!$A$8:$AP$56,31,0)*VLOOKUP($A9,'Mass Equivalents - States, Opt1'!$A$8:$AP$56,42)*VLOOKUP($A9,'Mass Equivalents - States, Opt1'!$A$8:$AP$56,41,0))</f>
        <v>2016854.467268822</v>
      </c>
      <c r="C9" s="50">
        <f>MIN(VLOOKUP($A9,'Mass Equivalents - States, Opt1'!$A$8:$AP$56,32,0)*VLOOKUP($A9,'Mass Equivalents - States, Opt1'!$A$8:$AP$56,42,0),VLOOKUP($A9,'Mass Equivalents - States, Opt1'!$A$8:$AP$56,32,0)*VLOOKUP($A9,'Mass Equivalents - States, Opt1'!$A$8:$AP$56,42)*VLOOKUP($A9,'Mass Equivalents - States, Opt1'!$A$8:$AP$56,41,0))</f>
        <v>2612177.3814980662</v>
      </c>
      <c r="D9" s="50">
        <f>MIN(VLOOKUP($A9,'Mass Equivalents - States, Opt1'!$A$8:$AP$56,33,0)*VLOOKUP($A9,'Mass Equivalents - States, Opt1'!$A$8:$AP$56,42,0),VLOOKUP($A9,'Mass Equivalents - States, Opt1'!$A$8:$AP$56,33,0)*VLOOKUP($A9,'Mass Equivalents - States, Opt1'!$A$8:$AP$56,42)*VLOOKUP($A9,'Mass Equivalents - States, Opt1'!$A$8:$AP$56,41,0))</f>
        <v>3154794.5573224551</v>
      </c>
      <c r="E9" s="50">
        <f>MIN(VLOOKUP($A9,'Mass Equivalents - States, Opt1'!$A$8:$AP$56,34,0)*VLOOKUP($A9,'Mass Equivalents - States, Opt1'!$A$8:$AP$56,42,0),VLOOKUP($A9,'Mass Equivalents - States, Opt1'!$A$8:$AP$56,34,0)*VLOOKUP($A9,'Mass Equivalents - States, Opt1'!$A$8:$AP$56,42)*VLOOKUP($A9,'Mass Equivalents - States, Opt1'!$A$8:$AP$56,41,0))</f>
        <v>3647023.5165380244</v>
      </c>
      <c r="F9" s="50">
        <f>MIN(VLOOKUP($A9,'Mass Equivalents - States, Opt1'!$A$8:$AP$56,35,0)*VLOOKUP($A9,'Mass Equivalents - States, Opt1'!$A$8:$AP$56,42,0),VLOOKUP($A9,'Mass Equivalents - States, Opt1'!$A$8:$AP$56,35,0)*VLOOKUP($A9,'Mass Equivalents - States, Opt1'!$A$8:$AP$56,42)*VLOOKUP($A9,'Mass Equivalents - States, Opt1'!$A$8:$AP$56,41,0))</f>
        <v>4091068.0281369993</v>
      </c>
      <c r="G9" s="50">
        <f>MIN(VLOOKUP($A9,'Mass Equivalents - States, Opt1'!$A$8:$AP$56,36,0)*VLOOKUP($A9,'Mass Equivalents - States, Opt1'!$A$8:$AP$56,42,0),VLOOKUP($A9,'Mass Equivalents - States, Opt1'!$A$8:$AP$56,36,0)*VLOOKUP($A9,'Mass Equivalents - States, Opt1'!$A$8:$AP$56,42)*VLOOKUP($A9,'Mass Equivalents - States, Opt1'!$A$8:$AP$56,41,0))</f>
        <v>4489023.5713666836</v>
      </c>
      <c r="H9" s="50">
        <f>MIN(VLOOKUP($A9,'Mass Equivalents - States, Opt1'!$A$8:$AP$56,37,0)*VLOOKUP($A9,'Mass Equivalents - States, Opt1'!$A$8:$AP$56,42,0),VLOOKUP($A9,'Mass Equivalents - States, Opt1'!$A$8:$AP$56,37,0)*VLOOKUP($A9,'Mass Equivalents - States, Opt1'!$A$8:$AP$56,42)*VLOOKUP($A9,'Mass Equivalents - States, Opt1'!$A$8:$AP$56,41,0))</f>
        <v>4842882.5353257991</v>
      </c>
      <c r="I9" s="50">
        <f>MIN(VLOOKUP($A9,'Mass Equivalents - States, Opt1'!$A$8:$AP$56,38,0)*VLOOKUP($A9,'Mass Equivalents - States, Opt1'!$A$8:$AP$56,42,0),VLOOKUP($A9,'Mass Equivalents - States, Opt1'!$A$8:$AP$56,38,0)*VLOOKUP($A9,'Mass Equivalents - States, Opt1'!$A$8:$AP$56,42)*VLOOKUP($A9,'Mass Equivalents - States, Opt1'!$A$8:$AP$56,41,0))</f>
        <v>5154539.1677939063</v>
      </c>
      <c r="J9" s="50">
        <f>MIN(VLOOKUP($A9,'Mass Equivalents - States, Opt1'!$A$8:$AP$56,39,0)*VLOOKUP($A9,'Mass Equivalents - States, Opt1'!$A$8:$AP$56,42,0),VLOOKUP($A9,'Mass Equivalents - States, Opt1'!$A$8:$AP$56,39,0)*VLOOKUP($A9,'Mass Equivalents - States, Opt1'!$A$8:$AP$56,42)*VLOOKUP($A9,'Mass Equivalents - States, Opt1'!$A$8:$AP$56,41,0))</f>
        <v>5425794.2853776393</v>
      </c>
      <c r="K9" s="46">
        <f>MIN(VLOOKUP($A9,'Mass Equivalents - States, Opt1'!$A$8:$AP$56,40,0)*VLOOKUP($A9,'Mass Equivalents - States, Opt1'!$A$8:$AP$56,42,0),VLOOKUP($A9,'Mass Equivalents - States, Opt1'!$A$8:$AP$56,40,0)*VLOOKUP($A9,'Mass Equivalents - States, Opt1'!$A$8:$AP$56,42)*VLOOKUP($A9,'Mass Equivalents - States, Opt1'!$A$8:$AP$56,41,0))</f>
        <v>5658359.7564751077</v>
      </c>
      <c r="N9" s="49" t="s">
        <v>47</v>
      </c>
      <c r="O9" s="50">
        <f>MIN(VLOOKUP($N9,'Mass Equivalents - States, Opt2'!$A$8:$AF$56,32,0)*VLOOKUP($N9,'Mass Equivalents - States, Opt2'!$A$8:$AF$56,31,0)*VLOOKUP($N9,'Mass Equivalents - States, Opt2'!$A$8:$AF$56,26,0),VLOOKUP($N9,'Mass Equivalents - States, Opt2'!$A$8:$AF$56,32,0)*VLOOKUP($N9,'Mass Equivalents - States, Opt2'!$A$8:$AF$56,26,0))</f>
        <v>1708105.1151199085</v>
      </c>
      <c r="P9" s="50">
        <f>MIN(VLOOKUP($N9,'Mass Equivalents - States, Opt2'!$A$8:$AF$56,32,0)*VLOOKUP($N9,'Mass Equivalents - States, Opt2'!$A$8:$AF$56,31,0)*VLOOKUP($N9,'Mass Equivalents - States, Opt2'!$A$8:$AF$56,27,0),VLOOKUP($N9,'Mass Equivalents - States, Opt2'!$A$8:$AF$56,32,0)*VLOOKUP($N9,'Mass Equivalents - States, Opt2'!$A$8:$AF$56,27,0))</f>
        <v>2082650.9148275359</v>
      </c>
      <c r="Q9" s="50">
        <f>MIN(VLOOKUP($N9,'Mass Equivalents - States, Opt2'!$A$8:$AF$56,32,0)*VLOOKUP($N9,'Mass Equivalents - States, Opt2'!$A$8:$AF$56,31,0)*VLOOKUP($N9,'Mass Equivalents - States, Opt2'!$A$8:$AF$56,28,0),VLOOKUP($N9,'Mass Equivalents - States, Opt2'!$A$8:$AF$56,32,0)*VLOOKUP($N9,'Mass Equivalents - States, Opt2'!$A$8:$AF$56,28,0))</f>
        <v>2424604.5114046345</v>
      </c>
      <c r="R9" s="50">
        <f>MIN(VLOOKUP($N9,'Mass Equivalents - States, Opt2'!$A$8:$AF$56,32,0)*VLOOKUP($N9,'Mass Equivalents - States, Opt2'!$A$8:$AF$56,31,0)*VLOOKUP($N9,'Mass Equivalents - States, Opt2'!$A$8:$AF$56,29,0),VLOOKUP($N9,'Mass Equivalents - States, Opt2'!$A$8:$AF$56,32,0)*VLOOKUP($N9,'Mass Equivalents - States, Opt2'!$A$8:$AF$56,29,0))</f>
        <v>2735166.9790253779</v>
      </c>
      <c r="S9" s="46">
        <f>MIN(VLOOKUP($N9,'Mass Equivalents - States, Opt2'!$A$8:$AF$56,32,0)*VLOOKUP($N9,'Mass Equivalents - States, Opt2'!$A$8:$AF$56,31,0)*VLOOKUP($N9,'Mass Equivalents - States, Opt2'!$A$8:$AF$56,30,0),VLOOKUP($N9,'Mass Equivalents - States, Opt2'!$A$8:$AF$56,32,0)*VLOOKUP($N9,'Mass Equivalents - States, Opt2'!$A$8:$AF$56,30,0))</f>
        <v>3015490.4453815999</v>
      </c>
    </row>
    <row r="10" spans="1:19" x14ac:dyDescent="0.25">
      <c r="A10" s="49" t="s">
        <v>48</v>
      </c>
      <c r="B10" s="50">
        <f>MIN(VLOOKUP($A10,'Mass Equivalents - States, Opt1'!$A$8:$AP$56,31,0)*VLOOKUP($A10,'Mass Equivalents - States, Opt1'!$A$8:$AP$56,42,0),VLOOKUP($A10,'Mass Equivalents - States, Opt1'!$A$8:$AP$56,31,0)*VLOOKUP($A10,'Mass Equivalents - States, Opt1'!$A$8:$AP$56,42)*VLOOKUP($A10,'Mass Equivalents - States, Opt1'!$A$8:$AP$56,41,0))</f>
        <v>1494851.2606864073</v>
      </c>
      <c r="C10" s="50">
        <f>MIN(VLOOKUP($A10,'Mass Equivalents - States, Opt1'!$A$8:$AP$56,32,0)*VLOOKUP($A10,'Mass Equivalents - States, Opt1'!$A$8:$AP$56,42,0),VLOOKUP($A10,'Mass Equivalents - States, Opt1'!$A$8:$AP$56,32,0)*VLOOKUP($A10,'Mass Equivalents - States, Opt1'!$A$8:$AP$56,42)*VLOOKUP($A10,'Mass Equivalents - States, Opt1'!$A$8:$AP$56,41,0))</f>
        <v>1859227.1868958843</v>
      </c>
      <c r="D10" s="50">
        <f>MIN(VLOOKUP($A10,'Mass Equivalents - States, Opt1'!$A$8:$AP$56,33,0)*VLOOKUP($A10,'Mass Equivalents - States, Opt1'!$A$8:$AP$56,42,0),VLOOKUP($A10,'Mass Equivalents - States, Opt1'!$A$8:$AP$56,33,0)*VLOOKUP($A10,'Mass Equivalents - States, Opt1'!$A$8:$AP$56,42)*VLOOKUP($A10,'Mass Equivalents - States, Opt1'!$A$8:$AP$56,41,0))</f>
        <v>2193789.3948990009</v>
      </c>
      <c r="E10" s="50">
        <f>MIN(VLOOKUP($A10,'Mass Equivalents - States, Opt1'!$A$8:$AP$56,34,0)*VLOOKUP($A10,'Mass Equivalents - States, Opt1'!$A$8:$AP$56,42,0),VLOOKUP($A10,'Mass Equivalents - States, Opt1'!$A$8:$AP$56,34,0)*VLOOKUP($A10,'Mass Equivalents - States, Opt1'!$A$8:$AP$56,42)*VLOOKUP($A10,'Mass Equivalents - States, Opt1'!$A$8:$AP$56,41,0))</f>
        <v>2499387.3455246938</v>
      </c>
      <c r="F10" s="50">
        <f>MIN(VLOOKUP($A10,'Mass Equivalents - States, Opt1'!$A$8:$AP$56,35,0)*VLOOKUP($A10,'Mass Equivalents - States, Opt1'!$A$8:$AP$56,42,0),VLOOKUP($A10,'Mass Equivalents - States, Opt1'!$A$8:$AP$56,35,0)*VLOOKUP($A10,'Mass Equivalents - States, Opt1'!$A$8:$AP$56,42)*VLOOKUP($A10,'Mass Equivalents - States, Opt1'!$A$8:$AP$56,41,0))</f>
        <v>2776831.7523583551</v>
      </c>
      <c r="G10" s="50">
        <f>MIN(VLOOKUP($A10,'Mass Equivalents - States, Opt1'!$A$8:$AP$56,36,0)*VLOOKUP($A10,'Mass Equivalents - States, Opt1'!$A$8:$AP$56,42,0),VLOOKUP($A10,'Mass Equivalents - States, Opt1'!$A$8:$AP$56,36,0)*VLOOKUP($A10,'Mass Equivalents - States, Opt1'!$A$8:$AP$56,42)*VLOOKUP($A10,'Mass Equivalents - States, Opt1'!$A$8:$AP$56,41,0))</f>
        <v>3026895.9670908833</v>
      </c>
      <c r="H10" s="50">
        <f>MIN(VLOOKUP($A10,'Mass Equivalents - States, Opt1'!$A$8:$AP$56,37,0)*VLOOKUP($A10,'Mass Equivalents - States, Opt1'!$A$8:$AP$56,42,0),VLOOKUP($A10,'Mass Equivalents - States, Opt1'!$A$8:$AP$56,37,0)*VLOOKUP($A10,'Mass Equivalents - States, Opt1'!$A$8:$AP$56,42)*VLOOKUP($A10,'Mass Equivalents - States, Opt1'!$A$8:$AP$56,41,0))</f>
        <v>3250317.3090674402</v>
      </c>
      <c r="I10" s="50">
        <f>MIN(VLOOKUP($A10,'Mass Equivalents - States, Opt1'!$A$8:$AP$56,38,0)*VLOOKUP($A10,'Mass Equivalents - States, Opt1'!$A$8:$AP$56,42,0),VLOOKUP($A10,'Mass Equivalents - States, Opt1'!$A$8:$AP$56,38,0)*VLOOKUP($A10,'Mass Equivalents - States, Opt1'!$A$8:$AP$56,42)*VLOOKUP($A10,'Mass Equivalents - States, Opt1'!$A$8:$AP$56,41,0))</f>
        <v>3447798.3411522321</v>
      </c>
      <c r="J10" s="50">
        <f>MIN(VLOOKUP($A10,'Mass Equivalents - States, Opt1'!$A$8:$AP$56,39,0)*VLOOKUP($A10,'Mass Equivalents - States, Opt1'!$A$8:$AP$56,42,0),VLOOKUP($A10,'Mass Equivalents - States, Opt1'!$A$8:$AP$56,39,0)*VLOOKUP($A10,'Mass Equivalents - States, Opt1'!$A$8:$AP$56,42)*VLOOKUP($A10,'Mass Equivalents - States, Opt1'!$A$8:$AP$56,41,0))</f>
        <v>3620008.0939429547</v>
      </c>
      <c r="K10" s="46">
        <f>MIN(VLOOKUP($A10,'Mass Equivalents - States, Opt1'!$A$8:$AP$56,40,0)*VLOOKUP($A10,'Mass Equivalents - States, Opt1'!$A$8:$AP$56,42,0),VLOOKUP($A10,'Mass Equivalents - States, Opt1'!$A$8:$AP$56,40,0)*VLOOKUP($A10,'Mass Equivalents - States, Opt1'!$A$8:$AP$56,42)*VLOOKUP($A10,'Mass Equivalents - States, Opt1'!$A$8:$AP$56,41,0))</f>
        <v>3767583.2402889957</v>
      </c>
      <c r="N10" s="49" t="s">
        <v>48</v>
      </c>
      <c r="O10" s="50">
        <f>MIN(VLOOKUP($N10,'Mass Equivalents - States, Opt2'!$A$8:$AF$56,32,0)*VLOOKUP($N10,'Mass Equivalents - States, Opt2'!$A$8:$AF$56,31,0)*VLOOKUP($N10,'Mass Equivalents - States, Opt2'!$A$8:$AF$56,26,0),VLOOKUP($N10,'Mass Equivalents - States, Opt2'!$A$8:$AF$56,32,0)*VLOOKUP($N10,'Mass Equivalents - States, Opt2'!$A$8:$AF$56,26,0))</f>
        <v>1144514.2936814805</v>
      </c>
      <c r="P10" s="50">
        <f>MIN(VLOOKUP($N10,'Mass Equivalents - States, Opt2'!$A$8:$AF$56,32,0)*VLOOKUP($N10,'Mass Equivalents - States, Opt2'!$A$8:$AF$56,31,0)*VLOOKUP($N10,'Mass Equivalents - States, Opt2'!$A$8:$AF$56,27,0),VLOOKUP($N10,'Mass Equivalents - States, Opt2'!$A$8:$AF$56,32,0)*VLOOKUP($N10,'Mass Equivalents - States, Opt2'!$A$8:$AF$56,27,0))</f>
        <v>1381675.6702807583</v>
      </c>
      <c r="Q10" s="50">
        <f>MIN(VLOOKUP($N10,'Mass Equivalents - States, Opt2'!$A$8:$AF$56,32,0)*VLOOKUP($N10,'Mass Equivalents - States, Opt2'!$A$8:$AF$56,31,0)*VLOOKUP($N10,'Mass Equivalents - States, Opt2'!$A$8:$AF$56,28,0),VLOOKUP($N10,'Mass Equivalents - States, Opt2'!$A$8:$AF$56,32,0)*VLOOKUP($N10,'Mass Equivalents - States, Opt2'!$A$8:$AF$56,28,0))</f>
        <v>1600079.1529944276</v>
      </c>
      <c r="R10" s="50">
        <f>MIN(VLOOKUP($N10,'Mass Equivalents - States, Opt2'!$A$8:$AF$56,32,0)*VLOOKUP($N10,'Mass Equivalents - States, Opt2'!$A$8:$AF$56,31,0)*VLOOKUP($N10,'Mass Equivalents - States, Opt2'!$A$8:$AF$56,29,0),VLOOKUP($N10,'Mass Equivalents - States, Opt2'!$A$8:$AF$56,32,0)*VLOOKUP($N10,'Mass Equivalents - States, Opt2'!$A$8:$AF$56,29,0))</f>
        <v>1800111.9827422558</v>
      </c>
      <c r="S10" s="46">
        <f>MIN(VLOOKUP($N10,'Mass Equivalents - States, Opt2'!$A$8:$AF$56,32,0)*VLOOKUP($N10,'Mass Equivalents - States, Opt2'!$A$8:$AF$56,31,0)*VLOOKUP($N10,'Mass Equivalents - States, Opt2'!$A$8:$AF$56,30,0),VLOOKUP($N10,'Mass Equivalents - States, Opt2'!$A$8:$AF$56,32,0)*VLOOKUP($N10,'Mass Equivalents - States, Opt2'!$A$8:$AF$56,30,0))</f>
        <v>1982146.5114908023</v>
      </c>
    </row>
    <row r="11" spans="1:19" x14ac:dyDescent="0.25">
      <c r="A11" s="49" t="s">
        <v>49</v>
      </c>
      <c r="B11" s="50">
        <f>MIN(VLOOKUP($A11,'Mass Equivalents - States, Opt1'!$A$8:$AP$56,31,0)*VLOOKUP($A11,'Mass Equivalents - States, Opt1'!$A$8:$AP$56,42,0),VLOOKUP($A11,'Mass Equivalents - States, Opt1'!$A$8:$AP$56,31,0)*VLOOKUP($A11,'Mass Equivalents - States, Opt1'!$A$8:$AP$56,42)*VLOOKUP($A11,'Mass Equivalents - States, Opt1'!$A$8:$AP$56,41,0))</f>
        <v>63887.591646877023</v>
      </c>
      <c r="C11" s="50">
        <f>MIN(VLOOKUP($A11,'Mass Equivalents - States, Opt1'!$A$8:$AP$56,32,0)*VLOOKUP($A11,'Mass Equivalents - States, Opt1'!$A$8:$AP$56,42,0),VLOOKUP($A11,'Mass Equivalents - States, Opt1'!$A$8:$AP$56,32,0)*VLOOKUP($A11,'Mass Equivalents - States, Opt1'!$A$8:$AP$56,42)*VLOOKUP($A11,'Mass Equivalents - States, Opt1'!$A$8:$AP$56,41,0))</f>
        <v>104036.26994252932</v>
      </c>
      <c r="D11" s="50">
        <f>MIN(VLOOKUP($A11,'Mass Equivalents - States, Opt1'!$A$8:$AP$56,33,0)*VLOOKUP($A11,'Mass Equivalents - States, Opt1'!$A$8:$AP$56,42,0),VLOOKUP($A11,'Mass Equivalents - States, Opt1'!$A$8:$AP$56,33,0)*VLOOKUP($A11,'Mass Equivalents - States, Opt1'!$A$8:$AP$56,42)*VLOOKUP($A11,'Mass Equivalents - States, Opt1'!$A$8:$AP$56,41,0))</f>
        <v>152284.06073951861</v>
      </c>
      <c r="E11" s="50">
        <f>MIN(VLOOKUP($A11,'Mass Equivalents - States, Opt1'!$A$8:$AP$56,34,0)*VLOOKUP($A11,'Mass Equivalents - States, Opt1'!$A$8:$AP$56,42,0),VLOOKUP($A11,'Mass Equivalents - States, Opt1'!$A$8:$AP$56,34,0)*VLOOKUP($A11,'Mass Equivalents - States, Opt1'!$A$8:$AP$56,42)*VLOOKUP($A11,'Mass Equivalents - States, Opt1'!$A$8:$AP$56,41,0))</f>
        <v>207790.84237857402</v>
      </c>
      <c r="F11" s="50">
        <f>MIN(VLOOKUP($A11,'Mass Equivalents - States, Opt1'!$A$8:$AP$56,35,0)*VLOOKUP($A11,'Mass Equivalents - States, Opt1'!$A$8:$AP$56,42,0),VLOOKUP($A11,'Mass Equivalents - States, Opt1'!$A$8:$AP$56,35,0)*VLOOKUP($A11,'Mass Equivalents - States, Opt1'!$A$8:$AP$56,42)*VLOOKUP($A11,'Mass Equivalents - States, Opt1'!$A$8:$AP$56,41,0))</f>
        <v>269700.25408707245</v>
      </c>
      <c r="G11" s="50">
        <f>MIN(VLOOKUP($A11,'Mass Equivalents - States, Opt1'!$A$8:$AP$56,36,0)*VLOOKUP($A11,'Mass Equivalents - States, Opt1'!$A$8:$AP$56,42,0),VLOOKUP($A11,'Mass Equivalents - States, Opt1'!$A$8:$AP$56,36,0)*VLOOKUP($A11,'Mass Equivalents - States, Opt1'!$A$8:$AP$56,42)*VLOOKUP($A11,'Mass Equivalents - States, Opt1'!$A$8:$AP$56,41,0))</f>
        <v>331861.08562663943</v>
      </c>
      <c r="H11" s="50">
        <f>MIN(VLOOKUP($A11,'Mass Equivalents - States, Opt1'!$A$8:$AP$56,37,0)*VLOOKUP($A11,'Mass Equivalents - States, Opt1'!$A$8:$AP$56,42,0),VLOOKUP($A11,'Mass Equivalents - States, Opt1'!$A$8:$AP$56,37,0)*VLOOKUP($A11,'Mass Equivalents - States, Opt1'!$A$8:$AP$56,42)*VLOOKUP($A11,'Mass Equivalents - States, Opt1'!$A$8:$AP$56,41,0))</f>
        <v>388706.99931875052</v>
      </c>
      <c r="I11" s="50">
        <f>MIN(VLOOKUP($A11,'Mass Equivalents - States, Opt1'!$A$8:$AP$56,38,0)*VLOOKUP($A11,'Mass Equivalents - States, Opt1'!$A$8:$AP$56,42,0),VLOOKUP($A11,'Mass Equivalents - States, Opt1'!$A$8:$AP$56,38,0)*VLOOKUP($A11,'Mass Equivalents - States, Opt1'!$A$8:$AP$56,42)*VLOOKUP($A11,'Mass Equivalents - States, Opt1'!$A$8:$AP$56,41,0))</f>
        <v>440413.26408388698</v>
      </c>
      <c r="J11" s="50">
        <f>MIN(VLOOKUP($A11,'Mass Equivalents - States, Opt1'!$A$8:$AP$56,39,0)*VLOOKUP($A11,'Mass Equivalents - States, Opt1'!$A$8:$AP$56,42,0),VLOOKUP($A11,'Mass Equivalents - States, Opt1'!$A$8:$AP$56,39,0)*VLOOKUP($A11,'Mass Equivalents - States, Opt1'!$A$8:$AP$56,42)*VLOOKUP($A11,'Mass Equivalents - States, Opt1'!$A$8:$AP$56,41,0))</f>
        <v>487147.14626219135</v>
      </c>
      <c r="K11" s="46">
        <f>MIN(VLOOKUP($A11,'Mass Equivalents - States, Opt1'!$A$8:$AP$56,40,0)*VLOOKUP($A11,'Mass Equivalents - States, Opt1'!$A$8:$AP$56,42,0),VLOOKUP($A11,'Mass Equivalents - States, Opt1'!$A$8:$AP$56,40,0)*VLOOKUP($A11,'Mass Equivalents - States, Opt1'!$A$8:$AP$56,42)*VLOOKUP($A11,'Mass Equivalents - States, Opt1'!$A$8:$AP$56,41,0))</f>
        <v>529068.22911496356</v>
      </c>
      <c r="N11" s="49" t="s">
        <v>49</v>
      </c>
      <c r="O11" s="50">
        <f>MIN(VLOOKUP($N11,'Mass Equivalents - States, Opt2'!$A$8:$AF$56,32,0)*VLOOKUP($N11,'Mass Equivalents - States, Opt2'!$A$8:$AF$56,31,0)*VLOOKUP($N11,'Mass Equivalents - States, Opt2'!$A$8:$AF$56,26,0),VLOOKUP($N11,'Mass Equivalents - States, Opt2'!$A$8:$AF$56,32,0)*VLOOKUP($N11,'Mass Equivalents - States, Opt2'!$A$8:$AF$56,26,0))</f>
        <v>47960.021246719851</v>
      </c>
      <c r="P11" s="50">
        <f>MIN(VLOOKUP($N11,'Mass Equivalents - States, Opt2'!$A$8:$AF$56,32,0)*VLOOKUP($N11,'Mass Equivalents - States, Opt2'!$A$8:$AF$56,31,0)*VLOOKUP($N11,'Mass Equivalents - States, Opt2'!$A$8:$AF$56,27,0),VLOOKUP($N11,'Mass Equivalents - States, Opt2'!$A$8:$AF$56,32,0)*VLOOKUP($N11,'Mass Equivalents - States, Opt2'!$A$8:$AF$56,27,0))</f>
        <v>78164.045608677232</v>
      </c>
      <c r="Q11" s="50">
        <f>MIN(VLOOKUP($N11,'Mass Equivalents - States, Opt2'!$A$8:$AF$56,32,0)*VLOOKUP($N11,'Mass Equivalents - States, Opt2'!$A$8:$AF$56,31,0)*VLOOKUP($N11,'Mass Equivalents - States, Opt2'!$A$8:$AF$56,28,0),VLOOKUP($N11,'Mass Equivalents - States, Opt2'!$A$8:$AF$56,32,0)*VLOOKUP($N11,'Mass Equivalents - States, Opt2'!$A$8:$AF$56,28,0))</f>
        <v>114534.94970477535</v>
      </c>
      <c r="R11" s="50">
        <f>MIN(VLOOKUP($N11,'Mass Equivalents - States, Opt2'!$A$8:$AF$56,32,0)*VLOOKUP($N11,'Mass Equivalents - States, Opt2'!$A$8:$AF$56,31,0)*VLOOKUP($N11,'Mass Equivalents - States, Opt2'!$A$8:$AF$56,29,0),VLOOKUP($N11,'Mass Equivalents - States, Opt2'!$A$8:$AF$56,32,0)*VLOOKUP($N11,'Mass Equivalents - States, Opt2'!$A$8:$AF$56,29,0))</f>
        <v>156484.05544834066</v>
      </c>
      <c r="S11" s="46">
        <f>MIN(VLOOKUP($N11,'Mass Equivalents - States, Opt2'!$A$8:$AF$56,32,0)*VLOOKUP($N11,'Mass Equivalents - States, Opt2'!$A$8:$AF$56,31,0)*VLOOKUP($N11,'Mass Equivalents - States, Opt2'!$A$8:$AF$56,30,0),VLOOKUP($N11,'Mass Equivalents - States, Opt2'!$A$8:$AF$56,32,0)*VLOOKUP($N11,'Mass Equivalents - States, Opt2'!$A$8:$AF$56,30,0))</f>
        <v>200713.8259461401</v>
      </c>
    </row>
    <row r="12" spans="1:19" x14ac:dyDescent="0.25">
      <c r="A12" s="49" t="s">
        <v>50</v>
      </c>
      <c r="B12" s="50">
        <f>MIN(VLOOKUP($A12,'Mass Equivalents - States, Opt1'!$A$8:$AP$56,31,0)*VLOOKUP($A12,'Mass Equivalents - States, Opt1'!$A$8:$AP$56,42,0),VLOOKUP($A12,'Mass Equivalents - States, Opt1'!$A$8:$AP$56,31,0)*VLOOKUP($A12,'Mass Equivalents - States, Opt1'!$A$8:$AP$56,42)*VLOOKUP($A12,'Mass Equivalents - States, Opt1'!$A$8:$AP$56,41,0))</f>
        <v>4336135.5434466749</v>
      </c>
      <c r="C12" s="50">
        <f>MIN(VLOOKUP($A12,'Mass Equivalents - States, Opt1'!$A$8:$AP$56,32,0)*VLOOKUP($A12,'Mass Equivalents - States, Opt1'!$A$8:$AP$56,42,0),VLOOKUP($A12,'Mass Equivalents - States, Opt1'!$A$8:$AP$56,32,0)*VLOOKUP($A12,'Mass Equivalents - States, Opt1'!$A$8:$AP$56,42)*VLOOKUP($A12,'Mass Equivalents - States, Opt1'!$A$8:$AP$56,41,0))</f>
        <v>6228832.4472627742</v>
      </c>
      <c r="D12" s="50">
        <f>MIN(VLOOKUP($A12,'Mass Equivalents - States, Opt1'!$A$8:$AP$56,33,0)*VLOOKUP($A12,'Mass Equivalents - States, Opt1'!$A$8:$AP$56,42,0),VLOOKUP($A12,'Mass Equivalents - States, Opt1'!$A$8:$AP$56,33,0)*VLOOKUP($A12,'Mass Equivalents - States, Opt1'!$A$8:$AP$56,42)*VLOOKUP($A12,'Mass Equivalents - States, Opt1'!$A$8:$AP$56,41,0))</f>
        <v>8379618.1043566596</v>
      </c>
      <c r="E12" s="50">
        <f>MIN(VLOOKUP($A12,'Mass Equivalents - States, Opt1'!$A$8:$AP$56,34,0)*VLOOKUP($A12,'Mass Equivalents - States, Opt1'!$A$8:$AP$56,42,0),VLOOKUP($A12,'Mass Equivalents - States, Opt1'!$A$8:$AP$56,34,0)*VLOOKUP($A12,'Mass Equivalents - States, Opt1'!$A$8:$AP$56,42)*VLOOKUP($A12,'Mass Equivalents - States, Opt1'!$A$8:$AP$56,41,0))</f>
        <v>10755241.100308716</v>
      </c>
      <c r="F12" s="50">
        <f>MIN(VLOOKUP($A12,'Mass Equivalents - States, Opt1'!$A$8:$AP$56,35,0)*VLOOKUP($A12,'Mass Equivalents - States, Opt1'!$A$8:$AP$56,42,0),VLOOKUP($A12,'Mass Equivalents - States, Opt1'!$A$8:$AP$56,35,0)*VLOOKUP($A12,'Mass Equivalents - States, Opt1'!$A$8:$AP$56,42)*VLOOKUP($A12,'Mass Equivalents - States, Opt1'!$A$8:$AP$56,41,0))</f>
        <v>13015104.983744251</v>
      </c>
      <c r="G12" s="50">
        <f>MIN(VLOOKUP($A12,'Mass Equivalents - States, Opt1'!$A$8:$AP$56,36,0)*VLOOKUP($A12,'Mass Equivalents - States, Opt1'!$A$8:$AP$56,42,0),VLOOKUP($A12,'Mass Equivalents - States, Opt1'!$A$8:$AP$56,36,0)*VLOOKUP($A12,'Mass Equivalents - States, Opt1'!$A$8:$AP$56,42)*VLOOKUP($A12,'Mass Equivalents - States, Opt1'!$A$8:$AP$56,41,0))</f>
        <v>15065622.166645052</v>
      </c>
      <c r="H12" s="50">
        <f>MIN(VLOOKUP($A12,'Mass Equivalents - States, Opt1'!$A$8:$AP$56,37,0)*VLOOKUP($A12,'Mass Equivalents - States, Opt1'!$A$8:$AP$56,42,0),VLOOKUP($A12,'Mass Equivalents - States, Opt1'!$A$8:$AP$56,37,0)*VLOOKUP($A12,'Mass Equivalents - States, Opt1'!$A$8:$AP$56,42)*VLOOKUP($A12,'Mass Equivalents - States, Opt1'!$A$8:$AP$56,41,0))</f>
        <v>16915841.166064397</v>
      </c>
      <c r="I12" s="50">
        <f>MIN(VLOOKUP($A12,'Mass Equivalents - States, Opt1'!$A$8:$AP$56,38,0)*VLOOKUP($A12,'Mass Equivalents - States, Opt1'!$A$8:$AP$56,42,0),VLOOKUP($A12,'Mass Equivalents - States, Opt1'!$A$8:$AP$56,38,0)*VLOOKUP($A12,'Mass Equivalents - States, Opt1'!$A$8:$AP$56,42)*VLOOKUP($A12,'Mass Equivalents - States, Opt1'!$A$8:$AP$56,41,0))</f>
        <v>18574368.01291037</v>
      </c>
      <c r="J12" s="50">
        <f>MIN(VLOOKUP($A12,'Mass Equivalents - States, Opt1'!$A$8:$AP$56,39,0)*VLOOKUP($A12,'Mass Equivalents - States, Opt1'!$A$8:$AP$56,42,0),VLOOKUP($A12,'Mass Equivalents - States, Opt1'!$A$8:$AP$56,39,0)*VLOOKUP($A12,'Mass Equivalents - States, Opt1'!$A$8:$AP$56,42)*VLOOKUP($A12,'Mass Equivalents - States, Opt1'!$A$8:$AP$56,41,0))</f>
        <v>20049387.343128767</v>
      </c>
      <c r="K12" s="46">
        <f>MIN(VLOOKUP($A12,'Mass Equivalents - States, Opt1'!$A$8:$AP$56,40,0)*VLOOKUP($A12,'Mass Equivalents - States, Opt1'!$A$8:$AP$56,42,0),VLOOKUP($A12,'Mass Equivalents - States, Opt1'!$A$8:$AP$56,40,0)*VLOOKUP($A12,'Mass Equivalents - States, Opt1'!$A$8:$AP$56,42)*VLOOKUP($A12,'Mass Equivalents - States, Opt1'!$A$8:$AP$56,41,0))</f>
        <v>21348682.478423171</v>
      </c>
      <c r="N12" s="49" t="s">
        <v>50</v>
      </c>
      <c r="O12" s="50">
        <f>MIN(VLOOKUP($N12,'Mass Equivalents - States, Opt2'!$A$8:$AF$56,32,0)*VLOOKUP($N12,'Mass Equivalents - States, Opt2'!$A$8:$AF$56,31,0)*VLOOKUP($N12,'Mass Equivalents - States, Opt2'!$A$8:$AF$56,26,0),VLOOKUP($N12,'Mass Equivalents - States, Opt2'!$A$8:$AF$56,32,0)*VLOOKUP($N12,'Mass Equivalents - States, Opt2'!$A$8:$AF$56,26,0))</f>
        <v>3736793.8346930617</v>
      </c>
      <c r="P12" s="50">
        <f>MIN(VLOOKUP($N12,'Mass Equivalents - States, Opt2'!$A$8:$AF$56,32,0)*VLOOKUP($N12,'Mass Equivalents - States, Opt2'!$A$8:$AF$56,31,0)*VLOOKUP($N12,'Mass Equivalents - States, Opt2'!$A$8:$AF$56,27,0),VLOOKUP($N12,'Mass Equivalents - States, Opt2'!$A$8:$AF$56,32,0)*VLOOKUP($N12,'Mass Equivalents - States, Opt2'!$A$8:$AF$56,27,0))</f>
        <v>5259461.6989318281</v>
      </c>
      <c r="Q12" s="50">
        <f>MIN(VLOOKUP($N12,'Mass Equivalents - States, Opt2'!$A$8:$AF$56,32,0)*VLOOKUP($N12,'Mass Equivalents - States, Opt2'!$A$8:$AF$56,31,0)*VLOOKUP($N12,'Mass Equivalents - States, Opt2'!$A$8:$AF$56,28,0),VLOOKUP($N12,'Mass Equivalents - States, Opt2'!$A$8:$AF$56,32,0)*VLOOKUP($N12,'Mass Equivalents - States, Opt2'!$A$8:$AF$56,28,0))</f>
        <v>6964667.7672298308</v>
      </c>
      <c r="R12" s="50">
        <f>MIN(VLOOKUP($N12,'Mass Equivalents - States, Opt2'!$A$8:$AF$56,32,0)*VLOOKUP($N12,'Mass Equivalents - States, Opt2'!$A$8:$AF$56,31,0)*VLOOKUP($N12,'Mass Equivalents - States, Opt2'!$A$8:$AF$56,29,0),VLOOKUP($N12,'Mass Equivalents - States, Opt2'!$A$8:$AF$56,32,0)*VLOOKUP($N12,'Mass Equivalents - States, Opt2'!$A$8:$AF$56,29,0))</f>
        <v>8529210.2793571223</v>
      </c>
      <c r="S12" s="46">
        <f>MIN(VLOOKUP($N12,'Mass Equivalents - States, Opt2'!$A$8:$AF$56,32,0)*VLOOKUP($N12,'Mass Equivalents - States, Opt2'!$A$8:$AF$56,31,0)*VLOOKUP($N12,'Mass Equivalents - States, Opt2'!$A$8:$AF$56,30,0),VLOOKUP($N12,'Mass Equivalents - States, Opt2'!$A$8:$AF$56,32,0)*VLOOKUP($N12,'Mass Equivalents - States, Opt2'!$A$8:$AF$56,30,0))</f>
        <v>9958220.3799830656</v>
      </c>
    </row>
    <row r="13" spans="1:19" x14ac:dyDescent="0.25">
      <c r="A13" s="49" t="s">
        <v>51</v>
      </c>
      <c r="B13" s="50">
        <f>MIN(VLOOKUP($A13,'Mass Equivalents - States, Opt1'!$A$8:$AP$56,31,0)*VLOOKUP($A13,'Mass Equivalents - States, Opt1'!$A$8:$AP$56,42,0),VLOOKUP($A13,'Mass Equivalents - States, Opt1'!$A$8:$AP$56,31,0)*VLOOKUP($A13,'Mass Equivalents - States, Opt1'!$A$8:$AP$56,42)*VLOOKUP($A13,'Mass Equivalents - States, Opt1'!$A$8:$AP$56,41,0))</f>
        <v>2176581.9057301618</v>
      </c>
      <c r="C13" s="50">
        <f>MIN(VLOOKUP($A13,'Mass Equivalents - States, Opt1'!$A$8:$AP$56,32,0)*VLOOKUP($A13,'Mass Equivalents - States, Opt1'!$A$8:$AP$56,42,0),VLOOKUP($A13,'Mass Equivalents - States, Opt1'!$A$8:$AP$56,32,0)*VLOOKUP($A13,'Mass Equivalents - States, Opt1'!$A$8:$AP$56,42)*VLOOKUP($A13,'Mass Equivalents - States, Opt1'!$A$8:$AP$56,41,0))</f>
        <v>3208315.1746176602</v>
      </c>
      <c r="D13" s="50">
        <f>MIN(VLOOKUP($A13,'Mass Equivalents - States, Opt1'!$A$8:$AP$56,33,0)*VLOOKUP($A13,'Mass Equivalents - States, Opt1'!$A$8:$AP$56,42,0),VLOOKUP($A13,'Mass Equivalents - States, Opt1'!$A$8:$AP$56,33,0)*VLOOKUP($A13,'Mass Equivalents - States, Opt1'!$A$8:$AP$56,42)*VLOOKUP($A13,'Mass Equivalents - States, Opt1'!$A$8:$AP$56,41,0))</f>
        <v>4397954.4064495675</v>
      </c>
      <c r="E13" s="50">
        <f>MIN(VLOOKUP($A13,'Mass Equivalents - States, Opt1'!$A$8:$AP$56,34,0)*VLOOKUP($A13,'Mass Equivalents - States, Opt1'!$A$8:$AP$56,42,0),VLOOKUP($A13,'Mass Equivalents - States, Opt1'!$A$8:$AP$56,34,0)*VLOOKUP($A13,'Mass Equivalents - States, Opt1'!$A$8:$AP$56,42)*VLOOKUP($A13,'Mass Equivalents - States, Opt1'!$A$8:$AP$56,41,0))</f>
        <v>5726374.4905265924</v>
      </c>
      <c r="F13" s="50">
        <f>MIN(VLOOKUP($A13,'Mass Equivalents - States, Opt1'!$A$8:$AP$56,35,0)*VLOOKUP($A13,'Mass Equivalents - States, Opt1'!$A$8:$AP$56,42,0),VLOOKUP($A13,'Mass Equivalents - States, Opt1'!$A$8:$AP$56,35,0)*VLOOKUP($A13,'Mass Equivalents - States, Opt1'!$A$8:$AP$56,42)*VLOOKUP($A13,'Mass Equivalents - States, Opt1'!$A$8:$AP$56,41,0))</f>
        <v>7085207.8253975427</v>
      </c>
      <c r="G13" s="50">
        <f>MIN(VLOOKUP($A13,'Mass Equivalents - States, Opt1'!$A$8:$AP$56,36,0)*VLOOKUP($A13,'Mass Equivalents - States, Opt1'!$A$8:$AP$56,42,0),VLOOKUP($A13,'Mass Equivalents - States, Opt1'!$A$8:$AP$56,36,0)*VLOOKUP($A13,'Mass Equivalents - States, Opt1'!$A$8:$AP$56,42)*VLOOKUP($A13,'Mass Equivalents - States, Opt1'!$A$8:$AP$56,41,0))</f>
        <v>8322295.2560192998</v>
      </c>
      <c r="H13" s="50">
        <f>MIN(VLOOKUP($A13,'Mass Equivalents - States, Opt1'!$A$8:$AP$56,37,0)*VLOOKUP($A13,'Mass Equivalents - States, Opt1'!$A$8:$AP$56,42,0),VLOOKUP($A13,'Mass Equivalents - States, Opt1'!$A$8:$AP$56,37,0)*VLOOKUP($A13,'Mass Equivalents - States, Opt1'!$A$8:$AP$56,42)*VLOOKUP($A13,'Mass Equivalents - States, Opt1'!$A$8:$AP$56,41,0))</f>
        <v>9442622.9628309291</v>
      </c>
      <c r="I13" s="50">
        <f>MIN(VLOOKUP($A13,'Mass Equivalents - States, Opt1'!$A$8:$AP$56,38,0)*VLOOKUP($A13,'Mass Equivalents - States, Opt1'!$A$8:$AP$56,42,0),VLOOKUP($A13,'Mass Equivalents - States, Opt1'!$A$8:$AP$56,38,0)*VLOOKUP($A13,'Mass Equivalents - States, Opt1'!$A$8:$AP$56,42)*VLOOKUP($A13,'Mass Equivalents - States, Opt1'!$A$8:$AP$56,41,0))</f>
        <v>10450938.567917926</v>
      </c>
      <c r="J13" s="50">
        <f>MIN(VLOOKUP($A13,'Mass Equivalents - States, Opt1'!$A$8:$AP$56,39,0)*VLOOKUP($A13,'Mass Equivalents - States, Opt1'!$A$8:$AP$56,42,0),VLOOKUP($A13,'Mass Equivalents - States, Opt1'!$A$8:$AP$56,39,0)*VLOOKUP($A13,'Mass Equivalents - States, Opt1'!$A$8:$AP$56,42)*VLOOKUP($A13,'Mass Equivalents - States, Opt1'!$A$8:$AP$56,41,0))</f>
        <v>11351762.11278202</v>
      </c>
      <c r="K13" s="46">
        <f>MIN(VLOOKUP($A13,'Mass Equivalents - States, Opt1'!$A$8:$AP$56,40,0)*VLOOKUP($A13,'Mass Equivalents - States, Opt1'!$A$8:$AP$56,42,0),VLOOKUP($A13,'Mass Equivalents - States, Opt1'!$A$8:$AP$56,40,0)*VLOOKUP($A13,'Mass Equivalents - States, Opt1'!$A$8:$AP$56,42)*VLOOKUP($A13,'Mass Equivalents - States, Opt1'!$A$8:$AP$56,41,0))</f>
        <v>12149396.526212227</v>
      </c>
      <c r="N13" s="49" t="s">
        <v>51</v>
      </c>
      <c r="O13" s="50">
        <f>MIN(VLOOKUP($N13,'Mass Equivalents - States, Opt2'!$A$8:$AF$56,32,0)*VLOOKUP($N13,'Mass Equivalents - States, Opt2'!$A$8:$AF$56,31,0)*VLOOKUP($N13,'Mass Equivalents - States, Opt2'!$A$8:$AF$56,26,0),VLOOKUP($N13,'Mass Equivalents - States, Opt2'!$A$8:$AF$56,32,0)*VLOOKUP($N13,'Mass Equivalents - States, Opt2'!$A$8:$AF$56,26,0))</f>
        <v>1828857.4243980073</v>
      </c>
      <c r="P13" s="50">
        <f>MIN(VLOOKUP($N13,'Mass Equivalents - States, Opt2'!$A$8:$AF$56,32,0)*VLOOKUP($N13,'Mass Equivalents - States, Opt2'!$A$8:$AF$56,31,0)*VLOOKUP($N13,'Mass Equivalents - States, Opt2'!$A$8:$AF$56,27,0),VLOOKUP($N13,'Mass Equivalents - States, Opt2'!$A$8:$AF$56,32,0)*VLOOKUP($N13,'Mass Equivalents - States, Opt2'!$A$8:$AF$56,27,0))</f>
        <v>2645256.2020918499</v>
      </c>
      <c r="Q13" s="50">
        <f>MIN(VLOOKUP($N13,'Mass Equivalents - States, Opt2'!$A$8:$AF$56,32,0)*VLOOKUP($N13,'Mass Equivalents - States, Opt2'!$A$8:$AF$56,31,0)*VLOOKUP($N13,'Mass Equivalents - States, Opt2'!$A$8:$AF$56,28,0),VLOOKUP($N13,'Mass Equivalents - States, Opt2'!$A$8:$AF$56,32,0)*VLOOKUP($N13,'Mass Equivalents - States, Opt2'!$A$8:$AF$56,28,0))</f>
        <v>3578903.6476527373</v>
      </c>
      <c r="R13" s="50">
        <f>MIN(VLOOKUP($N13,'Mass Equivalents - States, Opt2'!$A$8:$AF$56,32,0)*VLOOKUP($N13,'Mass Equivalents - States, Opt2'!$A$8:$AF$56,31,0)*VLOOKUP($N13,'Mass Equivalents - States, Opt2'!$A$8:$AF$56,29,0),VLOOKUP($N13,'Mass Equivalents - States, Opt2'!$A$8:$AF$56,32,0)*VLOOKUP($N13,'Mass Equivalents - States, Opt2'!$A$8:$AF$56,29,0))</f>
        <v>4525530.5830444591</v>
      </c>
      <c r="S13" s="46">
        <f>MIN(VLOOKUP($N13,'Mass Equivalents - States, Opt2'!$A$8:$AF$56,32,0)*VLOOKUP($N13,'Mass Equivalents - States, Opt2'!$A$8:$AF$56,31,0)*VLOOKUP($N13,'Mass Equivalents - States, Opt2'!$A$8:$AF$56,30,0),VLOOKUP($N13,'Mass Equivalents - States, Opt2'!$A$8:$AF$56,32,0)*VLOOKUP($N13,'Mass Equivalents - States, Opt2'!$A$8:$AF$56,30,0))</f>
        <v>5393379.5218464211</v>
      </c>
    </row>
    <row r="14" spans="1:19" x14ac:dyDescent="0.25">
      <c r="A14" s="49" t="s">
        <v>52</v>
      </c>
      <c r="B14" s="50">
        <f>MIN(VLOOKUP($A14,'Mass Equivalents - States, Opt1'!$A$8:$AP$56,31,0)*VLOOKUP($A14,'Mass Equivalents - States, Opt1'!$A$8:$AP$56,42,0),VLOOKUP($A14,'Mass Equivalents - States, Opt1'!$A$8:$AP$56,31,0)*VLOOKUP($A14,'Mass Equivalents - States, Opt1'!$A$8:$AP$56,42)*VLOOKUP($A14,'Mass Equivalents - States, Opt1'!$A$8:$AP$56,41,0))</f>
        <v>129011.12618647449</v>
      </c>
      <c r="C14" s="50">
        <f>MIN(VLOOKUP($A14,'Mass Equivalents - States, Opt1'!$A$8:$AP$56,32,0)*VLOOKUP($A14,'Mass Equivalents - States, Opt1'!$A$8:$AP$56,42,0),VLOOKUP($A14,'Mass Equivalents - States, Opt1'!$A$8:$AP$56,32,0)*VLOOKUP($A14,'Mass Equivalents - States, Opt1'!$A$8:$AP$56,42)*VLOOKUP($A14,'Mass Equivalents - States, Opt1'!$A$8:$AP$56,41,0))</f>
        <v>203356.81704012849</v>
      </c>
      <c r="D14" s="50">
        <f>MIN(VLOOKUP($A14,'Mass Equivalents - States, Opt1'!$A$8:$AP$56,33,0)*VLOOKUP($A14,'Mass Equivalents - States, Opt1'!$A$8:$AP$56,42,0),VLOOKUP($A14,'Mass Equivalents - States, Opt1'!$A$8:$AP$56,33,0)*VLOOKUP($A14,'Mass Equivalents - States, Opt1'!$A$8:$AP$56,42)*VLOOKUP($A14,'Mass Equivalents - States, Opt1'!$A$8:$AP$56,41,0))</f>
        <v>291650.25080179446</v>
      </c>
      <c r="E14" s="50">
        <f>MIN(VLOOKUP($A14,'Mass Equivalents - States, Opt1'!$A$8:$AP$56,34,0)*VLOOKUP($A14,'Mass Equivalents - States, Opt1'!$A$8:$AP$56,42,0),VLOOKUP($A14,'Mass Equivalents - States, Opt1'!$A$8:$AP$56,34,0)*VLOOKUP($A14,'Mass Equivalents - States, Opt1'!$A$8:$AP$56,42)*VLOOKUP($A14,'Mass Equivalents - States, Opt1'!$A$8:$AP$56,41,0))</f>
        <v>392369.50543101528</v>
      </c>
      <c r="F14" s="50">
        <f>MIN(VLOOKUP($A14,'Mass Equivalents - States, Opt1'!$A$8:$AP$56,35,0)*VLOOKUP($A14,'Mass Equivalents - States, Opt1'!$A$8:$AP$56,42,0),VLOOKUP($A14,'Mass Equivalents - States, Opt1'!$A$8:$AP$56,35,0)*VLOOKUP($A14,'Mass Equivalents - States, Opt1'!$A$8:$AP$56,42)*VLOOKUP($A14,'Mass Equivalents - States, Opt1'!$A$8:$AP$56,41,0))</f>
        <v>503974.80660805543</v>
      </c>
      <c r="G14" s="50">
        <f>MIN(VLOOKUP($A14,'Mass Equivalents - States, Opt1'!$A$8:$AP$56,36,0)*VLOOKUP($A14,'Mass Equivalents - States, Opt1'!$A$8:$AP$56,42,0),VLOOKUP($A14,'Mass Equivalents - States, Opt1'!$A$8:$AP$56,36,0)*VLOOKUP($A14,'Mass Equivalents - States, Opt1'!$A$8:$AP$56,42)*VLOOKUP($A14,'Mass Equivalents - States, Opt1'!$A$8:$AP$56,41,0))</f>
        <v>611474.88160923775</v>
      </c>
      <c r="H14" s="50">
        <f>MIN(VLOOKUP($A14,'Mass Equivalents - States, Opt1'!$A$8:$AP$56,37,0)*VLOOKUP($A14,'Mass Equivalents - States, Opt1'!$A$8:$AP$56,42,0),VLOOKUP($A14,'Mass Equivalents - States, Opt1'!$A$8:$AP$56,37,0)*VLOOKUP($A14,'Mass Equivalents - States, Opt1'!$A$8:$AP$56,42)*VLOOKUP($A14,'Mass Equivalents - States, Opt1'!$A$8:$AP$56,41,0))</f>
        <v>709414.26055801404</v>
      </c>
      <c r="I14" s="50">
        <f>MIN(VLOOKUP($A14,'Mass Equivalents - States, Opt1'!$A$8:$AP$56,38,0)*VLOOKUP($A14,'Mass Equivalents - States, Opt1'!$A$8:$AP$56,42,0),VLOOKUP($A14,'Mass Equivalents - States, Opt1'!$A$8:$AP$56,38,0)*VLOOKUP($A14,'Mass Equivalents - States, Opt1'!$A$8:$AP$56,42)*VLOOKUP($A14,'Mass Equivalents - States, Opt1'!$A$8:$AP$56,41,0))</f>
        <v>798147.25568469579</v>
      </c>
      <c r="J14" s="50">
        <f>MIN(VLOOKUP($A14,'Mass Equivalents - States, Opt1'!$A$8:$AP$56,39,0)*VLOOKUP($A14,'Mass Equivalents - States, Opt1'!$A$8:$AP$56,42,0),VLOOKUP($A14,'Mass Equivalents - States, Opt1'!$A$8:$AP$56,39,0)*VLOOKUP($A14,'Mass Equivalents - States, Opt1'!$A$8:$AP$56,42)*VLOOKUP($A14,'Mass Equivalents - States, Opt1'!$A$8:$AP$56,41,0))</f>
        <v>878011.68212628365</v>
      </c>
      <c r="K14" s="46">
        <f>MIN(VLOOKUP($A14,'Mass Equivalents - States, Opt1'!$A$8:$AP$56,40,0)*VLOOKUP($A14,'Mass Equivalents - States, Opt1'!$A$8:$AP$56,42,0),VLOOKUP($A14,'Mass Equivalents - States, Opt1'!$A$8:$AP$56,40,0)*VLOOKUP($A14,'Mass Equivalents - States, Opt1'!$A$8:$AP$56,42)*VLOOKUP($A14,'Mass Equivalents - States, Opt1'!$A$8:$AP$56,41,0))</f>
        <v>949329.57120729168</v>
      </c>
      <c r="N14" s="49" t="s">
        <v>52</v>
      </c>
      <c r="O14" s="50">
        <f>MIN(VLOOKUP($N14,'Mass Equivalents - States, Opt2'!$A$8:$AF$56,32,0)*VLOOKUP($N14,'Mass Equivalents - States, Opt2'!$A$8:$AF$56,31,0)*VLOOKUP($N14,'Mass Equivalents - States, Opt2'!$A$8:$AF$56,26,0),VLOOKUP($N14,'Mass Equivalents - States, Opt2'!$A$8:$AF$56,32,0)*VLOOKUP($N14,'Mass Equivalents - States, Opt2'!$A$8:$AF$56,26,0))</f>
        <v>100722.99770778851</v>
      </c>
      <c r="P14" s="50">
        <f>MIN(VLOOKUP($N14,'Mass Equivalents - States, Opt2'!$A$8:$AF$56,32,0)*VLOOKUP($N14,'Mass Equivalents - States, Opt2'!$A$8:$AF$56,31,0)*VLOOKUP($N14,'Mass Equivalents - States, Opt2'!$A$8:$AF$56,27,0),VLOOKUP($N14,'Mass Equivalents - States, Opt2'!$A$8:$AF$56,32,0)*VLOOKUP($N14,'Mass Equivalents - States, Opt2'!$A$8:$AF$56,27,0))</f>
        <v>157461.25169375315</v>
      </c>
      <c r="Q14" s="50">
        <f>MIN(VLOOKUP($N14,'Mass Equivalents - States, Opt2'!$A$8:$AF$56,32,0)*VLOOKUP($N14,'Mass Equivalents - States, Opt2'!$A$8:$AF$56,31,0)*VLOOKUP($N14,'Mass Equivalents - States, Opt2'!$A$8:$AF$56,28,0),VLOOKUP($N14,'Mass Equivalents - States, Opt2'!$A$8:$AF$56,32,0)*VLOOKUP($N14,'Mass Equivalents - States, Opt2'!$A$8:$AF$56,28,0))</f>
        <v>224762.79293167873</v>
      </c>
      <c r="R14" s="50">
        <f>MIN(VLOOKUP($N14,'Mass Equivalents - States, Opt2'!$A$8:$AF$56,32,0)*VLOOKUP($N14,'Mass Equivalents - States, Opt2'!$A$8:$AF$56,31,0)*VLOOKUP($N14,'Mass Equivalents - States, Opt2'!$A$8:$AF$56,29,0),VLOOKUP($N14,'Mass Equivalents - States, Opt2'!$A$8:$AF$56,32,0)*VLOOKUP($N14,'Mass Equivalents - States, Opt2'!$A$8:$AF$56,29,0))</f>
        <v>301559.45083989576</v>
      </c>
      <c r="S14" s="46">
        <f>MIN(VLOOKUP($N14,'Mass Equivalents - States, Opt2'!$A$8:$AF$56,32,0)*VLOOKUP($N14,'Mass Equivalents - States, Opt2'!$A$8:$AF$56,31,0)*VLOOKUP($N14,'Mass Equivalents - States, Opt2'!$A$8:$AF$56,30,0),VLOOKUP($N14,'Mass Equivalents - States, Opt2'!$A$8:$AF$56,32,0)*VLOOKUP($N14,'Mass Equivalents - States, Opt2'!$A$8:$AF$56,30,0))</f>
        <v>377837.15276111435</v>
      </c>
    </row>
    <row r="15" spans="1:19" x14ac:dyDescent="0.25">
      <c r="A15" s="49" t="s">
        <v>53</v>
      </c>
      <c r="B15" s="50">
        <f>MIN(VLOOKUP($A15,'Mass Equivalents - States, Opt1'!$A$8:$AP$56,31,0)*VLOOKUP($A15,'Mass Equivalents - States, Opt1'!$A$8:$AP$56,42,0),VLOOKUP($A15,'Mass Equivalents - States, Opt1'!$A$8:$AP$56,31,0)*VLOOKUP($A15,'Mass Equivalents - States, Opt1'!$A$8:$AP$56,42)*VLOOKUP($A15,'Mass Equivalents - States, Opt1'!$A$8:$AP$56,41,0))</f>
        <v>454124.05529388855</v>
      </c>
      <c r="C15" s="50">
        <f>MIN(VLOOKUP($A15,'Mass Equivalents - States, Opt1'!$A$8:$AP$56,32,0)*VLOOKUP($A15,'Mass Equivalents - States, Opt1'!$A$8:$AP$56,42,0),VLOOKUP($A15,'Mass Equivalents - States, Opt1'!$A$8:$AP$56,32,0)*VLOOKUP($A15,'Mass Equivalents - States, Opt1'!$A$8:$AP$56,42)*VLOOKUP($A15,'Mass Equivalents - States, Opt1'!$A$8:$AP$56,41,0))</f>
        <v>594969.23264640593</v>
      </c>
      <c r="D15" s="50">
        <f>MIN(VLOOKUP($A15,'Mass Equivalents - States, Opt1'!$A$8:$AP$56,33,0)*VLOOKUP($A15,'Mass Equivalents - States, Opt1'!$A$8:$AP$56,42,0),VLOOKUP($A15,'Mass Equivalents - States, Opt1'!$A$8:$AP$56,33,0)*VLOOKUP($A15,'Mass Equivalents - States, Opt1'!$A$8:$AP$56,42)*VLOOKUP($A15,'Mass Equivalents - States, Opt1'!$A$8:$AP$56,41,0))</f>
        <v>723716.53810168116</v>
      </c>
      <c r="E15" s="50">
        <f>MIN(VLOOKUP($A15,'Mass Equivalents - States, Opt1'!$A$8:$AP$56,34,0)*VLOOKUP($A15,'Mass Equivalents - States, Opt1'!$A$8:$AP$56,42,0),VLOOKUP($A15,'Mass Equivalents - States, Opt1'!$A$8:$AP$56,34,0)*VLOOKUP($A15,'Mass Equivalents - States, Opt1'!$A$8:$AP$56,42)*VLOOKUP($A15,'Mass Equivalents - States, Opt1'!$A$8:$AP$56,41,0))</f>
        <v>840854.8805701494</v>
      </c>
      <c r="F15" s="50">
        <f>MIN(VLOOKUP($A15,'Mass Equivalents - States, Opt1'!$A$8:$AP$56,35,0)*VLOOKUP($A15,'Mass Equivalents - States, Opt1'!$A$8:$AP$56,42,0),VLOOKUP($A15,'Mass Equivalents - States, Opt1'!$A$8:$AP$56,35,0)*VLOOKUP($A15,'Mass Equivalents - States, Opt1'!$A$8:$AP$56,42)*VLOOKUP($A15,'Mass Equivalents - States, Opt1'!$A$8:$AP$56,41,0))</f>
        <v>946849.96487518866</v>
      </c>
      <c r="G15" s="50">
        <f>MIN(VLOOKUP($A15,'Mass Equivalents - States, Opt1'!$A$8:$AP$56,36,0)*VLOOKUP($A15,'Mass Equivalents - States, Opt1'!$A$8:$AP$56,42,0),VLOOKUP($A15,'Mass Equivalents - States, Opt1'!$A$8:$AP$56,36,0)*VLOOKUP($A15,'Mass Equivalents - States, Opt1'!$A$8:$AP$56,42)*VLOOKUP($A15,'Mass Equivalents - States, Opt1'!$A$8:$AP$56,41,0))</f>
        <v>1042145.347173746</v>
      </c>
      <c r="H15" s="50">
        <f>MIN(VLOOKUP($A15,'Mass Equivalents - States, Opt1'!$A$8:$AP$56,37,0)*VLOOKUP($A15,'Mass Equivalents - States, Opt1'!$A$8:$AP$56,42,0),VLOOKUP($A15,'Mass Equivalents - States, Opt1'!$A$8:$AP$56,37,0)*VLOOKUP($A15,'Mass Equivalents - States, Opt1'!$A$8:$AP$56,42)*VLOOKUP($A15,'Mass Equivalents - States, Opt1'!$A$8:$AP$56,41,0))</f>
        <v>1127163.4418520804</v>
      </c>
      <c r="I15" s="50">
        <f>MIN(VLOOKUP($A15,'Mass Equivalents - States, Opt1'!$A$8:$AP$56,38,0)*VLOOKUP($A15,'Mass Equivalents - States, Opt1'!$A$8:$AP$56,42,0),VLOOKUP($A15,'Mass Equivalents - States, Opt1'!$A$8:$AP$56,38,0)*VLOOKUP($A15,'Mass Equivalents - States, Opt1'!$A$8:$AP$56,42)*VLOOKUP($A15,'Mass Equivalents - States, Opt1'!$A$8:$AP$56,41,0))</f>
        <v>1202306.4821214858</v>
      </c>
      <c r="J15" s="50">
        <f>MIN(VLOOKUP($A15,'Mass Equivalents - States, Opt1'!$A$8:$AP$56,39,0)*VLOOKUP($A15,'Mass Equivalents - States, Opt1'!$A$8:$AP$56,42,0),VLOOKUP($A15,'Mass Equivalents - States, Opt1'!$A$8:$AP$56,39,0)*VLOOKUP($A15,'Mass Equivalents - States, Opt1'!$A$8:$AP$56,42)*VLOOKUP($A15,'Mass Equivalents - States, Opt1'!$A$8:$AP$56,41,0))</f>
        <v>1267957.4364367877</v>
      </c>
      <c r="K15" s="46">
        <f>MIN(VLOOKUP($A15,'Mass Equivalents - States, Opt1'!$A$8:$AP$56,40,0)*VLOOKUP($A15,'Mass Equivalents - States, Opt1'!$A$8:$AP$56,42,0),VLOOKUP($A15,'Mass Equivalents - States, Opt1'!$A$8:$AP$56,40,0)*VLOOKUP($A15,'Mass Equivalents - States, Opt1'!$A$8:$AP$56,42)*VLOOKUP($A15,'Mass Equivalents - States, Opt1'!$A$8:$AP$56,41,0))</f>
        <v>1324480.8827630049</v>
      </c>
      <c r="N15" s="49" t="s">
        <v>53</v>
      </c>
      <c r="O15" s="50">
        <f>MIN(VLOOKUP($N15,'Mass Equivalents - States, Opt2'!$A$8:$AF$56,32,0)*VLOOKUP($N15,'Mass Equivalents - States, Opt2'!$A$8:$AF$56,31,0)*VLOOKUP($N15,'Mass Equivalents - States, Opt2'!$A$8:$AF$56,26,0),VLOOKUP($N15,'Mass Equivalents - States, Opt2'!$A$8:$AF$56,32,0)*VLOOKUP($N15,'Mass Equivalents - States, Opt2'!$A$8:$AF$56,26,0))</f>
        <v>391048.41199157701</v>
      </c>
      <c r="P15" s="50">
        <f>MIN(VLOOKUP($N15,'Mass Equivalents - States, Opt2'!$A$8:$AF$56,32,0)*VLOOKUP($N15,'Mass Equivalents - States, Opt2'!$A$8:$AF$56,31,0)*VLOOKUP($N15,'Mass Equivalents - States, Opt2'!$A$8:$AF$56,27,0),VLOOKUP($N15,'Mass Equivalents - States, Opt2'!$A$8:$AF$56,32,0)*VLOOKUP($N15,'Mass Equivalents - States, Opt2'!$A$8:$AF$56,27,0))</f>
        <v>479634.79362452496</v>
      </c>
      <c r="Q15" s="50">
        <f>MIN(VLOOKUP($N15,'Mass Equivalents - States, Opt2'!$A$8:$AF$56,32,0)*VLOOKUP($N15,'Mass Equivalents - States, Opt2'!$A$8:$AF$56,31,0)*VLOOKUP($N15,'Mass Equivalents - States, Opt2'!$A$8:$AF$56,28,0),VLOOKUP($N15,'Mass Equivalents - States, Opt2'!$A$8:$AF$56,32,0)*VLOOKUP($N15,'Mass Equivalents - States, Opt2'!$A$8:$AF$56,28,0))</f>
        <v>560741.18534563831</v>
      </c>
      <c r="R15" s="50">
        <f>MIN(VLOOKUP($N15,'Mass Equivalents - States, Opt2'!$A$8:$AF$56,32,0)*VLOOKUP($N15,'Mass Equivalents - States, Opt2'!$A$8:$AF$56,31,0)*VLOOKUP($N15,'Mass Equivalents - States, Opt2'!$A$8:$AF$56,29,0),VLOOKUP($N15,'Mass Equivalents - States, Opt2'!$A$8:$AF$56,32,0)*VLOOKUP($N15,'Mass Equivalents - States, Opt2'!$A$8:$AF$56,29,0))</f>
        <v>634615.01138769649</v>
      </c>
      <c r="S15" s="46">
        <f>MIN(VLOOKUP($N15,'Mass Equivalents - States, Opt2'!$A$8:$AF$56,32,0)*VLOOKUP($N15,'Mass Equivalents - States, Opt2'!$A$8:$AF$56,31,0)*VLOOKUP($N15,'Mass Equivalents - States, Opt2'!$A$8:$AF$56,30,0),VLOOKUP($N15,'Mass Equivalents - States, Opt2'!$A$8:$AF$56,32,0)*VLOOKUP($N15,'Mass Equivalents - States, Opt2'!$A$8:$AF$56,30,0))</f>
        <v>701494.02119528386</v>
      </c>
    </row>
    <row r="16" spans="1:19" x14ac:dyDescent="0.25">
      <c r="A16" s="49" t="s">
        <v>54</v>
      </c>
      <c r="B16" s="50">
        <f>MIN(VLOOKUP($A16,'Mass Equivalents - States, Opt1'!$A$8:$AP$56,31,0)*VLOOKUP($A16,'Mass Equivalents - States, Opt1'!$A$8:$AP$56,42,0),VLOOKUP($A16,'Mass Equivalents - States, Opt1'!$A$8:$AP$56,31,0)*VLOOKUP($A16,'Mass Equivalents - States, Opt1'!$A$8:$AP$56,42)*VLOOKUP($A16,'Mass Equivalents - States, Opt1'!$A$8:$AP$56,41,0))</f>
        <v>6730133.1052210415</v>
      </c>
      <c r="C16" s="50">
        <f>MIN(VLOOKUP($A16,'Mass Equivalents - States, Opt1'!$A$8:$AP$56,32,0)*VLOOKUP($A16,'Mass Equivalents - States, Opt1'!$A$8:$AP$56,42,0),VLOOKUP($A16,'Mass Equivalents - States, Opt1'!$A$8:$AP$56,32,0)*VLOOKUP($A16,'Mass Equivalents - States, Opt1'!$A$8:$AP$56,42)*VLOOKUP($A16,'Mass Equivalents - States, Opt1'!$A$8:$AP$56,41,0))</f>
        <v>8529021.3714350015</v>
      </c>
      <c r="D16" s="50">
        <f>MIN(VLOOKUP($A16,'Mass Equivalents - States, Opt1'!$A$8:$AP$56,33,0)*VLOOKUP($A16,'Mass Equivalents - States, Opt1'!$A$8:$AP$56,42,0),VLOOKUP($A16,'Mass Equivalents - States, Opt1'!$A$8:$AP$56,33,0)*VLOOKUP($A16,'Mass Equivalents - States, Opt1'!$A$8:$AP$56,42)*VLOOKUP($A16,'Mass Equivalents - States, Opt1'!$A$8:$AP$56,41,0))</f>
        <v>10179703.73198957</v>
      </c>
      <c r="E16" s="50">
        <f>MIN(VLOOKUP($A16,'Mass Equivalents - States, Opt1'!$A$8:$AP$56,34,0)*VLOOKUP($A16,'Mass Equivalents - States, Opt1'!$A$8:$AP$56,42,0),VLOOKUP($A16,'Mass Equivalents - States, Opt1'!$A$8:$AP$56,34,0)*VLOOKUP($A16,'Mass Equivalents - States, Opt1'!$A$8:$AP$56,42)*VLOOKUP($A16,'Mass Equivalents - States, Opt1'!$A$8:$AP$56,41,0))</f>
        <v>11686865.907771345</v>
      </c>
      <c r="F16" s="50">
        <f>MIN(VLOOKUP($A16,'Mass Equivalents - States, Opt1'!$A$8:$AP$56,35,0)*VLOOKUP($A16,'Mass Equivalents - States, Opt1'!$A$8:$AP$56,42,0),VLOOKUP($A16,'Mass Equivalents - States, Opt1'!$A$8:$AP$56,35,0)*VLOOKUP($A16,'Mass Equivalents - States, Opt1'!$A$8:$AP$56,42)*VLOOKUP($A16,'Mass Equivalents - States, Opt1'!$A$8:$AP$56,41,0))</f>
        <v>13054980.984766159</v>
      </c>
      <c r="G16" s="50">
        <f>MIN(VLOOKUP($A16,'Mass Equivalents - States, Opt1'!$A$8:$AP$56,36,0)*VLOOKUP($A16,'Mass Equivalents - States, Opt1'!$A$8:$AP$56,42,0),VLOOKUP($A16,'Mass Equivalents - States, Opt1'!$A$8:$AP$56,36,0)*VLOOKUP($A16,'Mass Equivalents - States, Opt1'!$A$8:$AP$56,42)*VLOOKUP($A16,'Mass Equivalents - States, Opt1'!$A$8:$AP$56,41,0))</f>
        <v>14288317.623001644</v>
      </c>
      <c r="H16" s="50">
        <f>MIN(VLOOKUP($A16,'Mass Equivalents - States, Opt1'!$A$8:$AP$56,37,0)*VLOOKUP($A16,'Mass Equivalents - States, Opt1'!$A$8:$AP$56,42,0),VLOOKUP($A16,'Mass Equivalents - States, Opt1'!$A$8:$AP$56,37,0)*VLOOKUP($A16,'Mass Equivalents - States, Opt1'!$A$8:$AP$56,42)*VLOOKUP($A16,'Mass Equivalents - States, Opt1'!$A$8:$AP$56,41,0))</f>
        <v>15390947.92616597</v>
      </c>
      <c r="I16" s="50">
        <f>MIN(VLOOKUP($A16,'Mass Equivalents - States, Opt1'!$A$8:$AP$56,38,0)*VLOOKUP($A16,'Mass Equivalents - States, Opt1'!$A$8:$AP$56,42,0),VLOOKUP($A16,'Mass Equivalents - States, Opt1'!$A$8:$AP$56,38,0)*VLOOKUP($A16,'Mass Equivalents - States, Opt1'!$A$8:$AP$56,42)*VLOOKUP($A16,'Mass Equivalents - States, Opt1'!$A$8:$AP$56,41,0))</f>
        <v>16366754.985519072</v>
      </c>
      <c r="J16" s="50">
        <f>MIN(VLOOKUP($A16,'Mass Equivalents - States, Opt1'!$A$8:$AP$56,39,0)*VLOOKUP($A16,'Mass Equivalents - States, Opt1'!$A$8:$AP$56,42,0),VLOOKUP($A16,'Mass Equivalents - States, Opt1'!$A$8:$AP$56,39,0)*VLOOKUP($A16,'Mass Equivalents - States, Opt1'!$A$8:$AP$56,42)*VLOOKUP($A16,'Mass Equivalents - States, Opt1'!$A$8:$AP$56,41,0))</f>
        <v>17219440.111159388</v>
      </c>
      <c r="K16" s="46">
        <f>MIN(VLOOKUP($A16,'Mass Equivalents - States, Opt1'!$A$8:$AP$56,40,0)*VLOOKUP($A16,'Mass Equivalents - States, Opt1'!$A$8:$AP$56,42,0),VLOOKUP($A16,'Mass Equivalents - States, Opt1'!$A$8:$AP$56,40,0)*VLOOKUP($A16,'Mass Equivalents - States, Opt1'!$A$8:$AP$56,42)*VLOOKUP($A16,'Mass Equivalents - States, Opt1'!$A$8:$AP$56,41,0))</f>
        <v>17952529.763177898</v>
      </c>
      <c r="N16" s="49" t="s">
        <v>54</v>
      </c>
      <c r="O16" s="50">
        <f>MIN(VLOOKUP($N16,'Mass Equivalents - States, Opt2'!$A$8:$AF$56,32,0)*VLOOKUP($N16,'Mass Equivalents - States, Opt2'!$A$8:$AF$56,31,0)*VLOOKUP($N16,'Mass Equivalents - States, Opt2'!$A$8:$AF$56,26,0),VLOOKUP($N16,'Mass Equivalents - States, Opt2'!$A$8:$AF$56,32,0)*VLOOKUP($N16,'Mass Equivalents - States, Opt2'!$A$8:$AF$56,26,0))</f>
        <v>5424460.6102776006</v>
      </c>
      <c r="P16" s="50">
        <f>MIN(VLOOKUP($N16,'Mass Equivalents - States, Opt2'!$A$8:$AF$56,32,0)*VLOOKUP($N16,'Mass Equivalents - States, Opt2'!$A$8:$AF$56,31,0)*VLOOKUP($N16,'Mass Equivalents - States, Opt2'!$A$8:$AF$56,27,0),VLOOKUP($N16,'Mass Equivalents - States, Opt2'!$A$8:$AF$56,32,0)*VLOOKUP($N16,'Mass Equivalents - States, Opt2'!$A$8:$AF$56,27,0))</f>
        <v>6577230.1217892421</v>
      </c>
      <c r="Q16" s="50">
        <f>MIN(VLOOKUP($N16,'Mass Equivalents - States, Opt2'!$A$8:$AF$56,32,0)*VLOOKUP($N16,'Mass Equivalents - States, Opt2'!$A$8:$AF$56,31,0)*VLOOKUP($N16,'Mass Equivalents - States, Opt2'!$A$8:$AF$56,28,0),VLOOKUP($N16,'Mass Equivalents - States, Opt2'!$A$8:$AF$56,32,0)*VLOOKUP($N16,'Mass Equivalents - States, Opt2'!$A$8:$AF$56,28,0))</f>
        <v>7637363.2288895166</v>
      </c>
      <c r="R16" s="50">
        <f>MIN(VLOOKUP($N16,'Mass Equivalents - States, Opt2'!$A$8:$AF$56,32,0)*VLOOKUP($N16,'Mass Equivalents - States, Opt2'!$A$8:$AF$56,31,0)*VLOOKUP($N16,'Mass Equivalents - States, Opt2'!$A$8:$AF$56,29,0),VLOOKUP($N16,'Mass Equivalents - States, Opt2'!$A$8:$AF$56,32,0)*VLOOKUP($N16,'Mass Equivalents - States, Opt2'!$A$8:$AF$56,29,0))</f>
        <v>8607069.8406928871</v>
      </c>
      <c r="S16" s="46">
        <f>MIN(VLOOKUP($N16,'Mass Equivalents - States, Opt2'!$A$8:$AF$56,32,0)*VLOOKUP($N16,'Mass Equivalents - States, Opt2'!$A$8:$AF$56,31,0)*VLOOKUP($N16,'Mass Equivalents - States, Opt2'!$A$8:$AF$56,30,0),VLOOKUP($N16,'Mass Equivalents - States, Opt2'!$A$8:$AF$56,32,0)*VLOOKUP($N16,'Mass Equivalents - States, Opt2'!$A$8:$AF$56,30,0))</f>
        <v>9488476.8420082722</v>
      </c>
    </row>
    <row r="17" spans="1:19" x14ac:dyDescent="0.25">
      <c r="A17" s="49" t="s">
        <v>55</v>
      </c>
      <c r="B17" s="50">
        <f>MIN(VLOOKUP($A17,'Mass Equivalents - States, Opt1'!$A$8:$AP$56,31,0)*VLOOKUP($A17,'Mass Equivalents - States, Opt1'!$A$8:$AP$56,42,0),VLOOKUP($A17,'Mass Equivalents - States, Opt1'!$A$8:$AP$56,31,0)*VLOOKUP($A17,'Mass Equivalents - States, Opt1'!$A$8:$AP$56,42)*VLOOKUP($A17,'Mass Equivalents - States, Opt1'!$A$8:$AP$56,41,0))</f>
        <v>3613409.4794251625</v>
      </c>
      <c r="C17" s="50">
        <f>MIN(VLOOKUP($A17,'Mass Equivalents - States, Opt1'!$A$8:$AP$56,32,0)*VLOOKUP($A17,'Mass Equivalents - States, Opt1'!$A$8:$AP$56,42,0),VLOOKUP($A17,'Mass Equivalents - States, Opt1'!$A$8:$AP$56,32,0)*VLOOKUP($A17,'Mass Equivalents - States, Opt1'!$A$8:$AP$56,42)*VLOOKUP($A17,'Mass Equivalents - States, Opt1'!$A$8:$AP$56,41,0))</f>
        <v>4892069.6849938119</v>
      </c>
      <c r="D17" s="50">
        <f>MIN(VLOOKUP($A17,'Mass Equivalents - States, Opt1'!$A$8:$AP$56,33,0)*VLOOKUP($A17,'Mass Equivalents - States, Opt1'!$A$8:$AP$56,42,0),VLOOKUP($A17,'Mass Equivalents - States, Opt1'!$A$8:$AP$56,33,0)*VLOOKUP($A17,'Mass Equivalents - States, Opt1'!$A$8:$AP$56,42)*VLOOKUP($A17,'Mass Equivalents - States, Opt1'!$A$8:$AP$56,41,0))</f>
        <v>6208406.1666605333</v>
      </c>
      <c r="E17" s="50">
        <f>MIN(VLOOKUP($A17,'Mass Equivalents - States, Opt1'!$A$8:$AP$56,34,0)*VLOOKUP($A17,'Mass Equivalents - States, Opt1'!$A$8:$AP$56,42,0),VLOOKUP($A17,'Mass Equivalents - States, Opt1'!$A$8:$AP$56,34,0)*VLOOKUP($A17,'Mass Equivalents - States, Opt1'!$A$8:$AP$56,42)*VLOOKUP($A17,'Mass Equivalents - States, Opt1'!$A$8:$AP$56,41,0))</f>
        <v>7416162.66478673</v>
      </c>
      <c r="F17" s="50">
        <f>MIN(VLOOKUP($A17,'Mass Equivalents - States, Opt1'!$A$8:$AP$56,35,0)*VLOOKUP($A17,'Mass Equivalents - States, Opt1'!$A$8:$AP$56,42,0),VLOOKUP($A17,'Mass Equivalents - States, Opt1'!$A$8:$AP$56,35,0)*VLOOKUP($A17,'Mass Equivalents - States, Opt1'!$A$8:$AP$56,42)*VLOOKUP($A17,'Mass Equivalents - States, Opt1'!$A$8:$AP$56,41,0))</f>
        <v>8518770.9587662239</v>
      </c>
      <c r="G17" s="50">
        <f>MIN(VLOOKUP($A17,'Mass Equivalents - States, Opt1'!$A$8:$AP$56,36,0)*VLOOKUP($A17,'Mass Equivalents - States, Opt1'!$A$8:$AP$56,42,0),VLOOKUP($A17,'Mass Equivalents - States, Opt1'!$A$8:$AP$56,36,0)*VLOOKUP($A17,'Mass Equivalents - States, Opt1'!$A$8:$AP$56,42)*VLOOKUP($A17,'Mass Equivalents - States, Opt1'!$A$8:$AP$56,41,0))</f>
        <v>9519507.0711806808</v>
      </c>
      <c r="H17" s="50">
        <f>MIN(VLOOKUP($A17,'Mass Equivalents - States, Opt1'!$A$8:$AP$56,37,0)*VLOOKUP($A17,'Mass Equivalents - States, Opt1'!$A$8:$AP$56,42,0),VLOOKUP($A17,'Mass Equivalents - States, Opt1'!$A$8:$AP$56,37,0)*VLOOKUP($A17,'Mass Equivalents - States, Opt1'!$A$8:$AP$56,42)*VLOOKUP($A17,'Mass Equivalents - States, Opt1'!$A$8:$AP$56,41,0))</f>
        <v>10421497.280529385</v>
      </c>
      <c r="I17" s="50">
        <f>MIN(VLOOKUP($A17,'Mass Equivalents - States, Opt1'!$A$8:$AP$56,38,0)*VLOOKUP($A17,'Mass Equivalents - States, Opt1'!$A$8:$AP$56,42,0),VLOOKUP($A17,'Mass Equivalents - States, Opt1'!$A$8:$AP$56,38,0)*VLOOKUP($A17,'Mass Equivalents - States, Opt1'!$A$8:$AP$56,42)*VLOOKUP($A17,'Mass Equivalents - States, Opt1'!$A$8:$AP$56,41,0))</f>
        <v>11227723.885410454</v>
      </c>
      <c r="J17" s="50">
        <f>MIN(VLOOKUP($A17,'Mass Equivalents - States, Opt1'!$A$8:$AP$56,39,0)*VLOOKUP($A17,'Mass Equivalents - States, Opt1'!$A$8:$AP$56,42,0),VLOOKUP($A17,'Mass Equivalents - States, Opt1'!$A$8:$AP$56,39,0)*VLOOKUP($A17,'Mass Equivalents - States, Opt1'!$A$8:$AP$56,42)*VLOOKUP($A17,'Mass Equivalents - States, Opt1'!$A$8:$AP$56,41,0))</f>
        <v>11941030.730127105</v>
      </c>
      <c r="K17" s="46">
        <f>MIN(VLOOKUP($A17,'Mass Equivalents - States, Opt1'!$A$8:$AP$56,40,0)*VLOOKUP($A17,'Mass Equivalents - States, Opt1'!$A$8:$AP$56,42,0),VLOOKUP($A17,'Mass Equivalents - States, Opt1'!$A$8:$AP$56,40,0)*VLOOKUP($A17,'Mass Equivalents - States, Opt1'!$A$8:$AP$56,42)*VLOOKUP($A17,'Mass Equivalents - States, Opt1'!$A$8:$AP$56,41,0))</f>
        <v>12564128.501287237</v>
      </c>
      <c r="N17" s="49" t="s">
        <v>55</v>
      </c>
      <c r="O17" s="50">
        <f>MIN(VLOOKUP($N17,'Mass Equivalents - States, Opt2'!$A$8:$AF$56,32,0)*VLOOKUP($N17,'Mass Equivalents - States, Opt2'!$A$8:$AF$56,31,0)*VLOOKUP($N17,'Mass Equivalents - States, Opt2'!$A$8:$AF$56,26,0),VLOOKUP($N17,'Mass Equivalents - States, Opt2'!$A$8:$AF$56,32,0)*VLOOKUP($N17,'Mass Equivalents - States, Opt2'!$A$8:$AF$56,26,0))</f>
        <v>3271472.7712430223</v>
      </c>
      <c r="P17" s="50">
        <f>MIN(VLOOKUP($N17,'Mass Equivalents - States, Opt2'!$A$8:$AF$56,32,0)*VLOOKUP($N17,'Mass Equivalents - States, Opt2'!$A$8:$AF$56,31,0)*VLOOKUP($N17,'Mass Equivalents - States, Opt2'!$A$8:$AF$56,27,0),VLOOKUP($N17,'Mass Equivalents - States, Opt2'!$A$8:$AF$56,32,0)*VLOOKUP($N17,'Mass Equivalents - States, Opt2'!$A$8:$AF$56,27,0))</f>
        <v>4167926.1876038322</v>
      </c>
      <c r="Q17" s="50">
        <f>MIN(VLOOKUP($N17,'Mass Equivalents - States, Opt2'!$A$8:$AF$56,32,0)*VLOOKUP($N17,'Mass Equivalents - States, Opt2'!$A$8:$AF$56,31,0)*VLOOKUP($N17,'Mass Equivalents - States, Opt2'!$A$8:$AF$56,28,0),VLOOKUP($N17,'Mass Equivalents - States, Opt2'!$A$8:$AF$56,32,0)*VLOOKUP($N17,'Mass Equivalents - States, Opt2'!$A$8:$AF$56,28,0))</f>
        <v>4995240.7902972065</v>
      </c>
      <c r="R17" s="50">
        <f>MIN(VLOOKUP($N17,'Mass Equivalents - States, Opt2'!$A$8:$AF$56,32,0)*VLOOKUP($N17,'Mass Equivalents - States, Opt2'!$A$8:$AF$56,31,0)*VLOOKUP($N17,'Mass Equivalents - States, Opt2'!$A$8:$AF$56,29,0),VLOOKUP($N17,'Mass Equivalents - States, Opt2'!$A$8:$AF$56,32,0)*VLOOKUP($N17,'Mass Equivalents - States, Opt2'!$A$8:$AF$56,29,0))</f>
        <v>5755082.7267667968</v>
      </c>
      <c r="S17" s="46">
        <f>MIN(VLOOKUP($N17,'Mass Equivalents - States, Opt2'!$A$8:$AF$56,32,0)*VLOOKUP($N17,'Mass Equivalents - States, Opt2'!$A$8:$AF$56,31,0)*VLOOKUP($N17,'Mass Equivalents - States, Opt2'!$A$8:$AF$56,30,0),VLOOKUP($N17,'Mass Equivalents - States, Opt2'!$A$8:$AF$56,32,0)*VLOOKUP($N17,'Mass Equivalents - States, Opt2'!$A$8:$AF$56,30,0))</f>
        <v>6449055.8762565302</v>
      </c>
    </row>
    <row r="18" spans="1:19" x14ac:dyDescent="0.25">
      <c r="A18" s="49" t="s">
        <v>56</v>
      </c>
      <c r="B18" s="50">
        <f>MIN(VLOOKUP($A18,'Mass Equivalents - States, Opt1'!$A$8:$AP$56,31,0)*VLOOKUP($A18,'Mass Equivalents - States, Opt1'!$A$8:$AP$56,42,0),VLOOKUP($A18,'Mass Equivalents - States, Opt1'!$A$8:$AP$56,31,0)*VLOOKUP($A18,'Mass Equivalents - States, Opt1'!$A$8:$AP$56,42)*VLOOKUP($A18,'Mass Equivalents - States, Opt1'!$A$8:$AP$56,41,0))</f>
        <v>2283039.0373940049</v>
      </c>
      <c r="C18" s="50">
        <f>MIN(VLOOKUP($A18,'Mass Equivalents - States, Opt1'!$A$8:$AP$56,32,0)*VLOOKUP($A18,'Mass Equivalents - States, Opt1'!$A$8:$AP$56,42,0),VLOOKUP($A18,'Mass Equivalents - States, Opt1'!$A$8:$AP$56,32,0)*VLOOKUP($A18,'Mass Equivalents - States, Opt1'!$A$8:$AP$56,42)*VLOOKUP($A18,'Mass Equivalents - States, Opt1'!$A$8:$AP$56,41,0))</f>
        <v>2841170.7523278608</v>
      </c>
      <c r="D18" s="50">
        <f>MIN(VLOOKUP($A18,'Mass Equivalents - States, Opt1'!$A$8:$AP$56,33,0)*VLOOKUP($A18,'Mass Equivalents - States, Opt1'!$A$8:$AP$56,42,0),VLOOKUP($A18,'Mass Equivalents - States, Opt1'!$A$8:$AP$56,33,0)*VLOOKUP($A18,'Mass Equivalents - States, Opt1'!$A$8:$AP$56,42)*VLOOKUP($A18,'Mass Equivalents - States, Opt1'!$A$8:$AP$56,41,0))</f>
        <v>3352062.8317873715</v>
      </c>
      <c r="E18" s="50">
        <f>MIN(VLOOKUP($A18,'Mass Equivalents - States, Opt1'!$A$8:$AP$56,34,0)*VLOOKUP($A18,'Mass Equivalents - States, Opt1'!$A$8:$AP$56,42,0),VLOOKUP($A18,'Mass Equivalents - States, Opt1'!$A$8:$AP$56,34,0)*VLOOKUP($A18,'Mass Equivalents - States, Opt1'!$A$8:$AP$56,42)*VLOOKUP($A18,'Mass Equivalents - States, Opt1'!$A$8:$AP$56,41,0))</f>
        <v>3817304.4863270014</v>
      </c>
      <c r="F18" s="50">
        <f>MIN(VLOOKUP($A18,'Mass Equivalents - States, Opt1'!$A$8:$AP$56,35,0)*VLOOKUP($A18,'Mass Equivalents - States, Opt1'!$A$8:$AP$56,42,0),VLOOKUP($A18,'Mass Equivalents - States, Opt1'!$A$8:$AP$56,35,0)*VLOOKUP($A18,'Mass Equivalents - States, Opt1'!$A$8:$AP$56,42)*VLOOKUP($A18,'Mass Equivalents - States, Opt1'!$A$8:$AP$56,41,0))</f>
        <v>4238412.3533790642</v>
      </c>
      <c r="G18" s="50">
        <f>MIN(VLOOKUP($A18,'Mass Equivalents - States, Opt1'!$A$8:$AP$56,36,0)*VLOOKUP($A18,'Mass Equivalents - States, Opt1'!$A$8:$AP$56,42,0),VLOOKUP($A18,'Mass Equivalents - States, Opt1'!$A$8:$AP$56,36,0)*VLOOKUP($A18,'Mass Equivalents - States, Opt1'!$A$8:$AP$56,42)*VLOOKUP($A18,'Mass Equivalents - States, Opt1'!$A$8:$AP$56,41,0))</f>
        <v>4616833.4300151644</v>
      </c>
      <c r="H18" s="50">
        <f>MIN(VLOOKUP($A18,'Mass Equivalents - States, Opt1'!$A$8:$AP$56,37,0)*VLOOKUP($A18,'Mass Equivalents - States, Opt1'!$A$8:$AP$56,42,0),VLOOKUP($A18,'Mass Equivalents - States, Opt1'!$A$8:$AP$56,37,0)*VLOOKUP($A18,'Mass Equivalents - States, Opt1'!$A$8:$AP$56,42)*VLOOKUP($A18,'Mass Equivalents - States, Opt1'!$A$8:$AP$56,41,0))</f>
        <v>4953947.881584513</v>
      </c>
      <c r="I18" s="50">
        <f>MIN(VLOOKUP($A18,'Mass Equivalents - States, Opt1'!$A$8:$AP$56,38,0)*VLOOKUP($A18,'Mass Equivalents - States, Opt1'!$A$8:$AP$56,42,0),VLOOKUP($A18,'Mass Equivalents - States, Opt1'!$A$8:$AP$56,38,0)*VLOOKUP($A18,'Mass Equivalents - States, Opt1'!$A$8:$AP$56,42)*VLOOKUP($A18,'Mass Equivalents - States, Opt1'!$A$8:$AP$56,41,0))</f>
        <v>5251071.7313892096</v>
      </c>
      <c r="J18" s="50">
        <f>MIN(VLOOKUP($A18,'Mass Equivalents - States, Opt1'!$A$8:$AP$56,39,0)*VLOOKUP($A18,'Mass Equivalents - States, Opt1'!$A$8:$AP$56,42,0),VLOOKUP($A18,'Mass Equivalents - States, Opt1'!$A$8:$AP$56,39,0)*VLOOKUP($A18,'Mass Equivalents - States, Opt1'!$A$8:$AP$56,42)*VLOOKUP($A18,'Mass Equivalents - States, Opt1'!$A$8:$AP$56,41,0))</f>
        <v>5509459.4363406142</v>
      </c>
      <c r="K18" s="46">
        <f>MIN(VLOOKUP($A18,'Mass Equivalents - States, Opt1'!$A$8:$AP$56,40,0)*VLOOKUP($A18,'Mass Equivalents - States, Opt1'!$A$8:$AP$56,42,0),VLOOKUP($A18,'Mass Equivalents - States, Opt1'!$A$8:$AP$56,40,0)*VLOOKUP($A18,'Mass Equivalents - States, Opt1'!$A$8:$AP$56,42)*VLOOKUP($A18,'Mass Equivalents - States, Opt1'!$A$8:$AP$56,41,0))</f>
        <v>5730306.3533339221</v>
      </c>
      <c r="N18" s="49" t="s">
        <v>56</v>
      </c>
      <c r="O18" s="50">
        <f>MIN(VLOOKUP($N18,'Mass Equivalents - States, Opt2'!$A$8:$AF$56,32,0)*VLOOKUP($N18,'Mass Equivalents - States, Opt2'!$A$8:$AF$56,31,0)*VLOOKUP($N18,'Mass Equivalents - States, Opt2'!$A$8:$AF$56,26,0),VLOOKUP($N18,'Mass Equivalents - States, Opt2'!$A$8:$AF$56,32,0)*VLOOKUP($N18,'Mass Equivalents - States, Opt2'!$A$8:$AF$56,26,0))</f>
        <v>1760132.1608764206</v>
      </c>
      <c r="P18" s="50">
        <f>MIN(VLOOKUP($N18,'Mass Equivalents - States, Opt2'!$A$8:$AF$56,32,0)*VLOOKUP($N18,'Mass Equivalents - States, Opt2'!$A$8:$AF$56,31,0)*VLOOKUP($N18,'Mass Equivalents - States, Opt2'!$A$8:$AF$56,27,0),VLOOKUP($N18,'Mass Equivalents - States, Opt2'!$A$8:$AF$56,32,0)*VLOOKUP($N18,'Mass Equivalents - States, Opt2'!$A$8:$AF$56,27,0))</f>
        <v>2121832.185634729</v>
      </c>
      <c r="Q18" s="50">
        <f>MIN(VLOOKUP($N18,'Mass Equivalents - States, Opt2'!$A$8:$AF$56,32,0)*VLOOKUP($N18,'Mass Equivalents - States, Opt2'!$A$8:$AF$56,31,0)*VLOOKUP($N18,'Mass Equivalents - States, Opt2'!$A$8:$AF$56,28,0),VLOOKUP($N18,'Mass Equivalents - States, Opt2'!$A$8:$AF$56,32,0)*VLOOKUP($N18,'Mass Equivalents - States, Opt2'!$A$8:$AF$56,28,0))</f>
        <v>2453853.8001355641</v>
      </c>
      <c r="R18" s="50">
        <f>MIN(VLOOKUP($N18,'Mass Equivalents - States, Opt2'!$A$8:$AF$56,32,0)*VLOOKUP($N18,'Mass Equivalents - States, Opt2'!$A$8:$AF$56,31,0)*VLOOKUP($N18,'Mass Equivalents - States, Opt2'!$A$8:$AF$56,29,0),VLOOKUP($N18,'Mass Equivalents - States, Opt2'!$A$8:$AF$56,32,0)*VLOOKUP($N18,'Mass Equivalents - States, Opt2'!$A$8:$AF$56,29,0))</f>
        <v>2756970.802899492</v>
      </c>
      <c r="S18" s="46">
        <f>MIN(VLOOKUP($N18,'Mass Equivalents - States, Opt2'!$A$8:$AF$56,32,0)*VLOOKUP($N18,'Mass Equivalents - States, Opt2'!$A$8:$AF$56,31,0)*VLOOKUP($N18,'Mass Equivalents - States, Opt2'!$A$8:$AF$56,30,0),VLOOKUP($N18,'Mass Equivalents - States, Opt2'!$A$8:$AF$56,32,0)*VLOOKUP($N18,'Mass Equivalents - States, Opt2'!$A$8:$AF$56,30,0))</f>
        <v>3031927.951096483</v>
      </c>
    </row>
    <row r="19" spans="1:19" x14ac:dyDescent="0.25">
      <c r="A19" s="49" t="s">
        <v>57</v>
      </c>
      <c r="B19" s="50">
        <f>MIN(VLOOKUP($A19,'Mass Equivalents - States, Opt1'!$A$8:$AP$56,31,0)*VLOOKUP($A19,'Mass Equivalents - States, Opt1'!$A$8:$AP$56,42,0),VLOOKUP($A19,'Mass Equivalents - States, Opt1'!$A$8:$AP$56,31,0)*VLOOKUP($A19,'Mass Equivalents - States, Opt1'!$A$8:$AP$56,42)*VLOOKUP($A19,'Mass Equivalents - States, Opt1'!$A$8:$AP$56,41,0))</f>
        <v>528591.28564367723</v>
      </c>
      <c r="C19" s="50">
        <f>MIN(VLOOKUP($A19,'Mass Equivalents - States, Opt1'!$A$8:$AP$56,32,0)*VLOOKUP($A19,'Mass Equivalents - States, Opt1'!$A$8:$AP$56,42,0),VLOOKUP($A19,'Mass Equivalents - States, Opt1'!$A$8:$AP$56,32,0)*VLOOKUP($A19,'Mass Equivalents - States, Opt1'!$A$8:$AP$56,42)*VLOOKUP($A19,'Mass Equivalents - States, Opt1'!$A$8:$AP$56,41,0))</f>
        <v>846235.24944724306</v>
      </c>
      <c r="D19" s="50">
        <f>MIN(VLOOKUP($A19,'Mass Equivalents - States, Opt1'!$A$8:$AP$56,33,0)*VLOOKUP($A19,'Mass Equivalents - States, Opt1'!$A$8:$AP$56,42,0),VLOOKUP($A19,'Mass Equivalents - States, Opt1'!$A$8:$AP$56,33,0)*VLOOKUP($A19,'Mass Equivalents - States, Opt1'!$A$8:$AP$56,42)*VLOOKUP($A19,'Mass Equivalents - States, Opt1'!$A$8:$AP$56,41,0))</f>
        <v>1225747.912469402</v>
      </c>
      <c r="E19" s="50">
        <f>MIN(VLOOKUP($A19,'Mass Equivalents - States, Opt1'!$A$8:$AP$56,34,0)*VLOOKUP($A19,'Mass Equivalents - States, Opt1'!$A$8:$AP$56,42,0),VLOOKUP($A19,'Mass Equivalents - States, Opt1'!$A$8:$AP$56,34,0)*VLOOKUP($A19,'Mass Equivalents - States, Opt1'!$A$8:$AP$56,42)*VLOOKUP($A19,'Mass Equivalents - States, Opt1'!$A$8:$AP$56,41,0))</f>
        <v>1660574.9828376183</v>
      </c>
      <c r="F19" s="50">
        <f>MIN(VLOOKUP($A19,'Mass Equivalents - States, Opt1'!$A$8:$AP$56,35,0)*VLOOKUP($A19,'Mass Equivalents - States, Opt1'!$A$8:$AP$56,42,0),VLOOKUP($A19,'Mass Equivalents - States, Opt1'!$A$8:$AP$56,35,0)*VLOOKUP($A19,'Mass Equivalents - States, Opt1'!$A$8:$AP$56,42)*VLOOKUP($A19,'Mass Equivalents - States, Opt1'!$A$8:$AP$56,41,0))</f>
        <v>2144054.2256142199</v>
      </c>
      <c r="G19" s="50">
        <f>MIN(VLOOKUP($A19,'Mass Equivalents - States, Opt1'!$A$8:$AP$56,36,0)*VLOOKUP($A19,'Mass Equivalents - States, Opt1'!$A$8:$AP$56,42,0),VLOOKUP($A19,'Mass Equivalents - States, Opt1'!$A$8:$AP$56,36,0)*VLOOKUP($A19,'Mass Equivalents - States, Opt1'!$A$8:$AP$56,42)*VLOOKUP($A19,'Mass Equivalents - States, Opt1'!$A$8:$AP$56,41,0))</f>
        <v>2619714.4829915594</v>
      </c>
      <c r="H19" s="50">
        <f>MIN(VLOOKUP($A19,'Mass Equivalents - States, Opt1'!$A$8:$AP$56,37,0)*VLOOKUP($A19,'Mass Equivalents - States, Opt1'!$A$8:$AP$56,42,0),VLOOKUP($A19,'Mass Equivalents - States, Opt1'!$A$8:$AP$56,37,0)*VLOOKUP($A19,'Mass Equivalents - States, Opt1'!$A$8:$AP$56,42)*VLOOKUP($A19,'Mass Equivalents - States, Opt1'!$A$8:$AP$56,41,0))</f>
        <v>3054099.4128956371</v>
      </c>
      <c r="I19" s="50">
        <f>MIN(VLOOKUP($A19,'Mass Equivalents - States, Opt1'!$A$8:$AP$56,38,0)*VLOOKUP($A19,'Mass Equivalents - States, Opt1'!$A$8:$AP$56,42,0),VLOOKUP($A19,'Mass Equivalents - States, Opt1'!$A$8:$AP$56,38,0)*VLOOKUP($A19,'Mass Equivalents - States, Opt1'!$A$8:$AP$56,42)*VLOOKUP($A19,'Mass Equivalents - States, Opt1'!$A$8:$AP$56,41,0))</f>
        <v>3448622.6399822966</v>
      </c>
      <c r="J19" s="50">
        <f>MIN(VLOOKUP($A19,'Mass Equivalents - States, Opt1'!$A$8:$AP$56,39,0)*VLOOKUP($A19,'Mass Equivalents - States, Opt1'!$A$8:$AP$56,42,0),VLOOKUP($A19,'Mass Equivalents - States, Opt1'!$A$8:$AP$56,39,0)*VLOOKUP($A19,'Mass Equivalents - States, Opt1'!$A$8:$AP$56,42)*VLOOKUP($A19,'Mass Equivalents - States, Opt1'!$A$8:$AP$56,41,0))</f>
        <v>3804632.9329196666</v>
      </c>
      <c r="K19" s="46">
        <f>MIN(VLOOKUP($A19,'Mass Equivalents - States, Opt1'!$A$8:$AP$56,40,0)*VLOOKUP($A19,'Mass Equivalents - States, Opt1'!$A$8:$AP$56,42,0),VLOOKUP($A19,'Mass Equivalents - States, Opt1'!$A$8:$AP$56,40,0)*VLOOKUP($A19,'Mass Equivalents - States, Opt1'!$A$8:$AP$56,42)*VLOOKUP($A19,'Mass Equivalents - States, Opt1'!$A$8:$AP$56,41,0))</f>
        <v>4123416.8640274168</v>
      </c>
      <c r="N19" s="49" t="s">
        <v>57</v>
      </c>
      <c r="O19" s="50">
        <f>MIN(VLOOKUP($N19,'Mass Equivalents - States, Opt2'!$A$8:$AF$56,32,0)*VLOOKUP($N19,'Mass Equivalents - States, Opt2'!$A$8:$AF$56,31,0)*VLOOKUP($N19,'Mass Equivalents - States, Opt2'!$A$8:$AF$56,26,0),VLOOKUP($N19,'Mass Equivalents - States, Opt2'!$A$8:$AF$56,32,0)*VLOOKUP($N19,'Mass Equivalents - States, Opt2'!$A$8:$AF$56,26,0))</f>
        <v>405274.03354160755</v>
      </c>
      <c r="P19" s="50">
        <f>MIN(VLOOKUP($N19,'Mass Equivalents - States, Opt2'!$A$8:$AF$56,32,0)*VLOOKUP($N19,'Mass Equivalents - States, Opt2'!$A$8:$AF$56,31,0)*VLOOKUP($N19,'Mass Equivalents - States, Opt2'!$A$8:$AF$56,27,0),VLOOKUP($N19,'Mass Equivalents - States, Opt2'!$A$8:$AF$56,32,0)*VLOOKUP($N19,'Mass Equivalents - States, Opt2'!$A$8:$AF$56,27,0))</f>
        <v>646012.63661893574</v>
      </c>
      <c r="Q19" s="50">
        <f>MIN(VLOOKUP($N19,'Mass Equivalents - States, Opt2'!$A$8:$AF$56,32,0)*VLOOKUP($N19,'Mass Equivalents - States, Opt2'!$A$8:$AF$56,31,0)*VLOOKUP($N19,'Mass Equivalents - States, Opt2'!$A$8:$AF$56,28,0),VLOOKUP($N19,'Mass Equivalents - States, Opt2'!$A$8:$AF$56,32,0)*VLOOKUP($N19,'Mass Equivalents - States, Opt2'!$A$8:$AF$56,28,0))</f>
        <v>933737.74908551003</v>
      </c>
      <c r="R19" s="50">
        <f>MIN(VLOOKUP($N19,'Mass Equivalents - States, Opt2'!$A$8:$AF$56,32,0)*VLOOKUP($N19,'Mass Equivalents - States, Opt2'!$A$8:$AF$56,31,0)*VLOOKUP($N19,'Mass Equivalents - States, Opt2'!$A$8:$AF$56,29,0),VLOOKUP($N19,'Mass Equivalents - States, Opt2'!$A$8:$AF$56,32,0)*VLOOKUP($N19,'Mass Equivalents - States, Opt2'!$A$8:$AF$56,29,0))</f>
        <v>1263853.9294814749</v>
      </c>
      <c r="S19" s="46">
        <f>MIN(VLOOKUP($N19,'Mass Equivalents - States, Opt2'!$A$8:$AF$56,32,0)*VLOOKUP($N19,'Mass Equivalents - States, Opt2'!$A$8:$AF$56,31,0)*VLOOKUP($N19,'Mass Equivalents - States, Opt2'!$A$8:$AF$56,30,0),VLOOKUP($N19,'Mass Equivalents - States, Opt2'!$A$8:$AF$56,32,0)*VLOOKUP($N19,'Mass Equivalents - States, Opt2'!$A$8:$AF$56,30,0))</f>
        <v>1601781.3957616293</v>
      </c>
    </row>
    <row r="20" spans="1:19" x14ac:dyDescent="0.25">
      <c r="A20" s="49" t="s">
        <v>58</v>
      </c>
      <c r="B20" s="50">
        <f>MIN(VLOOKUP($A20,'Mass Equivalents - States, Opt1'!$A$8:$AP$56,31,0)*VLOOKUP($A20,'Mass Equivalents - States, Opt1'!$A$8:$AP$56,42,0),VLOOKUP($A20,'Mass Equivalents - States, Opt1'!$A$8:$AP$56,31,0)*VLOOKUP($A20,'Mass Equivalents - States, Opt1'!$A$8:$AP$56,42)*VLOOKUP($A20,'Mass Equivalents - States, Opt1'!$A$8:$AP$56,41,0))</f>
        <v>1776817.1555402915</v>
      </c>
      <c r="C20" s="50">
        <f>MIN(VLOOKUP($A20,'Mass Equivalents - States, Opt1'!$A$8:$AP$56,32,0)*VLOOKUP($A20,'Mass Equivalents - States, Opt1'!$A$8:$AP$56,42,0),VLOOKUP($A20,'Mass Equivalents - States, Opt1'!$A$8:$AP$56,32,0)*VLOOKUP($A20,'Mass Equivalents - States, Opt1'!$A$8:$AP$56,42)*VLOOKUP($A20,'Mass Equivalents - States, Opt1'!$A$8:$AP$56,41,0))</f>
        <v>2583298.0337012941</v>
      </c>
      <c r="D20" s="50">
        <f>MIN(VLOOKUP($A20,'Mass Equivalents - States, Opt1'!$A$8:$AP$56,33,0)*VLOOKUP($A20,'Mass Equivalents - States, Opt1'!$A$8:$AP$56,42,0),VLOOKUP($A20,'Mass Equivalents - States, Opt1'!$A$8:$AP$56,33,0)*VLOOKUP($A20,'Mass Equivalents - States, Opt1'!$A$8:$AP$56,42)*VLOOKUP($A20,'Mass Equivalents - States, Opt1'!$A$8:$AP$56,41,0))</f>
        <v>3506795.1436947365</v>
      </c>
      <c r="E20" s="50">
        <f>MIN(VLOOKUP($A20,'Mass Equivalents - States, Opt1'!$A$8:$AP$56,34,0)*VLOOKUP($A20,'Mass Equivalents - States, Opt1'!$A$8:$AP$56,42,0),VLOOKUP($A20,'Mass Equivalents - States, Opt1'!$A$8:$AP$56,34,0)*VLOOKUP($A20,'Mass Equivalents - States, Opt1'!$A$8:$AP$56,42)*VLOOKUP($A20,'Mass Equivalents - States, Opt1'!$A$8:$AP$56,41,0))</f>
        <v>4532925.4106426034</v>
      </c>
      <c r="F20" s="50">
        <f>MIN(VLOOKUP($A20,'Mass Equivalents - States, Opt1'!$A$8:$AP$56,35,0)*VLOOKUP($A20,'Mass Equivalents - States, Opt1'!$A$8:$AP$56,42,0),VLOOKUP($A20,'Mass Equivalents - States, Opt1'!$A$8:$AP$56,35,0)*VLOOKUP($A20,'Mass Equivalents - States, Opt1'!$A$8:$AP$56,42)*VLOOKUP($A20,'Mass Equivalents - States, Opt1'!$A$8:$AP$56,41,0))</f>
        <v>5544739.015146316</v>
      </c>
      <c r="G20" s="50">
        <f>MIN(VLOOKUP($A20,'Mass Equivalents - States, Opt1'!$A$8:$AP$56,36,0)*VLOOKUP($A20,'Mass Equivalents - States, Opt1'!$A$8:$AP$56,42,0),VLOOKUP($A20,'Mass Equivalents - States, Opt1'!$A$8:$AP$56,36,0)*VLOOKUP($A20,'Mass Equivalents - States, Opt1'!$A$8:$AP$56,42)*VLOOKUP($A20,'Mass Equivalents - States, Opt1'!$A$8:$AP$56,41,0))</f>
        <v>6466327.3482119078</v>
      </c>
      <c r="H20" s="50">
        <f>MIN(VLOOKUP($A20,'Mass Equivalents - States, Opt1'!$A$8:$AP$56,37,0)*VLOOKUP($A20,'Mass Equivalents - States, Opt1'!$A$8:$AP$56,42,0),VLOOKUP($A20,'Mass Equivalents - States, Opt1'!$A$8:$AP$56,37,0)*VLOOKUP($A20,'Mass Equivalents - States, Opt1'!$A$8:$AP$56,42)*VLOOKUP($A20,'Mass Equivalents - States, Opt1'!$A$8:$AP$56,41,0))</f>
        <v>7301183.961908089</v>
      </c>
      <c r="I20" s="50">
        <f>MIN(VLOOKUP($A20,'Mass Equivalents - States, Opt1'!$A$8:$AP$56,38,0)*VLOOKUP($A20,'Mass Equivalents - States, Opt1'!$A$8:$AP$56,42,0),VLOOKUP($A20,'Mass Equivalents - States, Opt1'!$A$8:$AP$56,38,0)*VLOOKUP($A20,'Mass Equivalents - States, Opt1'!$A$8:$AP$56,42)*VLOOKUP($A20,'Mass Equivalents - States, Opt1'!$A$8:$AP$56,41,0))</f>
        <v>8052638.0558344703</v>
      </c>
      <c r="J20" s="50">
        <f>MIN(VLOOKUP($A20,'Mass Equivalents - States, Opt1'!$A$8:$AP$56,39,0)*VLOOKUP($A20,'Mass Equivalents - States, Opt1'!$A$8:$AP$56,42,0),VLOOKUP($A20,'Mass Equivalents - States, Opt1'!$A$8:$AP$56,39,0)*VLOOKUP($A20,'Mass Equivalents - States, Opt1'!$A$8:$AP$56,42)*VLOOKUP($A20,'Mass Equivalents - States, Opt1'!$A$8:$AP$56,41,0))</f>
        <v>8723861.7811410911</v>
      </c>
      <c r="K20" s="46">
        <f>MIN(VLOOKUP($A20,'Mass Equivalents - States, Opt1'!$A$8:$AP$56,40,0)*VLOOKUP($A20,'Mass Equivalents - States, Opt1'!$A$8:$AP$56,42,0),VLOOKUP($A20,'Mass Equivalents - States, Opt1'!$A$8:$AP$56,40,0)*VLOOKUP($A20,'Mass Equivalents - States, Opt1'!$A$8:$AP$56,42)*VLOOKUP($A20,'Mass Equivalents - States, Opt1'!$A$8:$AP$56,41,0))</f>
        <v>9317877.2147674561</v>
      </c>
      <c r="N20" s="49" t="s">
        <v>58</v>
      </c>
      <c r="O20" s="50">
        <f>MIN(VLOOKUP($N20,'Mass Equivalents - States, Opt2'!$A$8:$AF$56,32,0)*VLOOKUP($N20,'Mass Equivalents - States, Opt2'!$A$8:$AF$56,31,0)*VLOOKUP($N20,'Mass Equivalents - States, Opt2'!$A$8:$AF$56,26,0),VLOOKUP($N20,'Mass Equivalents - States, Opt2'!$A$8:$AF$56,32,0)*VLOOKUP($N20,'Mass Equivalents - States, Opt2'!$A$8:$AF$56,26,0))</f>
        <v>1514702.43228037</v>
      </c>
      <c r="P20" s="50">
        <f>MIN(VLOOKUP($N20,'Mass Equivalents - States, Opt2'!$A$8:$AF$56,32,0)*VLOOKUP($N20,'Mass Equivalents - States, Opt2'!$A$8:$AF$56,31,0)*VLOOKUP($N20,'Mass Equivalents - States, Opt2'!$A$8:$AF$56,27,0),VLOOKUP($N20,'Mass Equivalents - States, Opt2'!$A$8:$AF$56,32,0)*VLOOKUP($N20,'Mass Equivalents - States, Opt2'!$A$8:$AF$56,27,0))</f>
        <v>2158841.773754972</v>
      </c>
      <c r="Q20" s="50">
        <f>MIN(VLOOKUP($N20,'Mass Equivalents - States, Opt2'!$A$8:$AF$56,32,0)*VLOOKUP($N20,'Mass Equivalents - States, Opt2'!$A$8:$AF$56,31,0)*VLOOKUP($N20,'Mass Equivalents - States, Opt2'!$A$8:$AF$56,28,0),VLOOKUP($N20,'Mass Equivalents - States, Opt2'!$A$8:$AF$56,32,0)*VLOOKUP($N20,'Mass Equivalents - States, Opt2'!$A$8:$AF$56,28,0))</f>
        <v>2889332.6380987531</v>
      </c>
      <c r="R20" s="50">
        <f>MIN(VLOOKUP($N20,'Mass Equivalents - States, Opt2'!$A$8:$AF$56,32,0)*VLOOKUP($N20,'Mass Equivalents - States, Opt2'!$A$8:$AF$56,31,0)*VLOOKUP($N20,'Mass Equivalents - States, Opt2'!$A$8:$AF$56,29,0),VLOOKUP($N20,'Mass Equivalents - States, Opt2'!$A$8:$AF$56,32,0)*VLOOKUP($N20,'Mass Equivalents - States, Opt2'!$A$8:$AF$56,29,0))</f>
        <v>3591644.6545330868</v>
      </c>
      <c r="S20" s="46">
        <f>MIN(VLOOKUP($N20,'Mass Equivalents - States, Opt2'!$A$8:$AF$56,32,0)*VLOOKUP($N20,'Mass Equivalents - States, Opt2'!$A$8:$AF$56,31,0)*VLOOKUP($N20,'Mass Equivalents - States, Opt2'!$A$8:$AF$56,30,0),VLOOKUP($N20,'Mass Equivalents - States, Opt2'!$A$8:$AF$56,32,0)*VLOOKUP($N20,'Mass Equivalents - States, Opt2'!$A$8:$AF$56,30,0))</f>
        <v>4235691.9065995682</v>
      </c>
    </row>
    <row r="21" spans="1:19" x14ac:dyDescent="0.25">
      <c r="A21" s="49" t="s">
        <v>59</v>
      </c>
      <c r="B21" s="50">
        <f>MIN(VLOOKUP($A21,'Mass Equivalents - States, Opt1'!$A$8:$AP$56,31,0)*VLOOKUP($A21,'Mass Equivalents - States, Opt1'!$A$8:$AP$56,42,0),VLOOKUP($A21,'Mass Equivalents - States, Opt1'!$A$8:$AP$56,31,0)*VLOOKUP($A21,'Mass Equivalents - States, Opt1'!$A$8:$AP$56,42)*VLOOKUP($A21,'Mass Equivalents - States, Opt1'!$A$8:$AP$56,41,0))</f>
        <v>933434.06819461938</v>
      </c>
      <c r="C21" s="50">
        <f>MIN(VLOOKUP($A21,'Mass Equivalents - States, Opt1'!$A$8:$AP$56,32,0)*VLOOKUP($A21,'Mass Equivalents - States, Opt1'!$A$8:$AP$56,42,0),VLOOKUP($A21,'Mass Equivalents - States, Opt1'!$A$8:$AP$56,32,0)*VLOOKUP($A21,'Mass Equivalents - States, Opt1'!$A$8:$AP$56,42)*VLOOKUP($A21,'Mass Equivalents - States, Opt1'!$A$8:$AP$56,41,0))</f>
        <v>1518408.818299033</v>
      </c>
      <c r="D21" s="50">
        <f>MIN(VLOOKUP($A21,'Mass Equivalents - States, Opt1'!$A$8:$AP$56,33,0)*VLOOKUP($A21,'Mass Equivalents - States, Opt1'!$A$8:$AP$56,42,0),VLOOKUP($A21,'Mass Equivalents - States, Opt1'!$A$8:$AP$56,33,0)*VLOOKUP($A21,'Mass Equivalents - States, Opt1'!$A$8:$AP$56,42)*VLOOKUP($A21,'Mass Equivalents - States, Opt1'!$A$8:$AP$56,41,0))</f>
        <v>2220293.0726682455</v>
      </c>
      <c r="E21" s="50">
        <f>MIN(VLOOKUP($A21,'Mass Equivalents - States, Opt1'!$A$8:$AP$56,34,0)*VLOOKUP($A21,'Mass Equivalents - States, Opt1'!$A$8:$AP$56,42,0),VLOOKUP($A21,'Mass Equivalents - States, Opt1'!$A$8:$AP$56,34,0)*VLOOKUP($A21,'Mass Equivalents - States, Opt1'!$A$8:$AP$56,42)*VLOOKUP($A21,'Mass Equivalents - States, Opt1'!$A$8:$AP$56,41,0))</f>
        <v>3026568.0857186271</v>
      </c>
      <c r="F21" s="50">
        <f>MIN(VLOOKUP($A21,'Mass Equivalents - States, Opt1'!$A$8:$AP$56,35,0)*VLOOKUP($A21,'Mass Equivalents - States, Opt1'!$A$8:$AP$56,42,0),VLOOKUP($A21,'Mass Equivalents - States, Opt1'!$A$8:$AP$56,35,0)*VLOOKUP($A21,'Mass Equivalents - States, Opt1'!$A$8:$AP$56,42)*VLOOKUP($A21,'Mass Equivalents - States, Opt1'!$A$8:$AP$56,41,0))</f>
        <v>3924560.9930358934</v>
      </c>
      <c r="G21" s="50">
        <f>MIN(VLOOKUP($A21,'Mass Equivalents - States, Opt1'!$A$8:$AP$56,36,0)*VLOOKUP($A21,'Mass Equivalents - States, Opt1'!$A$8:$AP$56,42,0),VLOOKUP($A21,'Mass Equivalents - States, Opt1'!$A$8:$AP$56,36,0)*VLOOKUP($A21,'Mass Equivalents - States, Opt1'!$A$8:$AP$56,42)*VLOOKUP($A21,'Mass Equivalents - States, Opt1'!$A$8:$AP$56,41,0))</f>
        <v>4824109.26531778</v>
      </c>
      <c r="H21" s="50">
        <f>MIN(VLOOKUP($A21,'Mass Equivalents - States, Opt1'!$A$8:$AP$56,37,0)*VLOOKUP($A21,'Mass Equivalents - States, Opt1'!$A$8:$AP$56,42,0),VLOOKUP($A21,'Mass Equivalents - States, Opt1'!$A$8:$AP$56,37,0)*VLOOKUP($A21,'Mass Equivalents - States, Opt1'!$A$8:$AP$56,42)*VLOOKUP($A21,'Mass Equivalents - States, Opt1'!$A$8:$AP$56,41,0))</f>
        <v>5643907.972508816</v>
      </c>
      <c r="I21" s="50">
        <f>MIN(VLOOKUP($A21,'Mass Equivalents - States, Opt1'!$A$8:$AP$56,38,0)*VLOOKUP($A21,'Mass Equivalents - States, Opt1'!$A$8:$AP$56,42,0),VLOOKUP($A21,'Mass Equivalents - States, Opt1'!$A$8:$AP$56,38,0)*VLOOKUP($A21,'Mass Equivalents - States, Opt1'!$A$8:$AP$56,42)*VLOOKUP($A21,'Mass Equivalents - States, Opt1'!$A$8:$AP$56,41,0))</f>
        <v>6387025.7330926508</v>
      </c>
      <c r="J21" s="50">
        <f>MIN(VLOOKUP($A21,'Mass Equivalents - States, Opt1'!$A$8:$AP$56,39,0)*VLOOKUP($A21,'Mass Equivalents - States, Opt1'!$A$8:$AP$56,42,0),VLOOKUP($A21,'Mass Equivalents - States, Opt1'!$A$8:$AP$56,39,0)*VLOOKUP($A21,'Mass Equivalents - States, Opt1'!$A$8:$AP$56,42)*VLOOKUP($A21,'Mass Equivalents - States, Opt1'!$A$8:$AP$56,41,0))</f>
        <v>7056387.1132943276</v>
      </c>
      <c r="K21" s="46">
        <f>MIN(VLOOKUP($A21,'Mass Equivalents - States, Opt1'!$A$8:$AP$56,40,0)*VLOOKUP($A21,'Mass Equivalents - States, Opt1'!$A$8:$AP$56,42,0),VLOOKUP($A21,'Mass Equivalents - States, Opt1'!$A$8:$AP$56,40,0)*VLOOKUP($A21,'Mass Equivalents - States, Opt1'!$A$8:$AP$56,42)*VLOOKUP($A21,'Mass Equivalents - States, Opt1'!$A$8:$AP$56,41,0))</f>
        <v>7654779.0008732984</v>
      </c>
      <c r="N21" s="49" t="s">
        <v>59</v>
      </c>
      <c r="O21" s="50">
        <f>MIN(VLOOKUP($N21,'Mass Equivalents - States, Opt2'!$A$8:$AF$56,32,0)*VLOOKUP($N21,'Mass Equivalents - States, Opt2'!$A$8:$AF$56,31,0)*VLOOKUP($N21,'Mass Equivalents - States, Opt2'!$A$8:$AF$56,26,0),VLOOKUP($N21,'Mass Equivalents - States, Opt2'!$A$8:$AF$56,32,0)*VLOOKUP($N21,'Mass Equivalents - States, Opt2'!$A$8:$AF$56,26,0))</f>
        <v>700721.35183583503</v>
      </c>
      <c r="P21" s="50">
        <f>MIN(VLOOKUP($N21,'Mass Equivalents - States, Opt2'!$A$8:$AF$56,32,0)*VLOOKUP($N21,'Mass Equivalents - States, Opt2'!$A$8:$AF$56,31,0)*VLOOKUP($N21,'Mass Equivalents - States, Opt2'!$A$8:$AF$56,27,0),VLOOKUP($N21,'Mass Equivalents - States, Opt2'!$A$8:$AF$56,32,0)*VLOOKUP($N21,'Mass Equivalents - States, Opt2'!$A$8:$AF$56,27,0))</f>
        <v>1140797.1877833055</v>
      </c>
      <c r="Q21" s="50">
        <f>MIN(VLOOKUP($N21,'Mass Equivalents - States, Opt2'!$A$8:$AF$56,32,0)*VLOOKUP($N21,'Mass Equivalents - States, Opt2'!$A$8:$AF$56,31,0)*VLOOKUP($N21,'Mass Equivalents - States, Opt2'!$A$8:$AF$56,28,0),VLOOKUP($N21,'Mass Equivalents - States, Opt2'!$A$8:$AF$56,32,0)*VLOOKUP($N21,'Mass Equivalents - States, Opt2'!$A$8:$AF$56,28,0))</f>
        <v>1669895.223638373</v>
      </c>
      <c r="R21" s="50">
        <f>MIN(VLOOKUP($N21,'Mass Equivalents - States, Opt2'!$A$8:$AF$56,32,0)*VLOOKUP($N21,'Mass Equivalents - States, Opt2'!$A$8:$AF$56,31,0)*VLOOKUP($N21,'Mass Equivalents - States, Opt2'!$A$8:$AF$56,29,0),VLOOKUP($N21,'Mass Equivalents - States, Opt2'!$A$8:$AF$56,32,0)*VLOOKUP($N21,'Mass Equivalents - States, Opt2'!$A$8:$AF$56,29,0))</f>
        <v>2279221.0820042728</v>
      </c>
      <c r="S21" s="46">
        <f>MIN(VLOOKUP($N21,'Mass Equivalents - States, Opt2'!$A$8:$AF$56,32,0)*VLOOKUP($N21,'Mass Equivalents - States, Opt2'!$A$8:$AF$56,31,0)*VLOOKUP($N21,'Mass Equivalents - States, Opt2'!$A$8:$AF$56,30,0),VLOOKUP($N21,'Mass Equivalents - States, Opt2'!$A$8:$AF$56,32,0)*VLOOKUP($N21,'Mass Equivalents - States, Opt2'!$A$8:$AF$56,30,0))</f>
        <v>2920363.0837733764</v>
      </c>
    </row>
    <row r="22" spans="1:19" x14ac:dyDescent="0.25">
      <c r="A22" s="49" t="s">
        <v>60</v>
      </c>
      <c r="B22" s="50">
        <f>MIN(VLOOKUP($A22,'Mass Equivalents - States, Opt1'!$A$8:$AP$56,31,0)*VLOOKUP($A22,'Mass Equivalents - States, Opt1'!$A$8:$AP$56,42,0),VLOOKUP($A22,'Mass Equivalents - States, Opt1'!$A$8:$AP$56,31,0)*VLOOKUP($A22,'Mass Equivalents - States, Opt1'!$A$8:$AP$56,42)*VLOOKUP($A22,'Mass Equivalents - States, Opt1'!$A$8:$AP$56,41,0))</f>
        <v>667900.65869203932</v>
      </c>
      <c r="C22" s="50">
        <f>MIN(VLOOKUP($A22,'Mass Equivalents - States, Opt1'!$A$8:$AP$56,32,0)*VLOOKUP($A22,'Mass Equivalents - States, Opt1'!$A$8:$AP$56,42,0),VLOOKUP($A22,'Mass Equivalents - States, Opt1'!$A$8:$AP$56,32,0)*VLOOKUP($A22,'Mass Equivalents - States, Opt1'!$A$8:$AP$56,42)*VLOOKUP($A22,'Mass Equivalents - States, Opt1'!$A$8:$AP$56,41,0))</f>
        <v>804358.55353023077</v>
      </c>
      <c r="D22" s="50">
        <f>MIN(VLOOKUP($A22,'Mass Equivalents - States, Opt1'!$A$8:$AP$56,33,0)*VLOOKUP($A22,'Mass Equivalents - States, Opt1'!$A$8:$AP$56,42,0),VLOOKUP($A22,'Mass Equivalents - States, Opt1'!$A$8:$AP$56,33,0)*VLOOKUP($A22,'Mass Equivalents - States, Opt1'!$A$8:$AP$56,42)*VLOOKUP($A22,'Mass Equivalents - States, Opt1'!$A$8:$AP$56,41,0))</f>
        <v>929314.10409237503</v>
      </c>
      <c r="E22" s="50">
        <f>MIN(VLOOKUP($A22,'Mass Equivalents - States, Opt1'!$A$8:$AP$56,34,0)*VLOOKUP($A22,'Mass Equivalents - States, Opt1'!$A$8:$AP$56,42,0),VLOOKUP($A22,'Mass Equivalents - States, Opt1'!$A$8:$AP$56,34,0)*VLOOKUP($A22,'Mass Equivalents - States, Opt1'!$A$8:$AP$56,42)*VLOOKUP($A22,'Mass Equivalents - States, Opt1'!$A$8:$AP$56,41,0))</f>
        <v>1043091.9540038262</v>
      </c>
      <c r="F22" s="50">
        <f>MIN(VLOOKUP($A22,'Mass Equivalents - States, Opt1'!$A$8:$AP$56,35,0)*VLOOKUP($A22,'Mass Equivalents - States, Opt1'!$A$8:$AP$56,42,0),VLOOKUP($A22,'Mass Equivalents - States, Opt1'!$A$8:$AP$56,35,0)*VLOOKUP($A22,'Mass Equivalents - States, Opt1'!$A$8:$AP$56,42)*VLOOKUP($A22,'Mass Equivalents - States, Opt1'!$A$8:$AP$56,41,0))</f>
        <v>1146001.8575946786</v>
      </c>
      <c r="G22" s="50">
        <f>MIN(VLOOKUP($A22,'Mass Equivalents - States, Opt1'!$A$8:$AP$56,36,0)*VLOOKUP($A22,'Mass Equivalents - States, Opt1'!$A$8:$AP$56,42,0),VLOOKUP($A22,'Mass Equivalents - States, Opt1'!$A$8:$AP$56,36,0)*VLOOKUP($A22,'Mass Equivalents - States, Opt1'!$A$8:$AP$56,42)*VLOOKUP($A22,'Mass Equivalents - States, Opt1'!$A$8:$AP$56,41,0))</f>
        <v>1238339.2109144619</v>
      </c>
      <c r="H22" s="50">
        <f>MIN(VLOOKUP($A22,'Mass Equivalents - States, Opt1'!$A$8:$AP$56,37,0)*VLOOKUP($A22,'Mass Equivalents - States, Opt1'!$A$8:$AP$56,42,0),VLOOKUP($A22,'Mass Equivalents - States, Opt1'!$A$8:$AP$56,37,0)*VLOOKUP($A22,'Mass Equivalents - States, Opt1'!$A$8:$AP$56,42)*VLOOKUP($A22,'Mass Equivalents - States, Opt1'!$A$8:$AP$56,41,0))</f>
        <v>1320385.5613303273</v>
      </c>
      <c r="I22" s="50">
        <f>MIN(VLOOKUP($A22,'Mass Equivalents - States, Opt1'!$A$8:$AP$56,38,0)*VLOOKUP($A22,'Mass Equivalents - States, Opt1'!$A$8:$AP$56,42,0),VLOOKUP($A22,'Mass Equivalents - States, Opt1'!$A$8:$AP$56,38,0)*VLOOKUP($A22,'Mass Equivalents - States, Opt1'!$A$8:$AP$56,42)*VLOOKUP($A22,'Mass Equivalents - States, Opt1'!$A$8:$AP$56,41,0))</f>
        <v>1392409.0965204749</v>
      </c>
      <c r="J22" s="50">
        <f>MIN(VLOOKUP($A22,'Mass Equivalents - States, Opt1'!$A$8:$AP$56,39,0)*VLOOKUP($A22,'Mass Equivalents - States, Opt1'!$A$8:$AP$56,42,0),VLOOKUP($A22,'Mass Equivalents - States, Opt1'!$A$8:$AP$56,39,0)*VLOOKUP($A22,'Mass Equivalents - States, Opt1'!$A$8:$AP$56,42)*VLOOKUP($A22,'Mass Equivalents - States, Opt1'!$A$8:$AP$56,41,0))</f>
        <v>1454665.113642823</v>
      </c>
      <c r="K22" s="46">
        <f>MIN(VLOOKUP($A22,'Mass Equivalents - States, Opt1'!$A$8:$AP$56,40,0)*VLOOKUP($A22,'Mass Equivalents - States, Opt1'!$A$8:$AP$56,42,0),VLOOKUP($A22,'Mass Equivalents - States, Opt1'!$A$8:$AP$56,40,0)*VLOOKUP($A22,'Mass Equivalents - States, Opt1'!$A$8:$AP$56,42)*VLOOKUP($A22,'Mass Equivalents - States, Opt1'!$A$8:$AP$56,41,0))</f>
        <v>1507396.4694284345</v>
      </c>
      <c r="N22" s="49" t="s">
        <v>60</v>
      </c>
      <c r="O22" s="50">
        <f>MIN(VLOOKUP($N22,'Mass Equivalents - States, Opt2'!$A$8:$AF$56,32,0)*VLOOKUP($N22,'Mass Equivalents - States, Opt2'!$A$8:$AF$56,31,0)*VLOOKUP($N22,'Mass Equivalents - States, Opt2'!$A$8:$AF$56,26,0),VLOOKUP($N22,'Mass Equivalents - States, Opt2'!$A$8:$AF$56,32,0)*VLOOKUP($N22,'Mass Equivalents - States, Opt2'!$A$8:$AF$56,26,0))</f>
        <v>448652.02872674668</v>
      </c>
      <c r="P22" s="50">
        <f>MIN(VLOOKUP($N22,'Mass Equivalents - States, Opt2'!$A$8:$AF$56,32,0)*VLOOKUP($N22,'Mass Equivalents - States, Opt2'!$A$8:$AF$56,31,0)*VLOOKUP($N22,'Mass Equivalents - States, Opt2'!$A$8:$AF$56,27,0),VLOOKUP($N22,'Mass Equivalents - States, Opt2'!$A$8:$AF$56,32,0)*VLOOKUP($N22,'Mass Equivalents - States, Opt2'!$A$8:$AF$56,27,0))</f>
        <v>541619.79097691062</v>
      </c>
      <c r="Q22" s="50">
        <f>MIN(VLOOKUP($N22,'Mass Equivalents - States, Opt2'!$A$8:$AF$56,32,0)*VLOOKUP($N22,'Mass Equivalents - States, Opt2'!$A$8:$AF$56,31,0)*VLOOKUP($N22,'Mass Equivalents - States, Opt2'!$A$8:$AF$56,28,0),VLOOKUP($N22,'Mass Equivalents - States, Opt2'!$A$8:$AF$56,32,0)*VLOOKUP($N22,'Mass Equivalents - States, Opt2'!$A$8:$AF$56,28,0))</f>
        <v>627234.41906974639</v>
      </c>
      <c r="R22" s="50">
        <f>MIN(VLOOKUP($N22,'Mass Equivalents - States, Opt2'!$A$8:$AF$56,32,0)*VLOOKUP($N22,'Mass Equivalents - States, Opt2'!$A$8:$AF$56,31,0)*VLOOKUP($N22,'Mass Equivalents - States, Opt2'!$A$8:$AF$56,29,0),VLOOKUP($N22,'Mass Equivalents - States, Opt2'!$A$8:$AF$56,32,0)*VLOOKUP($N22,'Mass Equivalents - States, Opt2'!$A$8:$AF$56,29,0))</f>
        <v>705647.71226649464</v>
      </c>
      <c r="S22" s="46">
        <f>MIN(VLOOKUP($N22,'Mass Equivalents - States, Opt2'!$A$8:$AF$56,32,0)*VLOOKUP($N22,'Mass Equivalents - States, Opt2'!$A$8:$AF$56,31,0)*VLOOKUP($N22,'Mass Equivalents - States, Opt2'!$A$8:$AF$56,30,0),VLOOKUP($N22,'Mass Equivalents - States, Opt2'!$A$8:$AF$56,32,0)*VLOOKUP($N22,'Mass Equivalents - States, Opt2'!$A$8:$AF$56,30,0))</f>
        <v>777005.63332718273</v>
      </c>
    </row>
    <row r="23" spans="1:19" x14ac:dyDescent="0.25">
      <c r="A23" s="49" t="s">
        <v>61</v>
      </c>
      <c r="B23" s="50">
        <f>MIN(VLOOKUP($A23,'Mass Equivalents - States, Opt1'!$A$8:$AP$56,31,0)*VLOOKUP($A23,'Mass Equivalents - States, Opt1'!$A$8:$AP$56,42,0),VLOOKUP($A23,'Mass Equivalents - States, Opt1'!$A$8:$AP$56,31,0)*VLOOKUP($A23,'Mass Equivalents - States, Opt1'!$A$8:$AP$56,42)*VLOOKUP($A23,'Mass Equivalents - States, Opt1'!$A$8:$AP$56,41,0))</f>
        <v>1700595.7377866395</v>
      </c>
      <c r="C23" s="50">
        <f>MIN(VLOOKUP($A23,'Mass Equivalents - States, Opt1'!$A$8:$AP$56,32,0)*VLOOKUP($A23,'Mass Equivalents - States, Opt1'!$A$8:$AP$56,42,0),VLOOKUP($A23,'Mass Equivalents - States, Opt1'!$A$8:$AP$56,32,0)*VLOOKUP($A23,'Mass Equivalents - States, Opt1'!$A$8:$AP$56,42)*VLOOKUP($A23,'Mass Equivalents - States, Opt1'!$A$8:$AP$56,41,0))</f>
        <v>2174308.684833352</v>
      </c>
      <c r="D23" s="50">
        <f>MIN(VLOOKUP($A23,'Mass Equivalents - States, Opt1'!$A$8:$AP$56,33,0)*VLOOKUP($A23,'Mass Equivalents - States, Opt1'!$A$8:$AP$56,42,0),VLOOKUP($A23,'Mass Equivalents - States, Opt1'!$A$8:$AP$56,33,0)*VLOOKUP($A23,'Mass Equivalents - States, Opt1'!$A$8:$AP$56,42)*VLOOKUP($A23,'Mass Equivalents - States, Opt1'!$A$8:$AP$56,41,0))</f>
        <v>2608784.8070725435</v>
      </c>
      <c r="E23" s="50">
        <f>MIN(VLOOKUP($A23,'Mass Equivalents - States, Opt1'!$A$8:$AP$56,34,0)*VLOOKUP($A23,'Mass Equivalents - States, Opt1'!$A$8:$AP$56,42,0),VLOOKUP($A23,'Mass Equivalents - States, Opt1'!$A$8:$AP$56,34,0)*VLOOKUP($A23,'Mass Equivalents - States, Opt1'!$A$8:$AP$56,42)*VLOOKUP($A23,'Mass Equivalents - States, Opt1'!$A$8:$AP$56,41,0))</f>
        <v>3005328.0961228097</v>
      </c>
      <c r="F23" s="50">
        <f>MIN(VLOOKUP($A23,'Mass Equivalents - States, Opt1'!$A$8:$AP$56,35,0)*VLOOKUP($A23,'Mass Equivalents - States, Opt1'!$A$8:$AP$56,42,0),VLOOKUP($A23,'Mass Equivalents - States, Opt1'!$A$8:$AP$56,35,0)*VLOOKUP($A23,'Mass Equivalents - States, Opt1'!$A$8:$AP$56,42)*VLOOKUP($A23,'Mass Equivalents - States, Opt1'!$A$8:$AP$56,41,0))</f>
        <v>3365183.2130634049</v>
      </c>
      <c r="G23" s="50">
        <f>MIN(VLOOKUP($A23,'Mass Equivalents - States, Opt1'!$A$8:$AP$56,36,0)*VLOOKUP($A23,'Mass Equivalents - States, Opt1'!$A$8:$AP$56,42,0),VLOOKUP($A23,'Mass Equivalents - States, Opt1'!$A$8:$AP$56,36,0)*VLOOKUP($A23,'Mass Equivalents - States, Opt1'!$A$8:$AP$56,42)*VLOOKUP($A23,'Mass Equivalents - States, Opt1'!$A$8:$AP$56,41,0))</f>
        <v>3689537.8602996059</v>
      </c>
      <c r="H23" s="50">
        <f>MIN(VLOOKUP($A23,'Mass Equivalents - States, Opt1'!$A$8:$AP$56,37,0)*VLOOKUP($A23,'Mass Equivalents - States, Opt1'!$A$8:$AP$56,42,0),VLOOKUP($A23,'Mass Equivalents - States, Opt1'!$A$8:$AP$56,37,0)*VLOOKUP($A23,'Mass Equivalents - States, Opt1'!$A$8:$AP$56,42)*VLOOKUP($A23,'Mass Equivalents - States, Opt1'!$A$8:$AP$56,41,0))</f>
        <v>3979525.0537056122</v>
      </c>
      <c r="I23" s="50">
        <f>MIN(VLOOKUP($A23,'Mass Equivalents - States, Opt1'!$A$8:$AP$56,38,0)*VLOOKUP($A23,'Mass Equivalents - States, Opt1'!$A$8:$AP$56,42,0),VLOOKUP($A23,'Mass Equivalents - States, Opt1'!$A$8:$AP$56,38,0)*VLOOKUP($A23,'Mass Equivalents - States, Opt1'!$A$8:$AP$56,42)*VLOOKUP($A23,'Mass Equivalents - States, Opt1'!$A$8:$AP$56,41,0))</f>
        <v>4236225.2991542434</v>
      </c>
      <c r="J23" s="50">
        <f>MIN(VLOOKUP($A23,'Mass Equivalents - States, Opt1'!$A$8:$AP$56,39,0)*VLOOKUP($A23,'Mass Equivalents - States, Opt1'!$A$8:$AP$56,42,0),VLOOKUP($A23,'Mass Equivalents - States, Opt1'!$A$8:$AP$56,39,0)*VLOOKUP($A23,'Mass Equivalents - States, Opt1'!$A$8:$AP$56,42)*VLOOKUP($A23,'Mass Equivalents - States, Opt1'!$A$8:$AP$56,41,0))</f>
        <v>4460668.6773719769</v>
      </c>
      <c r="K23" s="46">
        <f>MIN(VLOOKUP($A23,'Mass Equivalents - States, Opt1'!$A$8:$AP$56,40,0)*VLOOKUP($A23,'Mass Equivalents - States, Opt1'!$A$8:$AP$56,42,0),VLOOKUP($A23,'Mass Equivalents - States, Opt1'!$A$8:$AP$56,40,0)*VLOOKUP($A23,'Mass Equivalents - States, Opt1'!$A$8:$AP$56,42)*VLOOKUP($A23,'Mass Equivalents - States, Opt1'!$A$8:$AP$56,41,0))</f>
        <v>4653836.8408942707</v>
      </c>
      <c r="N23" s="49" t="s">
        <v>61</v>
      </c>
      <c r="O23" s="50">
        <f>MIN(VLOOKUP($N23,'Mass Equivalents - States, Opt2'!$A$8:$AF$56,32,0)*VLOOKUP($N23,'Mass Equivalents - States, Opt2'!$A$8:$AF$56,31,0)*VLOOKUP($N23,'Mass Equivalents - States, Opt2'!$A$8:$AF$56,26,0),VLOOKUP($N23,'Mass Equivalents - States, Opt2'!$A$8:$AF$56,32,0)*VLOOKUP($N23,'Mass Equivalents - States, Opt2'!$A$8:$AF$56,26,0))</f>
        <v>1403907.1999318693</v>
      </c>
      <c r="P23" s="50">
        <f>MIN(VLOOKUP($N23,'Mass Equivalents - States, Opt2'!$A$8:$AF$56,32,0)*VLOOKUP($N23,'Mass Equivalents - States, Opt2'!$A$8:$AF$56,31,0)*VLOOKUP($N23,'Mass Equivalents - States, Opt2'!$A$8:$AF$56,27,0),VLOOKUP($N23,'Mass Equivalents - States, Opt2'!$A$8:$AF$56,32,0)*VLOOKUP($N23,'Mass Equivalents - States, Opt2'!$A$8:$AF$56,27,0))</f>
        <v>1705406.4674706429</v>
      </c>
      <c r="Q23" s="50">
        <f>MIN(VLOOKUP($N23,'Mass Equivalents - States, Opt2'!$A$8:$AF$56,32,0)*VLOOKUP($N23,'Mass Equivalents - States, Opt2'!$A$8:$AF$56,31,0)*VLOOKUP($N23,'Mass Equivalents - States, Opt2'!$A$8:$AF$56,28,0),VLOOKUP($N23,'Mass Equivalents - States, Opt2'!$A$8:$AF$56,32,0)*VLOOKUP($N23,'Mass Equivalents - States, Opt2'!$A$8:$AF$56,28,0))</f>
        <v>1982459.1231105004</v>
      </c>
      <c r="R23" s="50">
        <f>MIN(VLOOKUP($N23,'Mass Equivalents - States, Opt2'!$A$8:$AF$56,32,0)*VLOOKUP($N23,'Mass Equivalents - States, Opt2'!$A$8:$AF$56,31,0)*VLOOKUP($N23,'Mass Equivalents - States, Opt2'!$A$8:$AF$56,29,0),VLOOKUP($N23,'Mass Equivalents - States, Opt2'!$A$8:$AF$56,32,0)*VLOOKUP($N23,'Mass Equivalents - States, Opt2'!$A$8:$AF$56,29,0))</f>
        <v>2235689.3536629574</v>
      </c>
      <c r="S23" s="46">
        <f>MIN(VLOOKUP($N23,'Mass Equivalents - States, Opt2'!$A$8:$AF$56,32,0)*VLOOKUP($N23,'Mass Equivalents - States, Opt2'!$A$8:$AF$56,31,0)*VLOOKUP($N23,'Mass Equivalents - States, Opt2'!$A$8:$AF$56,30,0),VLOOKUP($N23,'Mass Equivalents - States, Opt2'!$A$8:$AF$56,32,0)*VLOOKUP($N23,'Mass Equivalents - States, Opt2'!$A$8:$AF$56,30,0))</f>
        <v>2465697.949552421</v>
      </c>
    </row>
    <row r="24" spans="1:19" x14ac:dyDescent="0.25">
      <c r="A24" s="49" t="s">
        <v>62</v>
      </c>
      <c r="B24" s="50">
        <f>MIN(VLOOKUP($A24,'Mass Equivalents - States, Opt1'!$A$8:$AP$56,31,0)*VLOOKUP($A24,'Mass Equivalents - States, Opt1'!$A$8:$AP$56,42,0),VLOOKUP($A24,'Mass Equivalents - States, Opt1'!$A$8:$AP$56,31,0)*VLOOKUP($A24,'Mass Equivalents - States, Opt1'!$A$8:$AP$56,42)*VLOOKUP($A24,'Mass Equivalents - States, Opt1'!$A$8:$AP$56,41,0))</f>
        <v>1971468.4872287451</v>
      </c>
      <c r="C24" s="50">
        <f>MIN(VLOOKUP($A24,'Mass Equivalents - States, Opt1'!$A$8:$AP$56,32,0)*VLOOKUP($A24,'Mass Equivalents - States, Opt1'!$A$8:$AP$56,42,0),VLOOKUP($A24,'Mass Equivalents - States, Opt1'!$A$8:$AP$56,32,0)*VLOOKUP($A24,'Mass Equivalents - States, Opt1'!$A$8:$AP$56,42)*VLOOKUP($A24,'Mass Equivalents - States, Opt1'!$A$8:$AP$56,41,0))</f>
        <v>2491904.558562201</v>
      </c>
      <c r="D24" s="50">
        <f>MIN(VLOOKUP($A24,'Mass Equivalents - States, Opt1'!$A$8:$AP$56,33,0)*VLOOKUP($A24,'Mass Equivalents - States, Opt1'!$A$8:$AP$56,42,0),VLOOKUP($A24,'Mass Equivalents - States, Opt1'!$A$8:$AP$56,33,0)*VLOOKUP($A24,'Mass Equivalents - States, Opt1'!$A$8:$AP$56,42)*VLOOKUP($A24,'Mass Equivalents - States, Opt1'!$A$8:$AP$56,41,0))</f>
        <v>2970256.7655918719</v>
      </c>
      <c r="E24" s="50">
        <f>MIN(VLOOKUP($A24,'Mass Equivalents - States, Opt1'!$A$8:$AP$56,34,0)*VLOOKUP($A24,'Mass Equivalents - States, Opt1'!$A$8:$AP$56,42,0),VLOOKUP($A24,'Mass Equivalents - States, Opt1'!$A$8:$AP$56,34,0)*VLOOKUP($A24,'Mass Equivalents - States, Opt1'!$A$8:$AP$56,42)*VLOOKUP($A24,'Mass Equivalents - States, Opt1'!$A$8:$AP$56,41,0))</f>
        <v>3407728.7373554725</v>
      </c>
      <c r="F24" s="50">
        <f>MIN(VLOOKUP($A24,'Mass Equivalents - States, Opt1'!$A$8:$AP$56,35,0)*VLOOKUP($A24,'Mass Equivalents - States, Opt1'!$A$8:$AP$56,42,0),VLOOKUP($A24,'Mass Equivalents - States, Opt1'!$A$8:$AP$56,35,0)*VLOOKUP($A24,'Mass Equivalents - States, Opt1'!$A$8:$AP$56,42)*VLOOKUP($A24,'Mass Equivalents - States, Opt1'!$A$8:$AP$56,41,0))</f>
        <v>3805469.3205313832</v>
      </c>
      <c r="G24" s="50">
        <f>MIN(VLOOKUP($A24,'Mass Equivalents - States, Opt1'!$A$8:$AP$56,36,0)*VLOOKUP($A24,'Mass Equivalents - States, Opt1'!$A$8:$AP$56,42,0),VLOOKUP($A24,'Mass Equivalents - States, Opt1'!$A$8:$AP$56,36,0)*VLOOKUP($A24,'Mass Equivalents - States, Opt1'!$A$8:$AP$56,42)*VLOOKUP($A24,'Mass Equivalents - States, Opt1'!$A$8:$AP$56,41,0))</f>
        <v>4164574.5400662036</v>
      </c>
      <c r="H24" s="50">
        <f>MIN(VLOOKUP($A24,'Mass Equivalents - States, Opt1'!$A$8:$AP$56,37,0)*VLOOKUP($A24,'Mass Equivalents - States, Opt1'!$A$8:$AP$56,42,0),VLOOKUP($A24,'Mass Equivalents - States, Opt1'!$A$8:$AP$56,37,0)*VLOOKUP($A24,'Mass Equivalents - States, Opt1'!$A$8:$AP$56,42)*VLOOKUP($A24,'Mass Equivalents - States, Opt1'!$A$8:$AP$56,41,0))</f>
        <v>4486089.480871629</v>
      </c>
      <c r="I24" s="50">
        <f>MIN(VLOOKUP($A24,'Mass Equivalents - States, Opt1'!$A$8:$AP$56,38,0)*VLOOKUP($A24,'Mass Equivalents - States, Opt1'!$A$8:$AP$56,42,0),VLOOKUP($A24,'Mass Equivalents - States, Opt1'!$A$8:$AP$56,38,0)*VLOOKUP($A24,'Mass Equivalents - States, Opt1'!$A$8:$AP$56,42)*VLOOKUP($A24,'Mass Equivalents - States, Opt1'!$A$8:$AP$56,41,0))</f>
        <v>4771010.0935849724</v>
      </c>
      <c r="J24" s="50">
        <f>MIN(VLOOKUP($A24,'Mass Equivalents - States, Opt1'!$A$8:$AP$56,39,0)*VLOOKUP($A24,'Mass Equivalents - States, Opt1'!$A$8:$AP$56,42,0),VLOOKUP($A24,'Mass Equivalents - States, Opt1'!$A$8:$AP$56,39,0)*VLOOKUP($A24,'Mass Equivalents - States, Opt1'!$A$8:$AP$56,42)*VLOOKUP($A24,'Mass Equivalents - States, Opt1'!$A$8:$AP$56,41,0))</f>
        <v>5020284.927270744</v>
      </c>
      <c r="K24" s="46">
        <f>MIN(VLOOKUP($A24,'Mass Equivalents - States, Opt1'!$A$8:$AP$56,40,0)*VLOOKUP($A24,'Mass Equivalents - States, Opt1'!$A$8:$AP$56,42,0),VLOOKUP($A24,'Mass Equivalents - States, Opt1'!$A$8:$AP$56,40,0)*VLOOKUP($A24,'Mass Equivalents - States, Opt1'!$A$8:$AP$56,42)*VLOOKUP($A24,'Mass Equivalents - States, Opt1'!$A$8:$AP$56,41,0))</f>
        <v>5234816.7918280913</v>
      </c>
      <c r="N24" s="49" t="s">
        <v>62</v>
      </c>
      <c r="O24" s="50">
        <f>MIN(VLOOKUP($N24,'Mass Equivalents - States, Opt2'!$A$8:$AF$56,32,0)*VLOOKUP($N24,'Mass Equivalents - States, Opt2'!$A$8:$AF$56,31,0)*VLOOKUP($N24,'Mass Equivalents - States, Opt2'!$A$8:$AF$56,26,0),VLOOKUP($N24,'Mass Equivalents - States, Opt2'!$A$8:$AF$56,32,0)*VLOOKUP($N24,'Mass Equivalents - States, Opt2'!$A$8:$AF$56,26,0))</f>
        <v>1577530.4384071322</v>
      </c>
      <c r="P24" s="50">
        <f>MIN(VLOOKUP($N24,'Mass Equivalents - States, Opt2'!$A$8:$AF$56,32,0)*VLOOKUP($N24,'Mass Equivalents - States, Opt2'!$A$8:$AF$56,31,0)*VLOOKUP($N24,'Mass Equivalents - States, Opt2'!$A$8:$AF$56,27,0),VLOOKUP($N24,'Mass Equivalents - States, Opt2'!$A$8:$AF$56,32,0)*VLOOKUP($N24,'Mass Equivalents - States, Opt2'!$A$8:$AF$56,27,0))</f>
        <v>1912144.6433179232</v>
      </c>
      <c r="Q24" s="50">
        <f>MIN(VLOOKUP($N24,'Mass Equivalents - States, Opt2'!$A$8:$AF$56,32,0)*VLOOKUP($N24,'Mass Equivalents - States, Opt2'!$A$8:$AF$56,31,0)*VLOOKUP($N24,'Mass Equivalents - States, Opt2'!$A$8:$AF$56,28,0),VLOOKUP($N24,'Mass Equivalents - States, Opt2'!$A$8:$AF$56,32,0)*VLOOKUP($N24,'Mass Equivalents - States, Opt2'!$A$8:$AF$56,28,0))</f>
        <v>2220412.035362056</v>
      </c>
      <c r="R24" s="50">
        <f>MIN(VLOOKUP($N24,'Mass Equivalents - States, Opt2'!$A$8:$AF$56,32,0)*VLOOKUP($N24,'Mass Equivalents - States, Opt2'!$A$8:$AF$56,31,0)*VLOOKUP($N24,'Mass Equivalents - States, Opt2'!$A$8:$AF$56,29,0),VLOOKUP($N24,'Mass Equivalents - States, Opt2'!$A$8:$AF$56,32,0)*VLOOKUP($N24,'Mass Equivalents - States, Opt2'!$A$8:$AF$56,29,0))</f>
        <v>2502877.2703515613</v>
      </c>
      <c r="S24" s="46">
        <f>MIN(VLOOKUP($N24,'Mass Equivalents - States, Opt2'!$A$8:$AF$56,32,0)*VLOOKUP($N24,'Mass Equivalents - States, Opt2'!$A$8:$AF$56,31,0)*VLOOKUP($N24,'Mass Equivalents - States, Opt2'!$A$8:$AF$56,30,0),VLOOKUP($N24,'Mass Equivalents - States, Opt2'!$A$8:$AF$56,32,0)*VLOOKUP($N24,'Mass Equivalents - States, Opt2'!$A$8:$AF$56,30,0))</f>
        <v>2760064.0807526945</v>
      </c>
    </row>
    <row r="25" spans="1:19" x14ac:dyDescent="0.25">
      <c r="A25" s="49" t="s">
        <v>63</v>
      </c>
      <c r="B25" s="50">
        <f>MIN(VLOOKUP($A25,'Mass Equivalents - States, Opt1'!$A$8:$AP$56,31,0)*VLOOKUP($A25,'Mass Equivalents - States, Opt1'!$A$8:$AP$56,42,0),VLOOKUP($A25,'Mass Equivalents - States, Opt1'!$A$8:$AP$56,31,0)*VLOOKUP($A25,'Mass Equivalents - States, Opt1'!$A$8:$AP$56,42)*VLOOKUP($A25,'Mass Equivalents - States, Opt1'!$A$8:$AP$56,41,0))</f>
        <v>5175323.9044443341</v>
      </c>
      <c r="C25" s="50">
        <f>MIN(VLOOKUP($A25,'Mass Equivalents - States, Opt1'!$A$8:$AP$56,32,0)*VLOOKUP($A25,'Mass Equivalents - States, Opt1'!$A$8:$AP$56,42,0),VLOOKUP($A25,'Mass Equivalents - States, Opt1'!$A$8:$AP$56,32,0)*VLOOKUP($A25,'Mass Equivalents - States, Opt1'!$A$8:$AP$56,42)*VLOOKUP($A25,'Mass Equivalents - States, Opt1'!$A$8:$AP$56,41,0))</f>
        <v>6473758.1200871803</v>
      </c>
      <c r="D25" s="50">
        <f>MIN(VLOOKUP($A25,'Mass Equivalents - States, Opt1'!$A$8:$AP$56,33,0)*VLOOKUP($A25,'Mass Equivalents - States, Opt1'!$A$8:$AP$56,42,0),VLOOKUP($A25,'Mass Equivalents - States, Opt1'!$A$8:$AP$56,33,0)*VLOOKUP($A25,'Mass Equivalents - States, Opt1'!$A$8:$AP$56,42)*VLOOKUP($A25,'Mass Equivalents - States, Opt1'!$A$8:$AP$56,41,0))</f>
        <v>7665161.8983352929</v>
      </c>
      <c r="E25" s="50">
        <f>MIN(VLOOKUP($A25,'Mass Equivalents - States, Opt1'!$A$8:$AP$56,34,0)*VLOOKUP($A25,'Mass Equivalents - States, Opt1'!$A$8:$AP$56,42,0),VLOOKUP($A25,'Mass Equivalents - States, Opt1'!$A$8:$AP$56,34,0)*VLOOKUP($A25,'Mass Equivalents - States, Opt1'!$A$8:$AP$56,42)*VLOOKUP($A25,'Mass Equivalents - States, Opt1'!$A$8:$AP$56,41,0))</f>
        <v>8752776.6728880908</v>
      </c>
      <c r="F25" s="50">
        <f>MIN(VLOOKUP($A25,'Mass Equivalents - States, Opt1'!$A$8:$AP$56,35,0)*VLOOKUP($A25,'Mass Equivalents - States, Opt1'!$A$8:$AP$56,42,0),VLOOKUP($A25,'Mass Equivalents - States, Opt1'!$A$8:$AP$56,35,0)*VLOOKUP($A25,'Mass Equivalents - States, Opt1'!$A$8:$AP$56,42)*VLOOKUP($A25,'Mass Equivalents - States, Opt1'!$A$8:$AP$56,41,0))</f>
        <v>9739696.6421948336</v>
      </c>
      <c r="G25" s="50">
        <f>MIN(VLOOKUP($A25,'Mass Equivalents - States, Opt1'!$A$8:$AP$56,36,0)*VLOOKUP($A25,'Mass Equivalents - States, Opt1'!$A$8:$AP$56,42,0),VLOOKUP($A25,'Mass Equivalents - States, Opt1'!$A$8:$AP$56,36,0)*VLOOKUP($A25,'Mass Equivalents - States, Opt1'!$A$8:$AP$56,42)*VLOOKUP($A25,'Mass Equivalents - States, Opt1'!$A$8:$AP$56,41,0))</f>
        <v>10628874.283133786</v>
      </c>
      <c r="H25" s="50">
        <f>MIN(VLOOKUP($A25,'Mass Equivalents - States, Opt1'!$A$8:$AP$56,37,0)*VLOOKUP($A25,'Mass Equivalents - States, Opt1'!$A$8:$AP$56,42,0),VLOOKUP($A25,'Mass Equivalents - States, Opt1'!$A$8:$AP$56,37,0)*VLOOKUP($A25,'Mass Equivalents - States, Opt1'!$A$8:$AP$56,42)*VLOOKUP($A25,'Mass Equivalents - States, Opt1'!$A$8:$AP$56,41,0))</f>
        <v>11423125.63948114</v>
      </c>
      <c r="I25" s="50">
        <f>MIN(VLOOKUP($A25,'Mass Equivalents - States, Opt1'!$A$8:$AP$56,38,0)*VLOOKUP($A25,'Mass Equivalents - States, Opt1'!$A$8:$AP$56,42,0),VLOOKUP($A25,'Mass Equivalents - States, Opt1'!$A$8:$AP$56,38,0)*VLOOKUP($A25,'Mass Equivalents - States, Opt1'!$A$8:$AP$56,42)*VLOOKUP($A25,'Mass Equivalents - States, Opt1'!$A$8:$AP$56,41,0))</f>
        <v>12125135.394005977</v>
      </c>
      <c r="J25" s="50">
        <f>MIN(VLOOKUP($A25,'Mass Equivalents - States, Opt1'!$A$8:$AP$56,39,0)*VLOOKUP($A25,'Mass Equivalents - States, Opt1'!$A$8:$AP$56,42,0),VLOOKUP($A25,'Mass Equivalents - States, Opt1'!$A$8:$AP$56,39,0)*VLOOKUP($A25,'Mass Equivalents - States, Opt1'!$A$8:$AP$56,42)*VLOOKUP($A25,'Mass Equivalents - States, Opt1'!$A$8:$AP$56,41,0))</f>
        <v>12737461.732674489</v>
      </c>
      <c r="K25" s="46">
        <f>MIN(VLOOKUP($A25,'Mass Equivalents - States, Opt1'!$A$8:$AP$56,40,0)*VLOOKUP($A25,'Mass Equivalents - States, Opt1'!$A$8:$AP$56,42,0),VLOOKUP($A25,'Mass Equivalents - States, Opt1'!$A$8:$AP$56,40,0)*VLOOKUP($A25,'Mass Equivalents - States, Opt1'!$A$8:$AP$56,42)*VLOOKUP($A25,'Mass Equivalents - States, Opt1'!$A$8:$AP$56,41,0))</f>
        <v>13262541.009107564</v>
      </c>
      <c r="N25" s="49" t="s">
        <v>63</v>
      </c>
      <c r="O25" s="50">
        <f>MIN(VLOOKUP($N25,'Mass Equivalents - States, Opt2'!$A$8:$AF$56,32,0)*VLOOKUP($N25,'Mass Equivalents - States, Opt2'!$A$8:$AF$56,31,0)*VLOOKUP($N25,'Mass Equivalents - States, Opt2'!$A$8:$AF$56,26,0),VLOOKUP($N25,'Mass Equivalents - States, Opt2'!$A$8:$AF$56,32,0)*VLOOKUP($N25,'Mass Equivalents - States, Opt2'!$A$8:$AF$56,26,0))</f>
        <v>4047982.8433955931</v>
      </c>
      <c r="P25" s="50">
        <f>MIN(VLOOKUP($N25,'Mass Equivalents - States, Opt2'!$A$8:$AF$56,32,0)*VLOOKUP($N25,'Mass Equivalents - States, Opt2'!$A$8:$AF$56,31,0)*VLOOKUP($N25,'Mass Equivalents - States, Opt2'!$A$8:$AF$56,27,0),VLOOKUP($N25,'Mass Equivalents - States, Opt2'!$A$8:$AF$56,32,0)*VLOOKUP($N25,'Mass Equivalents - States, Opt2'!$A$8:$AF$56,27,0))</f>
        <v>4886999.4490600098</v>
      </c>
      <c r="Q25" s="50">
        <f>MIN(VLOOKUP($N25,'Mass Equivalents - States, Opt2'!$A$8:$AF$56,32,0)*VLOOKUP($N25,'Mass Equivalents - States, Opt2'!$A$8:$AF$56,31,0)*VLOOKUP($N25,'Mass Equivalents - States, Opt2'!$A$8:$AF$56,28,0),VLOOKUP($N25,'Mass Equivalents - States, Opt2'!$A$8:$AF$56,32,0)*VLOOKUP($N25,'Mass Equivalents - States, Opt2'!$A$8:$AF$56,28,0))</f>
        <v>5658856.54629796</v>
      </c>
      <c r="R25" s="50">
        <f>MIN(VLOOKUP($N25,'Mass Equivalents - States, Opt2'!$A$8:$AF$56,32,0)*VLOOKUP($N25,'Mass Equivalents - States, Opt2'!$A$8:$AF$56,31,0)*VLOOKUP($N25,'Mass Equivalents - States, Opt2'!$A$8:$AF$56,29,0),VLOOKUP($N25,'Mass Equivalents - States, Opt2'!$A$8:$AF$56,32,0)*VLOOKUP($N25,'Mass Equivalents - States, Opt2'!$A$8:$AF$56,29,0))</f>
        <v>6365065.2908236952</v>
      </c>
      <c r="S25" s="46">
        <f>MIN(VLOOKUP($N25,'Mass Equivalents - States, Opt2'!$A$8:$AF$56,32,0)*VLOOKUP($N25,'Mass Equivalents - States, Opt2'!$A$8:$AF$56,31,0)*VLOOKUP($N25,'Mass Equivalents - States, Opt2'!$A$8:$AF$56,30,0),VLOOKUP($N25,'Mass Equivalents - States, Opt2'!$A$8:$AF$56,32,0)*VLOOKUP($N25,'Mass Equivalents - States, Opt2'!$A$8:$AF$56,30,0))</f>
        <v>7007079.6817391114</v>
      </c>
    </row>
    <row r="26" spans="1:19" x14ac:dyDescent="0.25">
      <c r="A26" s="49" t="s">
        <v>64</v>
      </c>
      <c r="B26" s="50">
        <f>MIN(VLOOKUP($A26,'Mass Equivalents - States, Opt1'!$A$8:$AP$56,31,0)*VLOOKUP($A26,'Mass Equivalents - States, Opt1'!$A$8:$AP$56,42,0),VLOOKUP($A26,'Mass Equivalents - States, Opt1'!$A$8:$AP$56,31,0)*VLOOKUP($A26,'Mass Equivalents - States, Opt1'!$A$8:$AP$56,42)*VLOOKUP($A26,'Mass Equivalents - States, Opt1'!$A$8:$AP$56,41,0))</f>
        <v>2906860.1509433058</v>
      </c>
      <c r="C26" s="50">
        <f>MIN(VLOOKUP($A26,'Mass Equivalents - States, Opt1'!$A$8:$AP$56,32,0)*VLOOKUP($A26,'Mass Equivalents - States, Opt1'!$A$8:$AP$56,42,0),VLOOKUP($A26,'Mass Equivalents - States, Opt1'!$A$8:$AP$56,32,0)*VLOOKUP($A26,'Mass Equivalents - States, Opt1'!$A$8:$AP$56,42)*VLOOKUP($A26,'Mass Equivalents - States, Opt1'!$A$8:$AP$56,41,0))</f>
        <v>3587135.51444946</v>
      </c>
      <c r="D26" s="50">
        <f>MIN(VLOOKUP($A26,'Mass Equivalents - States, Opt1'!$A$8:$AP$56,33,0)*VLOOKUP($A26,'Mass Equivalents - States, Opt1'!$A$8:$AP$56,42,0),VLOOKUP($A26,'Mass Equivalents - States, Opt1'!$A$8:$AP$56,33,0)*VLOOKUP($A26,'Mass Equivalents - States, Opt1'!$A$8:$AP$56,42)*VLOOKUP($A26,'Mass Equivalents - States, Opt1'!$A$8:$AP$56,41,0))</f>
        <v>4209459.3398670033</v>
      </c>
      <c r="E26" s="50">
        <f>MIN(VLOOKUP($A26,'Mass Equivalents - States, Opt1'!$A$8:$AP$56,34,0)*VLOOKUP($A26,'Mass Equivalents - States, Opt1'!$A$8:$AP$56,42,0),VLOOKUP($A26,'Mass Equivalents - States, Opt1'!$A$8:$AP$56,34,0)*VLOOKUP($A26,'Mass Equivalents - States, Opt1'!$A$8:$AP$56,42)*VLOOKUP($A26,'Mass Equivalents - States, Opt1'!$A$8:$AP$56,41,0))</f>
        <v>4775778.236725701</v>
      </c>
      <c r="F26" s="50">
        <f>MIN(VLOOKUP($A26,'Mass Equivalents - States, Opt1'!$A$8:$AP$56,35,0)*VLOOKUP($A26,'Mass Equivalents - States, Opt1'!$A$8:$AP$56,42,0),VLOOKUP($A26,'Mass Equivalents - States, Opt1'!$A$8:$AP$56,35,0)*VLOOKUP($A26,'Mass Equivalents - States, Opt1'!$A$8:$AP$56,42)*VLOOKUP($A26,'Mass Equivalents - States, Opt1'!$A$8:$AP$56,41,0))</f>
        <v>5287949.8612241745</v>
      </c>
      <c r="G26" s="50">
        <f>MIN(VLOOKUP($A26,'Mass Equivalents - States, Opt1'!$A$8:$AP$56,36,0)*VLOOKUP($A26,'Mass Equivalents - States, Opt1'!$A$8:$AP$56,42,0),VLOOKUP($A26,'Mass Equivalents - States, Opt1'!$A$8:$AP$56,36,0)*VLOOKUP($A26,'Mass Equivalents - States, Opt1'!$A$8:$AP$56,42)*VLOOKUP($A26,'Mass Equivalents - States, Opt1'!$A$8:$AP$56,41,0))</f>
        <v>5747746.5100640049</v>
      </c>
      <c r="H26" s="50">
        <f>MIN(VLOOKUP($A26,'Mass Equivalents - States, Opt1'!$A$8:$AP$56,37,0)*VLOOKUP($A26,'Mass Equivalents - States, Opt1'!$A$8:$AP$56,42,0),VLOOKUP($A26,'Mass Equivalents - States, Opt1'!$A$8:$AP$56,37,0)*VLOOKUP($A26,'Mass Equivalents - States, Opt1'!$A$8:$AP$56,42)*VLOOKUP($A26,'Mass Equivalents - States, Opt1'!$A$8:$AP$56,41,0))</f>
        <v>6156858.562167719</v>
      </c>
      <c r="I26" s="50">
        <f>MIN(VLOOKUP($A26,'Mass Equivalents - States, Opt1'!$A$8:$AP$56,38,0)*VLOOKUP($A26,'Mass Equivalents - States, Opt1'!$A$8:$AP$56,42,0),VLOOKUP($A26,'Mass Equivalents - States, Opt1'!$A$8:$AP$56,38,0)*VLOOKUP($A26,'Mass Equivalents - States, Opt1'!$A$8:$AP$56,42)*VLOOKUP($A26,'Mass Equivalents - States, Opt1'!$A$8:$AP$56,41,0))</f>
        <v>6516897.7746042442</v>
      </c>
      <c r="J26" s="50">
        <f>MIN(VLOOKUP($A26,'Mass Equivalents - States, Opt1'!$A$8:$AP$56,39,0)*VLOOKUP($A26,'Mass Equivalents - States, Opt1'!$A$8:$AP$56,42,0),VLOOKUP($A26,'Mass Equivalents - States, Opt1'!$A$8:$AP$56,39,0)*VLOOKUP($A26,'Mass Equivalents - States, Opt1'!$A$8:$AP$56,42)*VLOOKUP($A26,'Mass Equivalents - States, Opt1'!$A$8:$AP$56,41,0))</f>
        <v>6829400.4387807511</v>
      </c>
      <c r="K26" s="46">
        <f>MIN(VLOOKUP($A26,'Mass Equivalents - States, Opt1'!$A$8:$AP$56,40,0)*VLOOKUP($A26,'Mass Equivalents - States, Opt1'!$A$8:$AP$56,42,0),VLOOKUP($A26,'Mass Equivalents - States, Opt1'!$A$8:$AP$56,40,0)*VLOOKUP($A26,'Mass Equivalents - States, Opt1'!$A$8:$AP$56,42)*VLOOKUP($A26,'Mass Equivalents - States, Opt1'!$A$8:$AP$56,41,0))</f>
        <v>7095830.4027061583</v>
      </c>
      <c r="N26" s="49" t="s">
        <v>64</v>
      </c>
      <c r="O26" s="50">
        <f>MIN(VLOOKUP($N26,'Mass Equivalents - States, Opt2'!$A$8:$AF$56,32,0)*VLOOKUP($N26,'Mass Equivalents - States, Opt2'!$A$8:$AF$56,31,0)*VLOOKUP($N26,'Mass Equivalents - States, Opt2'!$A$8:$AF$56,26,0),VLOOKUP($N26,'Mass Equivalents - States, Opt2'!$A$8:$AF$56,32,0)*VLOOKUP($N26,'Mass Equivalents - States, Opt2'!$A$8:$AF$56,26,0))</f>
        <v>2168702.7837953516</v>
      </c>
      <c r="P26" s="50">
        <f>MIN(VLOOKUP($N26,'Mass Equivalents - States, Opt2'!$A$8:$AF$56,32,0)*VLOOKUP($N26,'Mass Equivalents - States, Opt2'!$A$8:$AF$56,31,0)*VLOOKUP($N26,'Mass Equivalents - States, Opt2'!$A$8:$AF$56,27,0),VLOOKUP($N26,'Mass Equivalents - States, Opt2'!$A$8:$AF$56,32,0)*VLOOKUP($N26,'Mass Equivalents - States, Opt2'!$A$8:$AF$56,27,0))</f>
        <v>2614362.4155139173</v>
      </c>
      <c r="Q26" s="50">
        <f>MIN(VLOOKUP($N26,'Mass Equivalents - States, Opt2'!$A$8:$AF$56,32,0)*VLOOKUP($N26,'Mass Equivalents - States, Opt2'!$A$8:$AF$56,31,0)*VLOOKUP($N26,'Mass Equivalents - States, Opt2'!$A$8:$AF$56,28,0),VLOOKUP($N26,'Mass Equivalents - States, Opt2'!$A$8:$AF$56,32,0)*VLOOKUP($N26,'Mass Equivalents - States, Opt2'!$A$8:$AF$56,28,0))</f>
        <v>3023454.5369201028</v>
      </c>
      <c r="R26" s="50">
        <f>MIN(VLOOKUP($N26,'Mass Equivalents - States, Opt2'!$A$8:$AF$56,32,0)*VLOOKUP($N26,'Mass Equivalents - States, Opt2'!$A$8:$AF$56,31,0)*VLOOKUP($N26,'Mass Equivalents - States, Opt2'!$A$8:$AF$56,29,0),VLOOKUP($N26,'Mass Equivalents - States, Opt2'!$A$8:$AF$56,32,0)*VLOOKUP($N26,'Mass Equivalents - States, Opt2'!$A$8:$AF$56,29,0))</f>
        <v>3396932.5644919132</v>
      </c>
      <c r="S26" s="46">
        <f>MIN(VLOOKUP($N26,'Mass Equivalents - States, Opt2'!$A$8:$AF$56,32,0)*VLOOKUP($N26,'Mass Equivalents - States, Opt2'!$A$8:$AF$56,31,0)*VLOOKUP($N26,'Mass Equivalents - States, Opt2'!$A$8:$AF$56,30,0),VLOOKUP($N26,'Mass Equivalents - States, Opt2'!$A$8:$AF$56,32,0)*VLOOKUP($N26,'Mass Equivalents - States, Opt2'!$A$8:$AF$56,30,0))</f>
        <v>3735714.1321341582</v>
      </c>
    </row>
    <row r="27" spans="1:19" x14ac:dyDescent="0.25">
      <c r="A27" s="49" t="s">
        <v>65</v>
      </c>
      <c r="B27" s="50">
        <f>MIN(VLOOKUP($A27,'Mass Equivalents - States, Opt1'!$A$8:$AP$56,31,0)*VLOOKUP($A27,'Mass Equivalents - States, Opt1'!$A$8:$AP$56,42,0),VLOOKUP($A27,'Mass Equivalents - States, Opt1'!$A$8:$AP$56,31,0)*VLOOKUP($A27,'Mass Equivalents - States, Opt1'!$A$8:$AP$56,42)*VLOOKUP($A27,'Mass Equivalents - States, Opt1'!$A$8:$AP$56,41,0))</f>
        <v>718276.11427031318</v>
      </c>
      <c r="C27" s="50">
        <f>MIN(VLOOKUP($A27,'Mass Equivalents - States, Opt1'!$A$8:$AP$56,32,0)*VLOOKUP($A27,'Mass Equivalents - States, Opt1'!$A$8:$AP$56,42,0),VLOOKUP($A27,'Mass Equivalents - States, Opt1'!$A$8:$AP$56,32,0)*VLOOKUP($A27,'Mass Equivalents - States, Opt1'!$A$8:$AP$56,42)*VLOOKUP($A27,'Mass Equivalents - States, Opt1'!$A$8:$AP$56,41,0))</f>
        <v>1111065.2865061923</v>
      </c>
      <c r="D27" s="50">
        <f>MIN(VLOOKUP($A27,'Mass Equivalents - States, Opt1'!$A$8:$AP$56,33,0)*VLOOKUP($A27,'Mass Equivalents - States, Opt1'!$A$8:$AP$56,42,0),VLOOKUP($A27,'Mass Equivalents - States, Opt1'!$A$8:$AP$56,33,0)*VLOOKUP($A27,'Mass Equivalents - States, Opt1'!$A$8:$AP$56,42)*VLOOKUP($A27,'Mass Equivalents - States, Opt1'!$A$8:$AP$56,41,0))</f>
        <v>1574106.4910440266</v>
      </c>
      <c r="E27" s="50">
        <f>MIN(VLOOKUP($A27,'Mass Equivalents - States, Opt1'!$A$8:$AP$56,34,0)*VLOOKUP($A27,'Mass Equivalents - States, Opt1'!$A$8:$AP$56,42,0),VLOOKUP($A27,'Mass Equivalents - States, Opt1'!$A$8:$AP$56,34,0)*VLOOKUP($A27,'Mass Equivalents - States, Opt1'!$A$8:$AP$56,42)*VLOOKUP($A27,'Mass Equivalents - States, Opt1'!$A$8:$AP$56,41,0))</f>
        <v>2099529.9633159232</v>
      </c>
      <c r="F27" s="50">
        <f>MIN(VLOOKUP($A27,'Mass Equivalents - States, Opt1'!$A$8:$AP$56,35,0)*VLOOKUP($A27,'Mass Equivalents - States, Opt1'!$A$8:$AP$56,42,0),VLOOKUP($A27,'Mass Equivalents - States, Opt1'!$A$8:$AP$56,35,0)*VLOOKUP($A27,'Mass Equivalents - States, Opt1'!$A$8:$AP$56,42)*VLOOKUP($A27,'Mass Equivalents - States, Opt1'!$A$8:$AP$56,41,0))</f>
        <v>2679399.1890273923</v>
      </c>
      <c r="G27" s="50">
        <f>MIN(VLOOKUP($A27,'Mass Equivalents - States, Opt1'!$A$8:$AP$56,36,0)*VLOOKUP($A27,'Mass Equivalents - States, Opt1'!$A$8:$AP$56,42,0),VLOOKUP($A27,'Mass Equivalents - States, Opt1'!$A$8:$AP$56,36,0)*VLOOKUP($A27,'Mass Equivalents - States, Opt1'!$A$8:$AP$56,42)*VLOOKUP($A27,'Mass Equivalents - States, Opt1'!$A$8:$AP$56,41,0))</f>
        <v>3222161.0717550344</v>
      </c>
      <c r="H27" s="50">
        <f>MIN(VLOOKUP($A27,'Mass Equivalents - States, Opt1'!$A$8:$AP$56,37,0)*VLOOKUP($A27,'Mass Equivalents - States, Opt1'!$A$8:$AP$56,42,0),VLOOKUP($A27,'Mass Equivalents - States, Opt1'!$A$8:$AP$56,37,0)*VLOOKUP($A27,'Mass Equivalents - States, Opt1'!$A$8:$AP$56,42)*VLOOKUP($A27,'Mass Equivalents - States, Opt1'!$A$8:$AP$56,41,0))</f>
        <v>3715815.5132413465</v>
      </c>
      <c r="I27" s="50">
        <f>MIN(VLOOKUP($A27,'Mass Equivalents - States, Opt1'!$A$8:$AP$56,38,0)*VLOOKUP($A27,'Mass Equivalents - States, Opt1'!$A$8:$AP$56,42,0),VLOOKUP($A27,'Mass Equivalents - States, Opt1'!$A$8:$AP$56,38,0)*VLOOKUP($A27,'Mass Equivalents - States, Opt1'!$A$8:$AP$56,42)*VLOOKUP($A27,'Mass Equivalents - States, Opt1'!$A$8:$AP$56,41,0))</f>
        <v>4162245.6594937812</v>
      </c>
      <c r="J27" s="50">
        <f>MIN(VLOOKUP($A27,'Mass Equivalents - States, Opt1'!$A$8:$AP$56,39,0)*VLOOKUP($A27,'Mass Equivalents - States, Opt1'!$A$8:$AP$56,42,0),VLOOKUP($A27,'Mass Equivalents - States, Opt1'!$A$8:$AP$56,39,0)*VLOOKUP($A27,'Mass Equivalents - States, Opt1'!$A$8:$AP$56,42)*VLOOKUP($A27,'Mass Equivalents - States, Opt1'!$A$8:$AP$56,41,0))</f>
        <v>4563246.1586939534</v>
      </c>
      <c r="K27" s="46">
        <f>MIN(VLOOKUP($A27,'Mass Equivalents - States, Opt1'!$A$8:$AP$56,40,0)*VLOOKUP($A27,'Mass Equivalents - States, Opt1'!$A$8:$AP$56,42,0),VLOOKUP($A27,'Mass Equivalents - States, Opt1'!$A$8:$AP$56,40,0)*VLOOKUP($A27,'Mass Equivalents - States, Opt1'!$A$8:$AP$56,42)*VLOOKUP($A27,'Mass Equivalents - States, Opt1'!$A$8:$AP$56,41,0))</f>
        <v>4920527.0757302037</v>
      </c>
      <c r="N27" s="49" t="s">
        <v>65</v>
      </c>
      <c r="O27" s="50">
        <f>MIN(VLOOKUP($N27,'Mass Equivalents - States, Opt2'!$A$8:$AF$56,32,0)*VLOOKUP($N27,'Mass Equivalents - States, Opt2'!$A$8:$AF$56,31,0)*VLOOKUP($N27,'Mass Equivalents - States, Opt2'!$A$8:$AF$56,26,0),VLOOKUP($N27,'Mass Equivalents - States, Opt2'!$A$8:$AF$56,32,0)*VLOOKUP($N27,'Mass Equivalents - States, Opt2'!$A$8:$AF$56,26,0))</f>
        <v>573068.42568814661</v>
      </c>
      <c r="P27" s="50">
        <f>MIN(VLOOKUP($N27,'Mass Equivalents - States, Opt2'!$A$8:$AF$56,32,0)*VLOOKUP($N27,'Mass Equivalents - States, Opt2'!$A$8:$AF$56,31,0)*VLOOKUP($N27,'Mass Equivalents - States, Opt2'!$A$8:$AF$56,27,0),VLOOKUP($N27,'Mass Equivalents - States, Opt2'!$A$8:$AF$56,32,0)*VLOOKUP($N27,'Mass Equivalents - States, Opt2'!$A$8:$AF$56,27,0))</f>
        <v>875601.95376308542</v>
      </c>
      <c r="Q27" s="50">
        <f>MIN(VLOOKUP($N27,'Mass Equivalents - States, Opt2'!$A$8:$AF$56,32,0)*VLOOKUP($N27,'Mass Equivalents - States, Opt2'!$A$8:$AF$56,31,0)*VLOOKUP($N27,'Mass Equivalents - States, Opt2'!$A$8:$AF$56,28,0),VLOOKUP($N27,'Mass Equivalents - States, Opt2'!$A$8:$AF$56,32,0)*VLOOKUP($N27,'Mass Equivalents - States, Opt2'!$A$8:$AF$56,28,0))</f>
        <v>1231123.2819577961</v>
      </c>
      <c r="R27" s="50">
        <f>MIN(VLOOKUP($N27,'Mass Equivalents - States, Opt2'!$A$8:$AF$56,32,0)*VLOOKUP($N27,'Mass Equivalents - States, Opt2'!$A$8:$AF$56,31,0)*VLOOKUP($N27,'Mass Equivalents - States, Opt2'!$A$8:$AF$56,29,0),VLOOKUP($N27,'Mass Equivalents - States, Opt2'!$A$8:$AF$56,32,0)*VLOOKUP($N27,'Mass Equivalents - States, Opt2'!$A$8:$AF$56,29,0))</f>
        <v>1634108.227383666</v>
      </c>
      <c r="S27" s="46">
        <f>MIN(VLOOKUP($N27,'Mass Equivalents - States, Opt2'!$A$8:$AF$56,32,0)*VLOOKUP($N27,'Mass Equivalents - States, Opt2'!$A$8:$AF$56,31,0)*VLOOKUP($N27,'Mass Equivalents - States, Opt2'!$A$8:$AF$56,30,0),VLOOKUP($N27,'Mass Equivalents - States, Opt2'!$A$8:$AF$56,32,0)*VLOOKUP($N27,'Mass Equivalents - States, Opt2'!$A$8:$AF$56,30,0))</f>
        <v>2018210.1404288404</v>
      </c>
    </row>
    <row r="28" spans="1:19" x14ac:dyDescent="0.25">
      <c r="A28" s="49" t="s">
        <v>66</v>
      </c>
      <c r="B28" s="50">
        <f>MIN(VLOOKUP($A28,'Mass Equivalents - States, Opt1'!$A$8:$AP$56,31,0)*VLOOKUP($A28,'Mass Equivalents - States, Opt1'!$A$8:$AP$56,42,0),VLOOKUP($A28,'Mass Equivalents - States, Opt1'!$A$8:$AP$56,31,0)*VLOOKUP($A28,'Mass Equivalents - States, Opt1'!$A$8:$AP$56,42)*VLOOKUP($A28,'Mass Equivalents - States, Opt1'!$A$8:$AP$56,41,0))</f>
        <v>1389153.5500091459</v>
      </c>
      <c r="C28" s="50">
        <f>MIN(VLOOKUP($A28,'Mass Equivalents - States, Opt1'!$A$8:$AP$56,32,0)*VLOOKUP($A28,'Mass Equivalents - States, Opt1'!$A$8:$AP$56,42,0),VLOOKUP($A28,'Mass Equivalents - States, Opt1'!$A$8:$AP$56,32,0)*VLOOKUP($A28,'Mass Equivalents - States, Opt1'!$A$8:$AP$56,42)*VLOOKUP($A28,'Mass Equivalents - States, Opt1'!$A$8:$AP$56,41,0))</f>
        <v>2100406.7764213672</v>
      </c>
      <c r="D28" s="50">
        <f>MIN(VLOOKUP($A28,'Mass Equivalents - States, Opt1'!$A$8:$AP$56,33,0)*VLOOKUP($A28,'Mass Equivalents - States, Opt1'!$A$8:$AP$56,42,0),VLOOKUP($A28,'Mass Equivalents - States, Opt1'!$A$8:$AP$56,33,0)*VLOOKUP($A28,'Mass Equivalents - States, Opt1'!$A$8:$AP$56,42)*VLOOKUP($A28,'Mass Equivalents - States, Opt1'!$A$8:$AP$56,41,0))</f>
        <v>2931854.1548307627</v>
      </c>
      <c r="E28" s="50">
        <f>MIN(VLOOKUP($A28,'Mass Equivalents - States, Opt1'!$A$8:$AP$56,34,0)*VLOOKUP($A28,'Mass Equivalents - States, Opt1'!$A$8:$AP$56,42,0),VLOOKUP($A28,'Mass Equivalents - States, Opt1'!$A$8:$AP$56,34,0)*VLOOKUP($A28,'Mass Equivalents - States, Opt1'!$A$8:$AP$56,42)*VLOOKUP($A28,'Mass Equivalents - States, Opt1'!$A$8:$AP$56,41,0))</f>
        <v>3870080.5212819059</v>
      </c>
      <c r="F28" s="50">
        <f>MIN(VLOOKUP($A28,'Mass Equivalents - States, Opt1'!$A$8:$AP$56,35,0)*VLOOKUP($A28,'Mass Equivalents - States, Opt1'!$A$8:$AP$56,42,0),VLOOKUP($A28,'Mass Equivalents - States, Opt1'!$A$8:$AP$56,35,0)*VLOOKUP($A28,'Mass Equivalents - States, Opt1'!$A$8:$AP$56,42)*VLOOKUP($A28,'Mass Equivalents - States, Opt1'!$A$8:$AP$56,41,0))</f>
        <v>4885001.9589720955</v>
      </c>
      <c r="G28" s="50">
        <f>MIN(VLOOKUP($A28,'Mass Equivalents - States, Opt1'!$A$8:$AP$56,36,0)*VLOOKUP($A28,'Mass Equivalents - States, Opt1'!$A$8:$AP$56,42,0),VLOOKUP($A28,'Mass Equivalents - States, Opt1'!$A$8:$AP$56,36,0)*VLOOKUP($A28,'Mass Equivalents - States, Opt1'!$A$8:$AP$56,42)*VLOOKUP($A28,'Mass Equivalents - States, Opt1'!$A$8:$AP$56,41,0))</f>
        <v>5815128.4003930455</v>
      </c>
      <c r="H28" s="50">
        <f>MIN(VLOOKUP($A28,'Mass Equivalents - States, Opt1'!$A$8:$AP$56,37,0)*VLOOKUP($A28,'Mass Equivalents - States, Opt1'!$A$8:$AP$56,42,0),VLOOKUP($A28,'Mass Equivalents - States, Opt1'!$A$8:$AP$56,37,0)*VLOOKUP($A28,'Mass Equivalents - States, Opt1'!$A$8:$AP$56,42)*VLOOKUP($A28,'Mass Equivalents - States, Opt1'!$A$8:$AP$56,41,0))</f>
        <v>6663225.5897076065</v>
      </c>
      <c r="I28" s="50">
        <f>MIN(VLOOKUP($A28,'Mass Equivalents - States, Opt1'!$A$8:$AP$56,38,0)*VLOOKUP($A28,'Mass Equivalents - States, Opt1'!$A$8:$AP$56,42,0),VLOOKUP($A28,'Mass Equivalents - States, Opt1'!$A$8:$AP$56,38,0)*VLOOKUP($A28,'Mass Equivalents - States, Opt1'!$A$8:$AP$56,42)*VLOOKUP($A28,'Mass Equivalents - States, Opt1'!$A$8:$AP$56,41,0))</f>
        <v>7431933.4285338297</v>
      </c>
      <c r="J28" s="50">
        <f>MIN(VLOOKUP($A28,'Mass Equivalents - States, Opt1'!$A$8:$AP$56,39,0)*VLOOKUP($A28,'Mass Equivalents - States, Opt1'!$A$8:$AP$56,42,0),VLOOKUP($A28,'Mass Equivalents - States, Opt1'!$A$8:$AP$56,39,0)*VLOOKUP($A28,'Mass Equivalents - States, Opt1'!$A$8:$AP$56,42)*VLOOKUP($A28,'Mass Equivalents - States, Opt1'!$A$8:$AP$56,41,0))</f>
        <v>8123770.9487608755</v>
      </c>
      <c r="K28" s="46">
        <f>MIN(VLOOKUP($A28,'Mass Equivalents - States, Opt1'!$A$8:$AP$56,40,0)*VLOOKUP($A28,'Mass Equivalents - States, Opt1'!$A$8:$AP$56,42,0),VLOOKUP($A28,'Mass Equivalents - States, Opt1'!$A$8:$AP$56,40,0)*VLOOKUP($A28,'Mass Equivalents - States, Opt1'!$A$8:$AP$56,42)*VLOOKUP($A28,'Mass Equivalents - States, Opt1'!$A$8:$AP$56,41,0))</f>
        <v>8741141.0774491727</v>
      </c>
      <c r="N28" s="49" t="s">
        <v>66</v>
      </c>
      <c r="O28" s="50">
        <f>MIN(VLOOKUP($N28,'Mass Equivalents - States, Opt2'!$A$8:$AF$56,32,0)*VLOOKUP($N28,'Mass Equivalents - States, Opt2'!$A$8:$AF$56,31,0)*VLOOKUP($N28,'Mass Equivalents - States, Opt2'!$A$8:$AF$56,26,0),VLOOKUP($N28,'Mass Equivalents - States, Opt2'!$A$8:$AF$56,32,0)*VLOOKUP($N28,'Mass Equivalents - States, Opt2'!$A$8:$AF$56,26,0))</f>
        <v>1138439.4702397105</v>
      </c>
      <c r="P28" s="50">
        <f>MIN(VLOOKUP($N28,'Mass Equivalents - States, Opt2'!$A$8:$AF$56,32,0)*VLOOKUP($N28,'Mass Equivalents - States, Opt2'!$A$8:$AF$56,31,0)*VLOOKUP($N28,'Mass Equivalents - States, Opt2'!$A$8:$AF$56,27,0),VLOOKUP($N28,'Mass Equivalents - States, Opt2'!$A$8:$AF$56,32,0)*VLOOKUP($N28,'Mass Equivalents - States, Opt2'!$A$8:$AF$56,27,0))</f>
        <v>1693564.3533603619</v>
      </c>
      <c r="Q28" s="50">
        <f>MIN(VLOOKUP($N28,'Mass Equivalents - States, Opt2'!$A$8:$AF$56,32,0)*VLOOKUP($N28,'Mass Equivalents - States, Opt2'!$A$8:$AF$56,31,0)*VLOOKUP($N28,'Mass Equivalents - States, Opt2'!$A$8:$AF$56,28,0),VLOOKUP($N28,'Mass Equivalents - States, Opt2'!$A$8:$AF$56,32,0)*VLOOKUP($N28,'Mass Equivalents - States, Opt2'!$A$8:$AF$56,28,0))</f>
        <v>2338825.042982874</v>
      </c>
      <c r="R28" s="50">
        <f>MIN(VLOOKUP($N28,'Mass Equivalents - States, Opt2'!$A$8:$AF$56,32,0)*VLOOKUP($N28,'Mass Equivalents - States, Opt2'!$A$8:$AF$56,31,0)*VLOOKUP($N28,'Mass Equivalents - States, Opt2'!$A$8:$AF$56,29,0),VLOOKUP($N28,'Mass Equivalents - States, Opt2'!$A$8:$AF$56,32,0)*VLOOKUP($N28,'Mass Equivalents - States, Opt2'!$A$8:$AF$56,29,0))</f>
        <v>3048035.48564986</v>
      </c>
      <c r="S28" s="46">
        <f>MIN(VLOOKUP($N28,'Mass Equivalents - States, Opt2'!$A$8:$AF$56,32,0)*VLOOKUP($N28,'Mass Equivalents - States, Opt2'!$A$8:$AF$56,31,0)*VLOOKUP($N28,'Mass Equivalents - States, Opt2'!$A$8:$AF$56,30,0),VLOOKUP($N28,'Mass Equivalents - States, Opt2'!$A$8:$AF$56,32,0)*VLOOKUP($N28,'Mass Equivalents - States, Opt2'!$A$8:$AF$56,30,0))</f>
        <v>3702729.9546643249</v>
      </c>
    </row>
    <row r="29" spans="1:19" x14ac:dyDescent="0.25">
      <c r="A29" s="49" t="s">
        <v>67</v>
      </c>
      <c r="B29" s="50">
        <f>MIN(VLOOKUP($A29,'Mass Equivalents - States, Opt1'!$A$8:$AP$56,31,0)*VLOOKUP($A29,'Mass Equivalents - States, Opt1'!$A$8:$AP$56,42,0),VLOOKUP($A29,'Mass Equivalents - States, Opt1'!$A$8:$AP$56,31,0)*VLOOKUP($A29,'Mass Equivalents - States, Opt1'!$A$8:$AP$56,42)*VLOOKUP($A29,'Mass Equivalents - States, Opt1'!$A$8:$AP$56,41,0))</f>
        <v>501192.33548911387</v>
      </c>
      <c r="C29" s="50">
        <f>MIN(VLOOKUP($A29,'Mass Equivalents - States, Opt1'!$A$8:$AP$56,32,0)*VLOOKUP($A29,'Mass Equivalents - States, Opt1'!$A$8:$AP$56,42,0),VLOOKUP($A29,'Mass Equivalents - States, Opt1'!$A$8:$AP$56,32,0)*VLOOKUP($A29,'Mass Equivalents - States, Opt1'!$A$8:$AP$56,42)*VLOOKUP($A29,'Mass Equivalents - States, Opt1'!$A$8:$AP$56,41,0))</f>
        <v>672487.37549956574</v>
      </c>
      <c r="D29" s="50">
        <f>MIN(VLOOKUP($A29,'Mass Equivalents - States, Opt1'!$A$8:$AP$56,33,0)*VLOOKUP($A29,'Mass Equivalents - States, Opt1'!$A$8:$AP$56,42,0),VLOOKUP($A29,'Mass Equivalents - States, Opt1'!$A$8:$AP$56,33,0)*VLOOKUP($A29,'Mass Equivalents - States, Opt1'!$A$8:$AP$56,42)*VLOOKUP($A29,'Mass Equivalents - States, Opt1'!$A$8:$AP$56,41,0))</f>
        <v>839122.33301342174</v>
      </c>
      <c r="E29" s="50">
        <f>MIN(VLOOKUP($A29,'Mass Equivalents - States, Opt1'!$A$8:$AP$56,34,0)*VLOOKUP($A29,'Mass Equivalents - States, Opt1'!$A$8:$AP$56,42,0),VLOOKUP($A29,'Mass Equivalents - States, Opt1'!$A$8:$AP$56,34,0)*VLOOKUP($A29,'Mass Equivalents - States, Opt1'!$A$8:$AP$56,42)*VLOOKUP($A29,'Mass Equivalents - States, Opt1'!$A$8:$AP$56,41,0))</f>
        <v>991023.68813422939</v>
      </c>
      <c r="F29" s="50">
        <f>MIN(VLOOKUP($A29,'Mass Equivalents - States, Opt1'!$A$8:$AP$56,35,0)*VLOOKUP($A29,'Mass Equivalents - States, Opt1'!$A$8:$AP$56,42,0),VLOOKUP($A29,'Mass Equivalents - States, Opt1'!$A$8:$AP$56,35,0)*VLOOKUP($A29,'Mass Equivalents - States, Opt1'!$A$8:$AP$56,42)*VLOOKUP($A29,'Mass Equivalents - States, Opt1'!$A$8:$AP$56,41,0))</f>
        <v>1128784.2334676357</v>
      </c>
      <c r="G29" s="50">
        <f>MIN(VLOOKUP($A29,'Mass Equivalents - States, Opt1'!$A$8:$AP$56,36,0)*VLOOKUP($A29,'Mass Equivalents - States, Opt1'!$A$8:$AP$56,42,0),VLOOKUP($A29,'Mass Equivalents - States, Opt1'!$A$8:$AP$56,36,0)*VLOOKUP($A29,'Mass Equivalents - States, Opt1'!$A$8:$AP$56,42)*VLOOKUP($A29,'Mass Equivalents - States, Opt1'!$A$8:$AP$56,41,0))</f>
        <v>1252968.5920574442</v>
      </c>
      <c r="H29" s="50">
        <f>MIN(VLOOKUP($A29,'Mass Equivalents - States, Opt1'!$A$8:$AP$56,37,0)*VLOOKUP($A29,'Mass Equivalents - States, Opt1'!$A$8:$AP$56,42,0),VLOOKUP($A29,'Mass Equivalents - States, Opt1'!$A$8:$AP$56,37,0)*VLOOKUP($A29,'Mass Equivalents - States, Opt1'!$A$8:$AP$56,42)*VLOOKUP($A29,'Mass Equivalents - States, Opt1'!$A$8:$AP$56,41,0))</f>
        <v>1364114.4982598575</v>
      </c>
      <c r="I29" s="50">
        <f>MIN(VLOOKUP($A29,'Mass Equivalents - States, Opt1'!$A$8:$AP$56,38,0)*VLOOKUP($A29,'Mass Equivalents - States, Opt1'!$A$8:$AP$56,42,0),VLOOKUP($A29,'Mass Equivalents - States, Opt1'!$A$8:$AP$56,38,0)*VLOOKUP($A29,'Mass Equivalents - States, Opt1'!$A$8:$AP$56,42)*VLOOKUP($A29,'Mass Equivalents - States, Opt1'!$A$8:$AP$56,41,0))</f>
        <v>1462734.0197224882</v>
      </c>
      <c r="J29" s="50">
        <f>MIN(VLOOKUP($A29,'Mass Equivalents - States, Opt1'!$A$8:$AP$56,39,0)*VLOOKUP($A29,'Mass Equivalents - States, Opt1'!$A$8:$AP$56,42,0),VLOOKUP($A29,'Mass Equivalents - States, Opt1'!$A$8:$AP$56,39,0)*VLOOKUP($A29,'Mass Equivalents - States, Opt1'!$A$8:$AP$56,42)*VLOOKUP($A29,'Mass Equivalents - States, Opt1'!$A$8:$AP$56,41,0))</f>
        <v>1549314.7231684434</v>
      </c>
      <c r="K29" s="46">
        <f>MIN(VLOOKUP($A29,'Mass Equivalents - States, Opt1'!$A$8:$AP$56,40,0)*VLOOKUP($A29,'Mass Equivalents - States, Opt1'!$A$8:$AP$56,42,0),VLOOKUP($A29,'Mass Equivalents - States, Opt1'!$A$8:$AP$56,40,0)*VLOOKUP($A29,'Mass Equivalents - States, Opt1'!$A$8:$AP$56,42)*VLOOKUP($A29,'Mass Equivalents - States, Opt1'!$A$8:$AP$56,41,0))</f>
        <v>1624320.7865618805</v>
      </c>
      <c r="N29" s="49" t="s">
        <v>67</v>
      </c>
      <c r="O29" s="50">
        <f>MIN(VLOOKUP($N29,'Mass Equivalents - States, Opt2'!$A$8:$AF$56,32,0)*VLOOKUP($N29,'Mass Equivalents - States, Opt2'!$A$8:$AF$56,31,0)*VLOOKUP($N29,'Mass Equivalents - States, Opt2'!$A$8:$AF$56,26,0),VLOOKUP($N29,'Mass Equivalents - States, Opt2'!$A$8:$AF$56,32,0)*VLOOKUP($N29,'Mass Equivalents - States, Opt2'!$A$8:$AF$56,26,0))</f>
        <v>448133.07783994201</v>
      </c>
      <c r="P29" s="50">
        <f>MIN(VLOOKUP($N29,'Mass Equivalents - States, Opt2'!$A$8:$AF$56,32,0)*VLOOKUP($N29,'Mass Equivalents - States, Opt2'!$A$8:$AF$56,31,0)*VLOOKUP($N29,'Mass Equivalents - States, Opt2'!$A$8:$AF$56,27,0),VLOOKUP($N29,'Mass Equivalents - States, Opt2'!$A$8:$AF$56,32,0)*VLOOKUP($N29,'Mass Equivalents - States, Opt2'!$A$8:$AF$56,27,0))</f>
        <v>561892.19438773696</v>
      </c>
      <c r="Q29" s="50">
        <f>MIN(VLOOKUP($N29,'Mass Equivalents - States, Opt2'!$A$8:$AF$56,32,0)*VLOOKUP($N29,'Mass Equivalents - States, Opt2'!$A$8:$AF$56,31,0)*VLOOKUP($N29,'Mass Equivalents - States, Opt2'!$A$8:$AF$56,28,0),VLOOKUP($N29,'Mass Equivalents - States, Opt2'!$A$8:$AF$56,32,0)*VLOOKUP($N29,'Mass Equivalents - States, Opt2'!$A$8:$AF$56,28,0))</f>
        <v>666206.70535200473</v>
      </c>
      <c r="R29" s="50">
        <f>MIN(VLOOKUP($N29,'Mass Equivalents - States, Opt2'!$A$8:$AF$56,32,0)*VLOOKUP($N29,'Mass Equivalents - States, Opt2'!$A$8:$AF$56,31,0)*VLOOKUP($N29,'Mass Equivalents - States, Opt2'!$A$8:$AF$56,29,0),VLOOKUP($N29,'Mass Equivalents - States, Opt2'!$A$8:$AF$56,32,0)*VLOOKUP($N29,'Mass Equivalents - States, Opt2'!$A$8:$AF$56,29,0))</f>
        <v>761389.64506718074</v>
      </c>
      <c r="S29" s="46">
        <f>MIN(VLOOKUP($N29,'Mass Equivalents - States, Opt2'!$A$8:$AF$56,32,0)*VLOOKUP($N29,'Mass Equivalents - States, Opt2'!$A$8:$AF$56,31,0)*VLOOKUP($N29,'Mass Equivalents - States, Opt2'!$A$8:$AF$56,30,0),VLOOKUP($N29,'Mass Equivalents - States, Opt2'!$A$8:$AF$56,32,0)*VLOOKUP($N29,'Mass Equivalents - States, Opt2'!$A$8:$AF$56,30,0))</f>
        <v>847741.81377405976</v>
      </c>
    </row>
    <row r="30" spans="1:19" x14ac:dyDescent="0.25">
      <c r="A30" s="49" t="s">
        <v>68</v>
      </c>
      <c r="B30" s="50">
        <f>MIN(VLOOKUP($A30,'Mass Equivalents - States, Opt1'!$A$8:$AP$56,31,0)*VLOOKUP($A30,'Mass Equivalents - States, Opt1'!$A$8:$AP$56,42,0),VLOOKUP($A30,'Mass Equivalents - States, Opt1'!$A$8:$AP$56,31,0)*VLOOKUP($A30,'Mass Equivalents - States, Opt1'!$A$8:$AP$56,42)*VLOOKUP($A30,'Mass Equivalents - States, Opt1'!$A$8:$AP$56,41,0))</f>
        <v>727994.94803933077</v>
      </c>
      <c r="C30" s="50">
        <f>MIN(VLOOKUP($A30,'Mass Equivalents - States, Opt1'!$A$8:$AP$56,32,0)*VLOOKUP($A30,'Mass Equivalents - States, Opt1'!$A$8:$AP$56,42,0),VLOOKUP($A30,'Mass Equivalents - States, Opt1'!$A$8:$AP$56,32,0)*VLOOKUP($A30,'Mass Equivalents - States, Opt1'!$A$8:$AP$56,42)*VLOOKUP($A30,'Mass Equivalents - States, Opt1'!$A$8:$AP$56,41,0))</f>
        <v>1036240.665927788</v>
      </c>
      <c r="D30" s="50">
        <f>MIN(VLOOKUP($A30,'Mass Equivalents - States, Opt1'!$A$8:$AP$56,33,0)*VLOOKUP($A30,'Mass Equivalents - States, Opt1'!$A$8:$AP$56,42,0),VLOOKUP($A30,'Mass Equivalents - States, Opt1'!$A$8:$AP$56,33,0)*VLOOKUP($A30,'Mass Equivalents - States, Opt1'!$A$8:$AP$56,42)*VLOOKUP($A30,'Mass Equivalents - States, Opt1'!$A$8:$AP$56,41,0))</f>
        <v>1385099.4501158239</v>
      </c>
      <c r="E30" s="50">
        <f>MIN(VLOOKUP($A30,'Mass Equivalents - States, Opt1'!$A$8:$AP$56,34,0)*VLOOKUP($A30,'Mass Equivalents - States, Opt1'!$A$8:$AP$56,42,0),VLOOKUP($A30,'Mass Equivalents - States, Opt1'!$A$8:$AP$56,34,0)*VLOOKUP($A30,'Mass Equivalents - States, Opt1'!$A$8:$AP$56,42)*VLOOKUP($A30,'Mass Equivalents - States, Opt1'!$A$8:$AP$56,41,0))</f>
        <v>1769453.1449874993</v>
      </c>
      <c r="F30" s="50">
        <f>MIN(VLOOKUP($A30,'Mass Equivalents - States, Opt1'!$A$8:$AP$56,35,0)*VLOOKUP($A30,'Mass Equivalents - States, Opt1'!$A$8:$AP$56,42,0),VLOOKUP($A30,'Mass Equivalents - States, Opt1'!$A$8:$AP$56,35,0)*VLOOKUP($A30,'Mass Equivalents - States, Opt1'!$A$8:$AP$56,42)*VLOOKUP($A30,'Mass Equivalents - States, Opt1'!$A$8:$AP$56,41,0))</f>
        <v>2123759.6333833816</v>
      </c>
      <c r="G30" s="50">
        <f>MIN(VLOOKUP($A30,'Mass Equivalents - States, Opt1'!$A$8:$AP$56,36,0)*VLOOKUP($A30,'Mass Equivalents - States, Opt1'!$A$8:$AP$56,42,0),VLOOKUP($A30,'Mass Equivalents - States, Opt1'!$A$8:$AP$56,36,0)*VLOOKUP($A30,'Mass Equivalents - States, Opt1'!$A$8:$AP$56,42)*VLOOKUP($A30,'Mass Equivalents - States, Opt1'!$A$8:$AP$56,41,0))</f>
        <v>2446928.7883325997</v>
      </c>
      <c r="H30" s="50">
        <f>MIN(VLOOKUP($A30,'Mass Equivalents - States, Opt1'!$A$8:$AP$56,37,0)*VLOOKUP($A30,'Mass Equivalents - States, Opt1'!$A$8:$AP$56,42,0),VLOOKUP($A30,'Mass Equivalents - States, Opt1'!$A$8:$AP$56,37,0)*VLOOKUP($A30,'Mass Equivalents - States, Opt1'!$A$8:$AP$56,42)*VLOOKUP($A30,'Mass Equivalents - States, Opt1'!$A$8:$AP$56,41,0))</f>
        <v>2739998.999259287</v>
      </c>
      <c r="I30" s="50">
        <f>MIN(VLOOKUP($A30,'Mass Equivalents - States, Opt1'!$A$8:$AP$56,38,0)*VLOOKUP($A30,'Mass Equivalents - States, Opt1'!$A$8:$AP$56,42,0),VLOOKUP($A30,'Mass Equivalents - States, Opt1'!$A$8:$AP$56,38,0)*VLOOKUP($A30,'Mass Equivalents - States, Opt1'!$A$8:$AP$56,42)*VLOOKUP($A30,'Mass Equivalents - States, Opt1'!$A$8:$AP$56,41,0))</f>
        <v>3003961.054413924</v>
      </c>
      <c r="J30" s="50">
        <f>MIN(VLOOKUP($A30,'Mass Equivalents - States, Opt1'!$A$8:$AP$56,39,0)*VLOOKUP($A30,'Mass Equivalents - States, Opt1'!$A$8:$AP$56,42,0),VLOOKUP($A30,'Mass Equivalents - States, Opt1'!$A$8:$AP$56,39,0)*VLOOKUP($A30,'Mass Equivalents - States, Opt1'!$A$8:$AP$56,42)*VLOOKUP($A30,'Mass Equivalents - States, Opt1'!$A$8:$AP$56,41,0))</f>
        <v>3239760.061815544</v>
      </c>
      <c r="K30" s="46">
        <f>MIN(VLOOKUP($A30,'Mass Equivalents - States, Opt1'!$A$8:$AP$56,40,0)*VLOOKUP($A30,'Mass Equivalents - States, Opt1'!$A$8:$AP$56,42,0),VLOOKUP($A30,'Mass Equivalents - States, Opt1'!$A$8:$AP$56,40,0)*VLOOKUP($A30,'Mass Equivalents - States, Opt1'!$A$8:$AP$56,42)*VLOOKUP($A30,'Mass Equivalents - States, Opt1'!$A$8:$AP$56,41,0))</f>
        <v>3448297.2888495494</v>
      </c>
      <c r="N30" s="49" t="s">
        <v>68</v>
      </c>
      <c r="O30" s="50">
        <f>MIN(VLOOKUP($N30,'Mass Equivalents - States, Opt2'!$A$8:$AF$56,32,0)*VLOOKUP($N30,'Mass Equivalents - States, Opt2'!$A$8:$AF$56,31,0)*VLOOKUP($N30,'Mass Equivalents - States, Opt2'!$A$8:$AF$56,26,0),VLOOKUP($N30,'Mass Equivalents - States, Opt2'!$A$8:$AF$56,32,0)*VLOOKUP($N30,'Mass Equivalents - States, Opt2'!$A$8:$AF$56,26,0))</f>
        <v>634320.73873236857</v>
      </c>
      <c r="P30" s="50">
        <f>MIN(VLOOKUP($N30,'Mass Equivalents - States, Opt2'!$A$8:$AF$56,32,0)*VLOOKUP($N30,'Mass Equivalents - States, Opt2'!$A$8:$AF$56,31,0)*VLOOKUP($N30,'Mass Equivalents - States, Opt2'!$A$8:$AF$56,27,0),VLOOKUP($N30,'Mass Equivalents - States, Opt2'!$A$8:$AF$56,32,0)*VLOOKUP($N30,'Mass Equivalents - States, Opt2'!$A$8:$AF$56,27,0))</f>
        <v>884506.4728470688</v>
      </c>
      <c r="Q30" s="50">
        <f>MIN(VLOOKUP($N30,'Mass Equivalents - States, Opt2'!$A$8:$AF$56,32,0)*VLOOKUP($N30,'Mass Equivalents - States, Opt2'!$A$8:$AF$56,31,0)*VLOOKUP($N30,'Mass Equivalents - States, Opt2'!$A$8:$AF$56,28,0),VLOOKUP($N30,'Mass Equivalents - States, Opt2'!$A$8:$AF$56,32,0)*VLOOKUP($N30,'Mass Equivalents - States, Opt2'!$A$8:$AF$56,28,0))</f>
        <v>1150326.83305555</v>
      </c>
      <c r="R30" s="50">
        <f>MIN(VLOOKUP($N30,'Mass Equivalents - States, Opt2'!$A$8:$AF$56,32,0)*VLOOKUP($N30,'Mass Equivalents - States, Opt2'!$A$8:$AF$56,31,0)*VLOOKUP($N30,'Mass Equivalents - States, Opt2'!$A$8:$AF$56,29,0),VLOOKUP($N30,'Mass Equivalents - States, Opt2'!$A$8:$AF$56,32,0)*VLOOKUP($N30,'Mass Equivalents - States, Opt2'!$A$8:$AF$56,29,0))</f>
        <v>1395544.8257619666</v>
      </c>
      <c r="S30" s="46">
        <f>MIN(VLOOKUP($N30,'Mass Equivalents - States, Opt2'!$A$8:$AF$56,32,0)*VLOOKUP($N30,'Mass Equivalents - States, Opt2'!$A$8:$AF$56,31,0)*VLOOKUP($N30,'Mass Equivalents - States, Opt2'!$A$8:$AF$56,30,0),VLOOKUP($N30,'Mass Equivalents - States, Opt2'!$A$8:$AF$56,32,0)*VLOOKUP($N30,'Mass Equivalents - States, Opt2'!$A$8:$AF$56,30,0))</f>
        <v>1620704.0631988191</v>
      </c>
    </row>
    <row r="31" spans="1:19" x14ac:dyDescent="0.25">
      <c r="A31" s="49" t="s">
        <v>69</v>
      </c>
      <c r="B31" s="50">
        <f>MIN(VLOOKUP($A31,'Mass Equivalents - States, Opt1'!$A$8:$AP$56,31,0)*VLOOKUP($A31,'Mass Equivalents - States, Opt1'!$A$8:$AP$56,42,0),VLOOKUP($A31,'Mass Equivalents - States, Opt1'!$A$8:$AP$56,31,0)*VLOOKUP($A31,'Mass Equivalents - States, Opt1'!$A$8:$AP$56,42)*VLOOKUP($A31,'Mass Equivalents - States, Opt1'!$A$8:$AP$56,41,0))</f>
        <v>1079317.5318520113</v>
      </c>
      <c r="C31" s="50">
        <f>MIN(VLOOKUP($A31,'Mass Equivalents - States, Opt1'!$A$8:$AP$56,32,0)*VLOOKUP($A31,'Mass Equivalents - States, Opt1'!$A$8:$AP$56,42,0),VLOOKUP($A31,'Mass Equivalents - States, Opt1'!$A$8:$AP$56,32,0)*VLOOKUP($A31,'Mass Equivalents - States, Opt1'!$A$8:$AP$56,42)*VLOOKUP($A31,'Mass Equivalents - States, Opt1'!$A$8:$AP$56,41,0))</f>
        <v>1470420.6950540466</v>
      </c>
      <c r="D31" s="50">
        <f>MIN(VLOOKUP($A31,'Mass Equivalents - States, Opt1'!$A$8:$AP$56,33,0)*VLOOKUP($A31,'Mass Equivalents - States, Opt1'!$A$8:$AP$56,42,0),VLOOKUP($A31,'Mass Equivalents - States, Opt1'!$A$8:$AP$56,33,0)*VLOOKUP($A31,'Mass Equivalents - States, Opt1'!$A$8:$AP$56,42)*VLOOKUP($A31,'Mass Equivalents - States, Opt1'!$A$8:$AP$56,41,0))</f>
        <v>1894040.3899893458</v>
      </c>
      <c r="E31" s="50">
        <f>MIN(VLOOKUP($A31,'Mass Equivalents - States, Opt1'!$A$8:$AP$56,34,0)*VLOOKUP($A31,'Mass Equivalents - States, Opt1'!$A$8:$AP$56,42,0),VLOOKUP($A31,'Mass Equivalents - States, Opt1'!$A$8:$AP$56,34,0)*VLOOKUP($A31,'Mass Equivalents - States, Opt1'!$A$8:$AP$56,42)*VLOOKUP($A31,'Mass Equivalents - States, Opt1'!$A$8:$AP$56,41,0))</f>
        <v>2280913.6680900515</v>
      </c>
      <c r="F31" s="50">
        <f>MIN(VLOOKUP($A31,'Mass Equivalents - States, Opt1'!$A$8:$AP$56,35,0)*VLOOKUP($A31,'Mass Equivalents - States, Opt1'!$A$8:$AP$56,42,0),VLOOKUP($A31,'Mass Equivalents - States, Opt1'!$A$8:$AP$56,35,0)*VLOOKUP($A31,'Mass Equivalents - States, Opt1'!$A$8:$AP$56,42)*VLOOKUP($A31,'Mass Equivalents - States, Opt1'!$A$8:$AP$56,41,0))</f>
        <v>2632523.3025354105</v>
      </c>
      <c r="G31" s="50">
        <f>MIN(VLOOKUP($A31,'Mass Equivalents - States, Opt1'!$A$8:$AP$56,36,0)*VLOOKUP($A31,'Mass Equivalents - States, Opt1'!$A$8:$AP$56,42,0),VLOOKUP($A31,'Mass Equivalents - States, Opt1'!$A$8:$AP$56,36,0)*VLOOKUP($A31,'Mass Equivalents - States, Opt1'!$A$8:$AP$56,42)*VLOOKUP($A31,'Mass Equivalents - States, Opt1'!$A$8:$AP$56,41,0))</f>
        <v>2950281.6626809496</v>
      </c>
      <c r="H31" s="50">
        <f>MIN(VLOOKUP($A31,'Mass Equivalents - States, Opt1'!$A$8:$AP$56,37,0)*VLOOKUP($A31,'Mass Equivalents - States, Opt1'!$A$8:$AP$56,42,0),VLOOKUP($A31,'Mass Equivalents - States, Opt1'!$A$8:$AP$56,37,0)*VLOOKUP($A31,'Mass Equivalents - States, Opt1'!$A$8:$AP$56,42)*VLOOKUP($A31,'Mass Equivalents - States, Opt1'!$A$8:$AP$56,41,0))</f>
        <v>3235533.9159841677</v>
      </c>
      <c r="I31" s="50">
        <f>MIN(VLOOKUP($A31,'Mass Equivalents - States, Opt1'!$A$8:$AP$56,38,0)*VLOOKUP($A31,'Mass Equivalents - States, Opt1'!$A$8:$AP$56,42,0),VLOOKUP($A31,'Mass Equivalents - States, Opt1'!$A$8:$AP$56,38,0)*VLOOKUP($A31,'Mass Equivalents - States, Opt1'!$A$8:$AP$56,42)*VLOOKUP($A31,'Mass Equivalents - States, Opt1'!$A$8:$AP$56,41,0))</f>
        <v>3489561.08271184</v>
      </c>
      <c r="J31" s="50">
        <f>MIN(VLOOKUP($A31,'Mass Equivalents - States, Opt1'!$A$8:$AP$56,39,0)*VLOOKUP($A31,'Mass Equivalents - States, Opt1'!$A$8:$AP$56,42,0),VLOOKUP($A31,'Mass Equivalents - States, Opt1'!$A$8:$AP$56,39,0)*VLOOKUP($A31,'Mass Equivalents - States, Opt1'!$A$8:$AP$56,42)*VLOOKUP($A31,'Mass Equivalents - States, Opt1'!$A$8:$AP$56,41,0))</f>
        <v>3713582.9501788556</v>
      </c>
      <c r="K31" s="46">
        <f>MIN(VLOOKUP($A31,'Mass Equivalents - States, Opt1'!$A$8:$AP$56,40,0)*VLOOKUP($A31,'Mass Equivalents - States, Opt1'!$A$8:$AP$56,42,0),VLOOKUP($A31,'Mass Equivalents - States, Opt1'!$A$8:$AP$56,40,0)*VLOOKUP($A31,'Mass Equivalents - States, Opt1'!$A$8:$AP$56,42)*VLOOKUP($A31,'Mass Equivalents - States, Opt1'!$A$8:$AP$56,41,0))</f>
        <v>3908760.8529588408</v>
      </c>
      <c r="N31" s="49" t="s">
        <v>69</v>
      </c>
      <c r="O31" s="50">
        <f>MIN(VLOOKUP($N31,'Mass Equivalents - States, Opt2'!$A$8:$AF$56,32,0)*VLOOKUP($N31,'Mass Equivalents - States, Opt2'!$A$8:$AF$56,31,0)*VLOOKUP($N31,'Mass Equivalents - States, Opt2'!$A$8:$AF$56,26,0),VLOOKUP($N31,'Mass Equivalents - States, Opt2'!$A$8:$AF$56,32,0)*VLOOKUP($N31,'Mass Equivalents - States, Opt2'!$A$8:$AF$56,26,0))</f>
        <v>977347.72505199059</v>
      </c>
      <c r="P31" s="50">
        <f>MIN(VLOOKUP($N31,'Mass Equivalents - States, Opt2'!$A$8:$AF$56,32,0)*VLOOKUP($N31,'Mass Equivalents - States, Opt2'!$A$8:$AF$56,31,0)*VLOOKUP($N31,'Mass Equivalents - States, Opt2'!$A$8:$AF$56,27,0),VLOOKUP($N31,'Mass Equivalents - States, Opt2'!$A$8:$AF$56,32,0)*VLOOKUP($N31,'Mass Equivalents - States, Opt2'!$A$8:$AF$56,27,0))</f>
        <v>1265827.9001156897</v>
      </c>
      <c r="Q31" s="50">
        <f>MIN(VLOOKUP($N31,'Mass Equivalents - States, Opt2'!$A$8:$AF$56,32,0)*VLOOKUP($N31,'Mass Equivalents - States, Opt2'!$A$8:$AF$56,31,0)*VLOOKUP($N31,'Mass Equivalents - States, Opt2'!$A$8:$AF$56,28,0),VLOOKUP($N31,'Mass Equivalents - States, Opt2'!$A$8:$AF$56,32,0)*VLOOKUP($N31,'Mass Equivalents - States, Opt2'!$A$8:$AF$56,28,0))</f>
        <v>1530824.6125879295</v>
      </c>
      <c r="R31" s="50">
        <f>MIN(VLOOKUP($N31,'Mass Equivalents - States, Opt2'!$A$8:$AF$56,32,0)*VLOOKUP($N31,'Mass Equivalents - States, Opt2'!$A$8:$AF$56,31,0)*VLOOKUP($N31,'Mass Equivalents - States, Opt2'!$A$8:$AF$56,29,0),VLOOKUP($N31,'Mass Equivalents - States, Opt2'!$A$8:$AF$56,32,0)*VLOOKUP($N31,'Mass Equivalents - States, Opt2'!$A$8:$AF$56,29,0))</f>
        <v>1773118.0467626334</v>
      </c>
      <c r="S31" s="46">
        <f>MIN(VLOOKUP($N31,'Mass Equivalents - States, Opt2'!$A$8:$AF$56,32,0)*VLOOKUP($N31,'Mass Equivalents - States, Opt2'!$A$8:$AF$56,31,0)*VLOOKUP($N31,'Mass Equivalents - States, Opt2'!$A$8:$AF$56,30,0),VLOOKUP($N31,'Mass Equivalents - States, Opt2'!$A$8:$AF$56,32,0)*VLOOKUP($N31,'Mass Equivalents - States, Opt2'!$A$8:$AF$56,30,0))</f>
        <v>1993457.913769549</v>
      </c>
    </row>
    <row r="32" spans="1:19" x14ac:dyDescent="0.25">
      <c r="A32" s="49" t="s">
        <v>70</v>
      </c>
      <c r="B32" s="50">
        <f>MIN(VLOOKUP($A32,'Mass Equivalents - States, Opt1'!$A$8:$AP$56,31,0)*VLOOKUP($A32,'Mass Equivalents - States, Opt1'!$A$8:$AP$56,42,0),VLOOKUP($A32,'Mass Equivalents - States, Opt1'!$A$8:$AP$56,31,0)*VLOOKUP($A32,'Mass Equivalents - States, Opt1'!$A$8:$AP$56,42)*VLOOKUP($A32,'Mass Equivalents - States, Opt1'!$A$8:$AP$56,41,0))</f>
        <v>331811.25343984173</v>
      </c>
      <c r="C32" s="50">
        <f>MIN(VLOOKUP($A32,'Mass Equivalents - States, Opt1'!$A$8:$AP$56,32,0)*VLOOKUP($A32,'Mass Equivalents - States, Opt1'!$A$8:$AP$56,42,0),VLOOKUP($A32,'Mass Equivalents - States, Opt1'!$A$8:$AP$56,32,0)*VLOOKUP($A32,'Mass Equivalents - States, Opt1'!$A$8:$AP$56,42)*VLOOKUP($A32,'Mass Equivalents - States, Opt1'!$A$8:$AP$56,41,0))</f>
        <v>456248.30712995818</v>
      </c>
      <c r="D32" s="50">
        <f>MIN(VLOOKUP($A32,'Mass Equivalents - States, Opt1'!$A$8:$AP$56,33,0)*VLOOKUP($A32,'Mass Equivalents - States, Opt1'!$A$8:$AP$56,42,0),VLOOKUP($A32,'Mass Equivalents - States, Opt1'!$A$8:$AP$56,33,0)*VLOOKUP($A32,'Mass Equivalents - States, Opt1'!$A$8:$AP$56,42)*VLOOKUP($A32,'Mass Equivalents - States, Opt1'!$A$8:$AP$56,41,0))</f>
        <v>593741.13622183888</v>
      </c>
      <c r="E32" s="50">
        <f>MIN(VLOOKUP($A32,'Mass Equivalents - States, Opt1'!$A$8:$AP$56,34,0)*VLOOKUP($A32,'Mass Equivalents - States, Opt1'!$A$8:$AP$56,42,0),VLOOKUP($A32,'Mass Equivalents - States, Opt1'!$A$8:$AP$56,34,0)*VLOOKUP($A32,'Mass Equivalents - States, Opt1'!$A$8:$AP$56,42)*VLOOKUP($A32,'Mass Equivalents - States, Opt1'!$A$8:$AP$56,41,0))</f>
        <v>723797.17938343226</v>
      </c>
      <c r="F32" s="50">
        <f>MIN(VLOOKUP($A32,'Mass Equivalents - States, Opt1'!$A$8:$AP$56,35,0)*VLOOKUP($A32,'Mass Equivalents - States, Opt1'!$A$8:$AP$56,42,0),VLOOKUP($A32,'Mass Equivalents - States, Opt1'!$A$8:$AP$56,35,0)*VLOOKUP($A32,'Mass Equivalents - States, Opt1'!$A$8:$AP$56,42)*VLOOKUP($A32,'Mass Equivalents - States, Opt1'!$A$8:$AP$56,41,0))</f>
        <v>842978.6440759612</v>
      </c>
      <c r="G32" s="50">
        <f>MIN(VLOOKUP($A32,'Mass Equivalents - States, Opt1'!$A$8:$AP$56,36,0)*VLOOKUP($A32,'Mass Equivalents - States, Opt1'!$A$8:$AP$56,42,0),VLOOKUP($A32,'Mass Equivalents - States, Opt1'!$A$8:$AP$56,36,0)*VLOOKUP($A32,'Mass Equivalents - States, Opt1'!$A$8:$AP$56,42)*VLOOKUP($A32,'Mass Equivalents - States, Opt1'!$A$8:$AP$56,41,0))</f>
        <v>951593.23841415811</v>
      </c>
      <c r="H32" s="50">
        <f>MIN(VLOOKUP($A32,'Mass Equivalents - States, Opt1'!$A$8:$AP$56,37,0)*VLOOKUP($A32,'Mass Equivalents - States, Opt1'!$A$8:$AP$56,42,0),VLOOKUP($A32,'Mass Equivalents - States, Opt1'!$A$8:$AP$56,37,0)*VLOOKUP($A32,'Mass Equivalents - States, Opt1'!$A$8:$AP$56,42)*VLOOKUP($A32,'Mass Equivalents - States, Opt1'!$A$8:$AP$56,41,0))</f>
        <v>1049934.578693901</v>
      </c>
      <c r="I32" s="50">
        <f>MIN(VLOOKUP($A32,'Mass Equivalents - States, Opt1'!$A$8:$AP$56,38,0)*VLOOKUP($A32,'Mass Equivalents - States, Opt1'!$A$8:$AP$56,42,0),VLOOKUP($A32,'Mass Equivalents - States, Opt1'!$A$8:$AP$56,38,0)*VLOOKUP($A32,'Mass Equivalents - States, Opt1'!$A$8:$AP$56,42)*VLOOKUP($A32,'Mass Equivalents - States, Opt1'!$A$8:$AP$56,41,0))</f>
        <v>1138282.6923042594</v>
      </c>
      <c r="J32" s="50">
        <f>MIN(VLOOKUP($A32,'Mass Equivalents - States, Opt1'!$A$8:$AP$56,39,0)*VLOOKUP($A32,'Mass Equivalents - States, Opt1'!$A$8:$AP$56,42,0),VLOOKUP($A32,'Mass Equivalents - States, Opt1'!$A$8:$AP$56,39,0)*VLOOKUP($A32,'Mass Equivalents - States, Opt1'!$A$8:$AP$56,42)*VLOOKUP($A32,'Mass Equivalents - States, Opt1'!$A$8:$AP$56,41,0))</f>
        <v>1216904.5003635599</v>
      </c>
      <c r="K32" s="46">
        <f>MIN(VLOOKUP($A32,'Mass Equivalents - States, Opt1'!$A$8:$AP$56,40,0)*VLOOKUP($A32,'Mass Equivalents - States, Opt1'!$A$8:$AP$56,42,0),VLOOKUP($A32,'Mass Equivalents - States, Opt1'!$A$8:$AP$56,40,0)*VLOOKUP($A32,'Mass Equivalents - States, Opt1'!$A$8:$AP$56,42)*VLOOKUP($A32,'Mass Equivalents - States, Opt1'!$A$8:$AP$56,41,0))</f>
        <v>1286054.2808481122</v>
      </c>
      <c r="N32" s="49" t="s">
        <v>70</v>
      </c>
      <c r="O32" s="50">
        <f>MIN(VLOOKUP($N32,'Mass Equivalents - States, Opt2'!$A$8:$AF$56,32,0)*VLOOKUP($N32,'Mass Equivalents - States, Opt2'!$A$8:$AF$56,31,0)*VLOOKUP($N32,'Mass Equivalents - States, Opt2'!$A$8:$AF$56,26,0),VLOOKUP($N32,'Mass Equivalents - States, Opt2'!$A$8:$AF$56,32,0)*VLOOKUP($N32,'Mass Equivalents - States, Opt2'!$A$8:$AF$56,26,0))</f>
        <v>298779.12102791021</v>
      </c>
      <c r="P32" s="50">
        <f>MIN(VLOOKUP($N32,'Mass Equivalents - States, Opt2'!$A$8:$AF$56,32,0)*VLOOKUP($N32,'Mass Equivalents - States, Opt2'!$A$8:$AF$56,31,0)*VLOOKUP($N32,'Mass Equivalents - States, Opt2'!$A$8:$AF$56,27,0),VLOOKUP($N32,'Mass Equivalents - States, Opt2'!$A$8:$AF$56,32,0)*VLOOKUP($N32,'Mass Equivalents - States, Opt2'!$A$8:$AF$56,27,0))</f>
        <v>394973.44555360934</v>
      </c>
      <c r="Q32" s="50">
        <f>MIN(VLOOKUP($N32,'Mass Equivalents - States, Opt2'!$A$8:$AF$56,32,0)*VLOOKUP($N32,'Mass Equivalents - States, Opt2'!$A$8:$AF$56,31,0)*VLOOKUP($N32,'Mass Equivalents - States, Opt2'!$A$8:$AF$56,28,0),VLOOKUP($N32,'Mass Equivalents - States, Opt2'!$A$8:$AF$56,32,0)*VLOOKUP($N32,'Mass Equivalents - States, Opt2'!$A$8:$AF$56,28,0))</f>
        <v>484066.72601479682</v>
      </c>
      <c r="R32" s="50">
        <f>MIN(VLOOKUP($N32,'Mass Equivalents - States, Opt2'!$A$8:$AF$56,32,0)*VLOOKUP($N32,'Mass Equivalents - States, Opt2'!$A$8:$AF$56,31,0)*VLOOKUP($N32,'Mass Equivalents - States, Opt2'!$A$8:$AF$56,29,0),VLOOKUP($N32,'Mass Equivalents - States, Opt2'!$A$8:$AF$56,32,0)*VLOOKUP($N32,'Mass Equivalents - States, Opt2'!$A$8:$AF$56,29,0))</f>
        <v>566208.74761321</v>
      </c>
      <c r="S32" s="46">
        <f>MIN(VLOOKUP($N32,'Mass Equivalents - States, Opt2'!$A$8:$AF$56,32,0)*VLOOKUP($N32,'Mass Equivalents - States, Opt2'!$A$8:$AF$56,31,0)*VLOOKUP($N32,'Mass Equivalents - States, Opt2'!$A$8:$AF$56,30,0),VLOOKUP($N32,'Mass Equivalents - States, Opt2'!$A$8:$AF$56,32,0)*VLOOKUP($N32,'Mass Equivalents - States, Opt2'!$A$8:$AF$56,30,0))</f>
        <v>641543.6133480455</v>
      </c>
    </row>
    <row r="33" spans="1:19" x14ac:dyDescent="0.25">
      <c r="A33" s="49" t="s">
        <v>71</v>
      </c>
      <c r="B33" s="50">
        <f>MIN(VLOOKUP($A33,'Mass Equivalents - States, Opt1'!$A$8:$AP$56,31,0)*VLOOKUP($A33,'Mass Equivalents - States, Opt1'!$A$8:$AP$56,42,0),VLOOKUP($A33,'Mass Equivalents - States, Opt1'!$A$8:$AP$56,31,0)*VLOOKUP($A33,'Mass Equivalents - States, Opt1'!$A$8:$AP$56,42)*VLOOKUP($A33,'Mass Equivalents - States, Opt1'!$A$8:$AP$56,41,0))</f>
        <v>766956.39514101786</v>
      </c>
      <c r="C33" s="50">
        <f>MIN(VLOOKUP($A33,'Mass Equivalents - States, Opt1'!$A$8:$AP$56,32,0)*VLOOKUP($A33,'Mass Equivalents - States, Opt1'!$A$8:$AP$56,42,0),VLOOKUP($A33,'Mass Equivalents - States, Opt1'!$A$8:$AP$56,32,0)*VLOOKUP($A33,'Mass Equivalents - States, Opt1'!$A$8:$AP$56,42)*VLOOKUP($A33,'Mass Equivalents - States, Opt1'!$A$8:$AP$56,41,0))</f>
        <v>1221851.8880669188</v>
      </c>
      <c r="D33" s="50">
        <f>MIN(VLOOKUP($A33,'Mass Equivalents - States, Opt1'!$A$8:$AP$56,33,0)*VLOOKUP($A33,'Mass Equivalents - States, Opt1'!$A$8:$AP$56,42,0),VLOOKUP($A33,'Mass Equivalents - States, Opt1'!$A$8:$AP$56,33,0)*VLOOKUP($A33,'Mass Equivalents - States, Opt1'!$A$8:$AP$56,42)*VLOOKUP($A33,'Mass Equivalents - States, Opt1'!$A$8:$AP$56,41,0))</f>
        <v>1764597.6762199786</v>
      </c>
      <c r="E33" s="50">
        <f>MIN(VLOOKUP($A33,'Mass Equivalents - States, Opt1'!$A$8:$AP$56,34,0)*VLOOKUP($A33,'Mass Equivalents - States, Opt1'!$A$8:$AP$56,42,0),VLOOKUP($A33,'Mass Equivalents - States, Opt1'!$A$8:$AP$56,34,0)*VLOOKUP($A33,'Mass Equivalents - States, Opt1'!$A$8:$AP$56,42)*VLOOKUP($A33,'Mass Equivalents - States, Opt1'!$A$8:$AP$56,41,0))</f>
        <v>2385915.2096362445</v>
      </c>
      <c r="F33" s="50">
        <f>MIN(VLOOKUP($A33,'Mass Equivalents - States, Opt1'!$A$8:$AP$56,35,0)*VLOOKUP($A33,'Mass Equivalents - States, Opt1'!$A$8:$AP$56,42,0),VLOOKUP($A33,'Mass Equivalents - States, Opt1'!$A$8:$AP$56,35,0)*VLOOKUP($A33,'Mass Equivalents - States, Opt1'!$A$8:$AP$56,42)*VLOOKUP($A33,'Mass Equivalents - States, Opt1'!$A$8:$AP$56,41,0))</f>
        <v>3076361.2702838788</v>
      </c>
      <c r="G33" s="50">
        <f>MIN(VLOOKUP($A33,'Mass Equivalents - States, Opt1'!$A$8:$AP$56,36,0)*VLOOKUP($A33,'Mass Equivalents - States, Opt1'!$A$8:$AP$56,42,0),VLOOKUP($A33,'Mass Equivalents - States, Opt1'!$A$8:$AP$56,36,0)*VLOOKUP($A33,'Mass Equivalents - States, Opt1'!$A$8:$AP$56,42)*VLOOKUP($A33,'Mass Equivalents - States, Opt1'!$A$8:$AP$56,41,0))</f>
        <v>3751639.7984587508</v>
      </c>
      <c r="H33" s="50">
        <f>MIN(VLOOKUP($A33,'Mass Equivalents - States, Opt1'!$A$8:$AP$56,37,0)*VLOOKUP($A33,'Mass Equivalents - States, Opt1'!$A$8:$AP$56,42,0),VLOOKUP($A33,'Mass Equivalents - States, Opt1'!$A$8:$AP$56,37,0)*VLOOKUP($A33,'Mass Equivalents - States, Opt1'!$A$8:$AP$56,42)*VLOOKUP($A33,'Mass Equivalents - States, Opt1'!$A$8:$AP$56,41,0))</f>
        <v>4368705.5793730961</v>
      </c>
      <c r="I33" s="50">
        <f>MIN(VLOOKUP($A33,'Mass Equivalents - States, Opt1'!$A$8:$AP$56,38,0)*VLOOKUP($A33,'Mass Equivalents - States, Opt1'!$A$8:$AP$56,42,0),VLOOKUP($A33,'Mass Equivalents - States, Opt1'!$A$8:$AP$56,38,0)*VLOOKUP($A33,'Mass Equivalents - States, Opt1'!$A$8:$AP$56,42)*VLOOKUP($A33,'Mass Equivalents - States, Opt1'!$A$8:$AP$56,41,0))</f>
        <v>4929474.5035024798</v>
      </c>
      <c r="J33" s="50">
        <f>MIN(VLOOKUP($A33,'Mass Equivalents - States, Opt1'!$A$8:$AP$56,39,0)*VLOOKUP($A33,'Mass Equivalents - States, Opt1'!$A$8:$AP$56,42,0),VLOOKUP($A33,'Mass Equivalents - States, Opt1'!$A$8:$AP$56,39,0)*VLOOKUP($A33,'Mass Equivalents - States, Opt1'!$A$8:$AP$56,42)*VLOOKUP($A33,'Mass Equivalents - States, Opt1'!$A$8:$AP$56,41,0))</f>
        <v>5435774.9059204869</v>
      </c>
      <c r="K33" s="46">
        <f>MIN(VLOOKUP($A33,'Mass Equivalents - States, Opt1'!$A$8:$AP$56,40,0)*VLOOKUP($A33,'Mass Equivalents - States, Opt1'!$A$8:$AP$56,42,0),VLOOKUP($A33,'Mass Equivalents - States, Opt1'!$A$8:$AP$56,40,0)*VLOOKUP($A33,'Mass Equivalents - States, Opt1'!$A$8:$AP$56,42)*VLOOKUP($A33,'Mass Equivalents - States, Opt1'!$A$8:$AP$56,41,0))</f>
        <v>5889351.0607682709</v>
      </c>
      <c r="N33" s="49" t="s">
        <v>71</v>
      </c>
      <c r="O33" s="50">
        <f>MIN(VLOOKUP($N33,'Mass Equivalents - States, Opt2'!$A$8:$AF$56,32,0)*VLOOKUP($N33,'Mass Equivalents - States, Opt2'!$A$8:$AF$56,31,0)*VLOOKUP($N33,'Mass Equivalents - States, Opt2'!$A$8:$AF$56,26,0),VLOOKUP($N33,'Mass Equivalents - States, Opt2'!$A$8:$AF$56,32,0)*VLOOKUP($N33,'Mass Equivalents - States, Opt2'!$A$8:$AF$56,26,0))</f>
        <v>591756.05840548896</v>
      </c>
      <c r="P33" s="50">
        <f>MIN(VLOOKUP($N33,'Mass Equivalents - States, Opt2'!$A$8:$AF$56,32,0)*VLOOKUP($N33,'Mass Equivalents - States, Opt2'!$A$8:$AF$56,31,0)*VLOOKUP($N33,'Mass Equivalents - States, Opt2'!$A$8:$AF$56,27,0),VLOOKUP($N33,'Mass Equivalents - States, Opt2'!$A$8:$AF$56,32,0)*VLOOKUP($N33,'Mass Equivalents - States, Opt2'!$A$8:$AF$56,27,0))</f>
        <v>937337.49268960569</v>
      </c>
      <c r="Q33" s="50">
        <f>MIN(VLOOKUP($N33,'Mass Equivalents - States, Opt2'!$A$8:$AF$56,32,0)*VLOOKUP($N33,'Mass Equivalents - States, Opt2'!$A$8:$AF$56,31,0)*VLOOKUP($N33,'Mass Equivalents - States, Opt2'!$A$8:$AF$56,28,0),VLOOKUP($N33,'Mass Equivalents - States, Opt2'!$A$8:$AF$56,32,0)*VLOOKUP($N33,'Mass Equivalents - States, Opt2'!$A$8:$AF$56,28,0))</f>
        <v>1349580.6505230838</v>
      </c>
      <c r="R33" s="50">
        <f>MIN(VLOOKUP($N33,'Mass Equivalents - States, Opt2'!$A$8:$AF$56,32,0)*VLOOKUP($N33,'Mass Equivalents - States, Opt2'!$A$8:$AF$56,31,0)*VLOOKUP($N33,'Mass Equivalents - States, Opt2'!$A$8:$AF$56,29,0),VLOOKUP($N33,'Mass Equivalents - States, Opt2'!$A$8:$AF$56,32,0)*VLOOKUP($N33,'Mass Equivalents - States, Opt2'!$A$8:$AF$56,29,0))</f>
        <v>1821983.5846692093</v>
      </c>
      <c r="S33" s="46">
        <f>MIN(VLOOKUP($N33,'Mass Equivalents - States, Opt2'!$A$8:$AF$56,32,0)*VLOOKUP($N33,'Mass Equivalents - States, Opt2'!$A$8:$AF$56,31,0)*VLOOKUP($N33,'Mass Equivalents - States, Opt2'!$A$8:$AF$56,30,0),VLOOKUP($N33,'Mass Equivalents - States, Opt2'!$A$8:$AF$56,32,0)*VLOOKUP($N33,'Mass Equivalents - States, Opt2'!$A$8:$AF$56,30,0))</f>
        <v>2301241.7285617157</v>
      </c>
    </row>
    <row r="34" spans="1:19" x14ac:dyDescent="0.25">
      <c r="A34" s="49" t="s">
        <v>72</v>
      </c>
      <c r="B34" s="50">
        <f>MIN(VLOOKUP($A34,'Mass Equivalents - States, Opt1'!$A$8:$AP$56,31,0)*VLOOKUP($A34,'Mass Equivalents - States, Opt1'!$A$8:$AP$56,42,0),VLOOKUP($A34,'Mass Equivalents - States, Opt1'!$A$8:$AP$56,31,0)*VLOOKUP($A34,'Mass Equivalents - States, Opt1'!$A$8:$AP$56,42)*VLOOKUP($A34,'Mass Equivalents - States, Opt1'!$A$8:$AP$56,41,0))</f>
        <v>773370.13688249514</v>
      </c>
      <c r="C34" s="50">
        <f>MIN(VLOOKUP($A34,'Mass Equivalents - States, Opt1'!$A$8:$AP$56,32,0)*VLOOKUP($A34,'Mass Equivalents - States, Opt1'!$A$8:$AP$56,42,0),VLOOKUP($A34,'Mass Equivalents - States, Opt1'!$A$8:$AP$56,32,0)*VLOOKUP($A34,'Mass Equivalents - States, Opt1'!$A$8:$AP$56,42)*VLOOKUP($A34,'Mass Equivalents - States, Opt1'!$A$8:$AP$56,41,0))</f>
        <v>1045329.7879372797</v>
      </c>
      <c r="D34" s="50">
        <f>MIN(VLOOKUP($A34,'Mass Equivalents - States, Opt1'!$A$8:$AP$56,33,0)*VLOOKUP($A34,'Mass Equivalents - States, Opt1'!$A$8:$AP$56,42,0),VLOOKUP($A34,'Mass Equivalents - States, Opt1'!$A$8:$AP$56,33,0)*VLOOKUP($A34,'Mass Equivalents - States, Opt1'!$A$8:$AP$56,42)*VLOOKUP($A34,'Mass Equivalents - States, Opt1'!$A$8:$AP$56,41,0))</f>
        <v>1326174.5482622208</v>
      </c>
      <c r="E34" s="50">
        <f>MIN(VLOOKUP($A34,'Mass Equivalents - States, Opt1'!$A$8:$AP$56,34,0)*VLOOKUP($A34,'Mass Equivalents - States, Opt1'!$A$8:$AP$56,42,0),VLOOKUP($A34,'Mass Equivalents - States, Opt1'!$A$8:$AP$56,34,0)*VLOOKUP($A34,'Mass Equivalents - States, Opt1'!$A$8:$AP$56,42)*VLOOKUP($A34,'Mass Equivalents - States, Opt1'!$A$8:$AP$56,41,0))</f>
        <v>1581645.2010486659</v>
      </c>
      <c r="F34" s="50">
        <f>MIN(VLOOKUP($A34,'Mass Equivalents - States, Opt1'!$A$8:$AP$56,35,0)*VLOOKUP($A34,'Mass Equivalents - States, Opt1'!$A$8:$AP$56,42,0),VLOOKUP($A34,'Mass Equivalents - States, Opt1'!$A$8:$AP$56,35,0)*VLOOKUP($A34,'Mass Equivalents - States, Opt1'!$A$8:$AP$56,42)*VLOOKUP($A34,'Mass Equivalents - States, Opt1'!$A$8:$AP$56,41,0))</f>
        <v>1812886.0712883924</v>
      </c>
      <c r="G34" s="50">
        <f>MIN(VLOOKUP($A34,'Mass Equivalents - States, Opt1'!$A$8:$AP$56,36,0)*VLOOKUP($A34,'Mass Equivalents - States, Opt1'!$A$8:$AP$56,42,0),VLOOKUP($A34,'Mass Equivalents - States, Opt1'!$A$8:$AP$56,36,0)*VLOOKUP($A34,'Mass Equivalents - States, Opt1'!$A$8:$AP$56,42)*VLOOKUP($A34,'Mass Equivalents - States, Opt1'!$A$8:$AP$56,41,0))</f>
        <v>2020984.6200917803</v>
      </c>
      <c r="H34" s="50">
        <f>MIN(VLOOKUP($A34,'Mass Equivalents - States, Opt1'!$A$8:$AP$56,37,0)*VLOOKUP($A34,'Mass Equivalents - States, Opt1'!$A$8:$AP$56,42,0),VLOOKUP($A34,'Mass Equivalents - States, Opt1'!$A$8:$AP$56,37,0)*VLOOKUP($A34,'Mass Equivalents - States, Opt1'!$A$8:$AP$56,42)*VLOOKUP($A34,'Mass Equivalents - States, Opt1'!$A$8:$AP$56,41,0))</f>
        <v>2206974.2221533717</v>
      </c>
      <c r="I34" s="50">
        <f>MIN(VLOOKUP($A34,'Mass Equivalents - States, Opt1'!$A$8:$AP$56,38,0)*VLOOKUP($A34,'Mass Equivalents - States, Opt1'!$A$8:$AP$56,42,0),VLOOKUP($A34,'Mass Equivalents - States, Opt1'!$A$8:$AP$56,38,0)*VLOOKUP($A34,'Mass Equivalents - States, Opt1'!$A$8:$AP$56,42)*VLOOKUP($A34,'Mass Equivalents - States, Opt1'!$A$8:$AP$56,41,0))</f>
        <v>2371836.8071532175</v>
      </c>
      <c r="J34" s="50">
        <f>MIN(VLOOKUP($A34,'Mass Equivalents - States, Opt1'!$A$8:$AP$56,39,0)*VLOOKUP($A34,'Mass Equivalents - States, Opt1'!$A$8:$AP$56,42,0),VLOOKUP($A34,'Mass Equivalents - States, Opt1'!$A$8:$AP$56,39,0)*VLOOKUP($A34,'Mass Equivalents - States, Opt1'!$A$8:$AP$56,42)*VLOOKUP($A34,'Mass Equivalents - States, Opt1'!$A$8:$AP$56,41,0))</f>
        <v>2516505.3717562007</v>
      </c>
      <c r="K34" s="46">
        <f>MIN(VLOOKUP($A34,'Mass Equivalents - States, Opt1'!$A$8:$AP$56,40,0)*VLOOKUP($A34,'Mass Equivalents - States, Opt1'!$A$8:$AP$56,42,0),VLOOKUP($A34,'Mass Equivalents - States, Opt1'!$A$8:$AP$56,40,0)*VLOOKUP($A34,'Mass Equivalents - States, Opt1'!$A$8:$AP$56,42)*VLOOKUP($A34,'Mass Equivalents - States, Opt1'!$A$8:$AP$56,41,0))</f>
        <v>2641866.3685453148</v>
      </c>
      <c r="N34" s="49" t="s">
        <v>72</v>
      </c>
      <c r="O34" s="50">
        <f>MIN(VLOOKUP($N34,'Mass Equivalents - States, Opt2'!$A$8:$AF$56,32,0)*VLOOKUP($N34,'Mass Equivalents - States, Opt2'!$A$8:$AF$56,31,0)*VLOOKUP($N34,'Mass Equivalents - States, Opt2'!$A$8:$AF$56,26,0),VLOOKUP($N34,'Mass Equivalents - States, Opt2'!$A$8:$AF$56,32,0)*VLOOKUP($N34,'Mass Equivalents - States, Opt2'!$A$8:$AF$56,26,0))</f>
        <v>701275.201762493</v>
      </c>
      <c r="P34" s="50">
        <f>MIN(VLOOKUP($N34,'Mass Equivalents - States, Opt2'!$A$8:$AF$56,32,0)*VLOOKUP($N34,'Mass Equivalents - States, Opt2'!$A$8:$AF$56,31,0)*VLOOKUP($N34,'Mass Equivalents - States, Opt2'!$A$8:$AF$56,27,0),VLOOKUP($N34,'Mass Equivalents - States, Opt2'!$A$8:$AF$56,32,0)*VLOOKUP($N34,'Mass Equivalents - States, Opt2'!$A$8:$AF$56,27,0))</f>
        <v>892304.06415267114</v>
      </c>
      <c r="Q34" s="50">
        <f>MIN(VLOOKUP($N34,'Mass Equivalents - States, Opt2'!$A$8:$AF$56,32,0)*VLOOKUP($N34,'Mass Equivalents - States, Opt2'!$A$8:$AF$56,31,0)*VLOOKUP($N34,'Mass Equivalents - States, Opt2'!$A$8:$AF$56,28,0),VLOOKUP($N34,'Mass Equivalents - States, Opt2'!$A$8:$AF$56,32,0)*VLOOKUP($N34,'Mass Equivalents - States, Opt2'!$A$8:$AF$56,28,0))</f>
        <v>1067072.2675771003</v>
      </c>
      <c r="R34" s="50">
        <f>MIN(VLOOKUP($N34,'Mass Equivalents - States, Opt2'!$A$8:$AF$56,32,0)*VLOOKUP($N34,'Mass Equivalents - States, Opt2'!$A$8:$AF$56,31,0)*VLOOKUP($N34,'Mass Equivalents - States, Opt2'!$A$8:$AF$56,29,0),VLOOKUP($N34,'Mass Equivalents - States, Opt2'!$A$8:$AF$56,32,0)*VLOOKUP($N34,'Mass Equivalents - States, Opt2'!$A$8:$AF$56,29,0))</f>
        <v>1226200.586935068</v>
      </c>
      <c r="S34" s="46">
        <f>MIN(VLOOKUP($N34,'Mass Equivalents - States, Opt2'!$A$8:$AF$56,32,0)*VLOOKUP($N34,'Mass Equivalents - States, Opt2'!$A$8:$AF$56,31,0)*VLOOKUP($N34,'Mass Equivalents - States, Opt2'!$A$8:$AF$56,30,0),VLOOKUP($N34,'Mass Equivalents - States, Opt2'!$A$8:$AF$56,32,0)*VLOOKUP($N34,'Mass Equivalents - States, Opt2'!$A$8:$AF$56,30,0))</f>
        <v>1370284.119132557</v>
      </c>
    </row>
    <row r="35" spans="1:19" x14ac:dyDescent="0.25">
      <c r="A35" s="49" t="s">
        <v>73</v>
      </c>
      <c r="B35" s="50">
        <f>MIN(VLOOKUP($A35,'Mass Equivalents - States, Opt1'!$A$8:$AP$56,31,0)*VLOOKUP($A35,'Mass Equivalents - States, Opt1'!$A$8:$AP$56,42,0),VLOOKUP($A35,'Mass Equivalents - States, Opt1'!$A$8:$AP$56,31,0)*VLOOKUP($A35,'Mass Equivalents - States, Opt1'!$A$8:$AP$56,42)*VLOOKUP($A35,'Mass Equivalents - States, Opt1'!$A$8:$AP$56,41,0))</f>
        <v>6327080.696274532</v>
      </c>
      <c r="C35" s="50">
        <f>MIN(VLOOKUP($A35,'Mass Equivalents - States, Opt1'!$A$8:$AP$56,32,0)*VLOOKUP($A35,'Mass Equivalents - States, Opt1'!$A$8:$AP$56,42,0),VLOOKUP($A35,'Mass Equivalents - States, Opt1'!$A$8:$AP$56,32,0)*VLOOKUP($A35,'Mass Equivalents - States, Opt1'!$A$8:$AP$56,42)*VLOOKUP($A35,'Mass Equivalents - States, Opt1'!$A$8:$AP$56,41,0))</f>
        <v>8004739.600278235</v>
      </c>
      <c r="D35" s="50">
        <f>MIN(VLOOKUP($A35,'Mass Equivalents - States, Opt1'!$A$8:$AP$56,33,0)*VLOOKUP($A35,'Mass Equivalents - States, Opt1'!$A$8:$AP$56,42,0),VLOOKUP($A35,'Mass Equivalents - States, Opt1'!$A$8:$AP$56,33,0)*VLOOKUP($A35,'Mass Equivalents - States, Opt1'!$A$8:$AP$56,42)*VLOOKUP($A35,'Mass Equivalents - States, Opt1'!$A$8:$AP$56,41,0))</f>
        <v>9546732.7089217994</v>
      </c>
      <c r="E35" s="50">
        <f>MIN(VLOOKUP($A35,'Mass Equivalents - States, Opt1'!$A$8:$AP$56,34,0)*VLOOKUP($A35,'Mass Equivalents - States, Opt1'!$A$8:$AP$56,42,0),VLOOKUP($A35,'Mass Equivalents - States, Opt1'!$A$8:$AP$56,34,0)*VLOOKUP($A35,'Mass Equivalents - States, Opt1'!$A$8:$AP$56,42)*VLOOKUP($A35,'Mass Equivalents - States, Opt1'!$A$8:$AP$56,41,0))</f>
        <v>10956954.375291757</v>
      </c>
      <c r="F35" s="50">
        <f>MIN(VLOOKUP($A35,'Mass Equivalents - States, Opt1'!$A$8:$AP$56,35,0)*VLOOKUP($A35,'Mass Equivalents - States, Opt1'!$A$8:$AP$56,42,0),VLOOKUP($A35,'Mass Equivalents - States, Opt1'!$A$8:$AP$56,35,0)*VLOOKUP($A35,'Mass Equivalents - States, Opt1'!$A$8:$AP$56,42)*VLOOKUP($A35,'Mass Equivalents - States, Opt1'!$A$8:$AP$56,41,0))</f>
        <v>12239121.777742842</v>
      </c>
      <c r="G35" s="50">
        <f>MIN(VLOOKUP($A35,'Mass Equivalents - States, Opt1'!$A$8:$AP$56,36,0)*VLOOKUP($A35,'Mass Equivalents - States, Opt1'!$A$8:$AP$56,42,0),VLOOKUP($A35,'Mass Equivalents - States, Opt1'!$A$8:$AP$56,36,0)*VLOOKUP($A35,'Mass Equivalents - States, Opt1'!$A$8:$AP$56,42)*VLOOKUP($A35,'Mass Equivalents - States, Opt1'!$A$8:$AP$56,41,0))</f>
        <v>13396781.278550755</v>
      </c>
      <c r="H35" s="50">
        <f>MIN(VLOOKUP($A35,'Mass Equivalents - States, Opt1'!$A$8:$AP$56,37,0)*VLOOKUP($A35,'Mass Equivalents - States, Opt1'!$A$8:$AP$56,42,0),VLOOKUP($A35,'Mass Equivalents - States, Opt1'!$A$8:$AP$56,37,0)*VLOOKUP($A35,'Mass Equivalents - States, Opt1'!$A$8:$AP$56,42)*VLOOKUP($A35,'Mass Equivalents - States, Opt1'!$A$8:$AP$56,41,0))</f>
        <v>14433314.526405862</v>
      </c>
      <c r="I35" s="50">
        <f>MIN(VLOOKUP($A35,'Mass Equivalents - States, Opt1'!$A$8:$AP$56,38,0)*VLOOKUP($A35,'Mass Equivalents - States, Opt1'!$A$8:$AP$56,42,0),VLOOKUP($A35,'Mass Equivalents - States, Opt1'!$A$8:$AP$56,38,0)*VLOOKUP($A35,'Mass Equivalents - States, Opt1'!$A$8:$AP$56,42)*VLOOKUP($A35,'Mass Equivalents - States, Opt1'!$A$8:$AP$56,41,0))</f>
        <v>15351944.312485272</v>
      </c>
      <c r="J35" s="50">
        <f>MIN(VLOOKUP($A35,'Mass Equivalents - States, Opt1'!$A$8:$AP$56,39,0)*VLOOKUP($A35,'Mass Equivalents - States, Opt1'!$A$8:$AP$56,42,0),VLOOKUP($A35,'Mass Equivalents - States, Opt1'!$A$8:$AP$56,39,0)*VLOOKUP($A35,'Mass Equivalents - States, Opt1'!$A$8:$AP$56,42)*VLOOKUP($A35,'Mass Equivalents - States, Opt1'!$A$8:$AP$56,41,0))</f>
        <v>16155740.189459847</v>
      </c>
      <c r="K35" s="46">
        <f>MIN(VLOOKUP($A35,'Mass Equivalents - States, Opt1'!$A$8:$AP$56,40,0)*VLOOKUP($A35,'Mass Equivalents - States, Opt1'!$A$8:$AP$56,42,0),VLOOKUP($A35,'Mass Equivalents - States, Opt1'!$A$8:$AP$56,40,0)*VLOOKUP($A35,'Mass Equivalents - States, Opt1'!$A$8:$AP$56,42)*VLOOKUP($A35,'Mass Equivalents - States, Opt1'!$A$8:$AP$56,41,0))</f>
        <v>16847623.862426266</v>
      </c>
      <c r="N35" s="49" t="s">
        <v>73</v>
      </c>
      <c r="O35" s="50">
        <f>MIN(VLOOKUP($N35,'Mass Equivalents - States, Opt2'!$A$8:$AF$56,32,0)*VLOOKUP($N35,'Mass Equivalents - States, Opt2'!$A$8:$AF$56,31,0)*VLOOKUP($N35,'Mass Equivalents - States, Opt2'!$A$8:$AF$56,26,0),VLOOKUP($N35,'Mass Equivalents - States, Opt2'!$A$8:$AF$56,32,0)*VLOOKUP($N35,'Mass Equivalents - States, Opt2'!$A$8:$AF$56,26,0))</f>
        <v>5073607.0611475222</v>
      </c>
      <c r="P35" s="50">
        <f>MIN(VLOOKUP($N35,'Mass Equivalents - States, Opt2'!$A$8:$AF$56,32,0)*VLOOKUP($N35,'Mass Equivalents - States, Opt2'!$A$8:$AF$56,31,0)*VLOOKUP($N35,'Mass Equivalents - States, Opt2'!$A$8:$AF$56,27,0),VLOOKUP($N35,'Mass Equivalents - States, Opt2'!$A$8:$AF$56,32,0)*VLOOKUP($N35,'Mass Equivalents - States, Opt2'!$A$8:$AF$56,27,0))</f>
        <v>6151640.4787657233</v>
      </c>
      <c r="Q35" s="50">
        <f>MIN(VLOOKUP($N35,'Mass Equivalents - States, Opt2'!$A$8:$AF$56,32,0)*VLOOKUP($N35,'Mass Equivalents - States, Opt2'!$A$8:$AF$56,31,0)*VLOOKUP($N35,'Mass Equivalents - States, Opt2'!$A$8:$AF$56,28,0),VLOOKUP($N35,'Mass Equivalents - States, Opt2'!$A$8:$AF$56,32,0)*VLOOKUP($N35,'Mass Equivalents - States, Opt2'!$A$8:$AF$56,28,0))</f>
        <v>7144761.6448708149</v>
      </c>
      <c r="R35" s="50">
        <f>MIN(VLOOKUP($N35,'Mass Equivalents - States, Opt2'!$A$8:$AF$56,32,0)*VLOOKUP($N35,'Mass Equivalents - States, Opt2'!$A$8:$AF$56,31,0)*VLOOKUP($N35,'Mass Equivalents - States, Opt2'!$A$8:$AF$56,29,0),VLOOKUP($N35,'Mass Equivalents - States, Opt2'!$A$8:$AF$56,32,0)*VLOOKUP($N35,'Mass Equivalents - States, Opt2'!$A$8:$AF$56,29,0))</f>
        <v>8054735.002362526</v>
      </c>
      <c r="S35" s="46">
        <f>MIN(VLOOKUP($N35,'Mass Equivalents - States, Opt2'!$A$8:$AF$56,32,0)*VLOOKUP($N35,'Mass Equivalents - States, Opt2'!$A$8:$AF$56,31,0)*VLOOKUP($N35,'Mass Equivalents - States, Opt2'!$A$8:$AF$56,30,0),VLOOKUP($N35,'Mass Equivalents - States, Opt2'!$A$8:$AF$56,32,0)*VLOOKUP($N35,'Mass Equivalents - States, Opt2'!$A$8:$AF$56,30,0))</f>
        <v>8883257.2964739893</v>
      </c>
    </row>
    <row r="36" spans="1:19" x14ac:dyDescent="0.25">
      <c r="A36" s="49" t="s">
        <v>74</v>
      </c>
      <c r="B36" s="50">
        <f>MIN(VLOOKUP($A36,'Mass Equivalents - States, Opt1'!$A$8:$AP$56,31,0)*VLOOKUP($A36,'Mass Equivalents - States, Opt1'!$A$8:$AP$56,42,0),VLOOKUP($A36,'Mass Equivalents - States, Opt1'!$A$8:$AP$56,31,0)*VLOOKUP($A36,'Mass Equivalents - States, Opt1'!$A$8:$AP$56,42)*VLOOKUP($A36,'Mass Equivalents - States, Opt1'!$A$8:$AP$56,41,0))</f>
        <v>2812113.1802666299</v>
      </c>
      <c r="C36" s="50">
        <f>MIN(VLOOKUP($A36,'Mass Equivalents - States, Opt1'!$A$8:$AP$56,32,0)*VLOOKUP($A36,'Mass Equivalents - States, Opt1'!$A$8:$AP$56,42,0),VLOOKUP($A36,'Mass Equivalents - States, Opt1'!$A$8:$AP$56,32,0)*VLOOKUP($A36,'Mass Equivalents - States, Opt1'!$A$8:$AP$56,42)*VLOOKUP($A36,'Mass Equivalents - States, Opt1'!$A$8:$AP$56,41,0))</f>
        <v>3943101.5675804107</v>
      </c>
      <c r="D36" s="50">
        <f>MIN(VLOOKUP($A36,'Mass Equivalents - States, Opt1'!$A$8:$AP$56,33,0)*VLOOKUP($A36,'Mass Equivalents - States, Opt1'!$A$8:$AP$56,42,0),VLOOKUP($A36,'Mass Equivalents - States, Opt1'!$A$8:$AP$56,33,0)*VLOOKUP($A36,'Mass Equivalents - States, Opt1'!$A$8:$AP$56,42)*VLOOKUP($A36,'Mass Equivalents - States, Opt1'!$A$8:$AP$56,41,0))</f>
        <v>5208833.7216860969</v>
      </c>
      <c r="E36" s="50">
        <f>MIN(VLOOKUP($A36,'Mass Equivalents - States, Opt1'!$A$8:$AP$56,34,0)*VLOOKUP($A36,'Mass Equivalents - States, Opt1'!$A$8:$AP$56,42,0),VLOOKUP($A36,'Mass Equivalents - States, Opt1'!$A$8:$AP$56,34,0)*VLOOKUP($A36,'Mass Equivalents - States, Opt1'!$A$8:$AP$56,42)*VLOOKUP($A36,'Mass Equivalents - States, Opt1'!$A$8:$AP$56,41,0))</f>
        <v>6534715.8601433188</v>
      </c>
      <c r="F36" s="50">
        <f>MIN(VLOOKUP($A36,'Mass Equivalents - States, Opt1'!$A$8:$AP$56,35,0)*VLOOKUP($A36,'Mass Equivalents - States, Opt1'!$A$8:$AP$56,42,0),VLOOKUP($A36,'Mass Equivalents - States, Opt1'!$A$8:$AP$56,35,0)*VLOOKUP($A36,'Mass Equivalents - States, Opt1'!$A$8:$AP$56,42)*VLOOKUP($A36,'Mass Equivalents - States, Opt1'!$A$8:$AP$56,41,0))</f>
        <v>7742166.3441619333</v>
      </c>
      <c r="G36" s="50">
        <f>MIN(VLOOKUP($A36,'Mass Equivalents - States, Opt1'!$A$8:$AP$56,36,0)*VLOOKUP($A36,'Mass Equivalents - States, Opt1'!$A$8:$AP$56,42,0),VLOOKUP($A36,'Mass Equivalents - States, Opt1'!$A$8:$AP$56,36,0)*VLOOKUP($A36,'Mass Equivalents - States, Opt1'!$A$8:$AP$56,42)*VLOOKUP($A36,'Mass Equivalents - States, Opt1'!$A$8:$AP$56,41,0))</f>
        <v>8836175.8897165637</v>
      </c>
      <c r="H36" s="50">
        <f>MIN(VLOOKUP($A36,'Mass Equivalents - States, Opt1'!$A$8:$AP$56,37,0)*VLOOKUP($A36,'Mass Equivalents - States, Opt1'!$A$8:$AP$56,42,0),VLOOKUP($A36,'Mass Equivalents - States, Opt1'!$A$8:$AP$56,37,0)*VLOOKUP($A36,'Mass Equivalents - States, Opt1'!$A$8:$AP$56,42)*VLOOKUP($A36,'Mass Equivalents - States, Opt1'!$A$8:$AP$56,41,0))</f>
        <v>9821494.1314312145</v>
      </c>
      <c r="I36" s="50">
        <f>MIN(VLOOKUP($A36,'Mass Equivalents - States, Opt1'!$A$8:$AP$56,38,0)*VLOOKUP($A36,'Mass Equivalents - States, Opt1'!$A$8:$AP$56,42,0),VLOOKUP($A36,'Mass Equivalents - States, Opt1'!$A$8:$AP$56,38,0)*VLOOKUP($A36,'Mass Equivalents - States, Opt1'!$A$8:$AP$56,42)*VLOOKUP($A36,'Mass Equivalents - States, Opt1'!$A$8:$AP$56,41,0))</f>
        <v>10702640.909046538</v>
      </c>
      <c r="J36" s="50">
        <f>MIN(VLOOKUP($A36,'Mass Equivalents - States, Opt1'!$A$8:$AP$56,39,0)*VLOOKUP($A36,'Mass Equivalents - States, Opt1'!$A$8:$AP$56,42,0),VLOOKUP($A36,'Mass Equivalents - States, Opt1'!$A$8:$AP$56,39,0)*VLOOKUP($A36,'Mass Equivalents - States, Opt1'!$A$8:$AP$56,42)*VLOOKUP($A36,'Mass Equivalents - States, Opt1'!$A$8:$AP$56,41,0))</f>
        <v>11483917.021841982</v>
      </c>
      <c r="K36" s="46">
        <f>MIN(VLOOKUP($A36,'Mass Equivalents - States, Opt1'!$A$8:$AP$56,40,0)*VLOOKUP($A36,'Mass Equivalents - States, Opt1'!$A$8:$AP$56,42,0),VLOOKUP($A36,'Mass Equivalents - States, Opt1'!$A$8:$AP$56,40,0)*VLOOKUP($A36,'Mass Equivalents - States, Opt1'!$A$8:$AP$56,42)*VLOOKUP($A36,'Mass Equivalents - States, Opt1'!$A$8:$AP$56,41,0))</f>
        <v>12169414.476055143</v>
      </c>
      <c r="N36" s="49" t="s">
        <v>74</v>
      </c>
      <c r="O36" s="50">
        <f>MIN(VLOOKUP($N36,'Mass Equivalents - States, Opt2'!$A$8:$AF$56,32,0)*VLOOKUP($N36,'Mass Equivalents - States, Opt2'!$A$8:$AF$56,31,0)*VLOOKUP($N36,'Mass Equivalents - States, Opt2'!$A$8:$AF$56,26,0),VLOOKUP($N36,'Mass Equivalents - States, Opt2'!$A$8:$AF$56,32,0)*VLOOKUP($N36,'Mass Equivalents - States, Opt2'!$A$8:$AF$56,26,0))</f>
        <v>2480453.8522678451</v>
      </c>
      <c r="P36" s="50">
        <f>MIN(VLOOKUP($N36,'Mass Equivalents - States, Opt2'!$A$8:$AF$56,32,0)*VLOOKUP($N36,'Mass Equivalents - States, Opt2'!$A$8:$AF$56,31,0)*VLOOKUP($N36,'Mass Equivalents - States, Opt2'!$A$8:$AF$56,27,0),VLOOKUP($N36,'Mass Equivalents - States, Opt2'!$A$8:$AF$56,32,0)*VLOOKUP($N36,'Mass Equivalents - States, Opt2'!$A$8:$AF$56,27,0))</f>
        <v>3407022.3684170754</v>
      </c>
      <c r="Q36" s="50">
        <f>MIN(VLOOKUP($N36,'Mass Equivalents - States, Opt2'!$A$8:$AF$56,32,0)*VLOOKUP($N36,'Mass Equivalents - States, Opt2'!$A$8:$AF$56,31,0)*VLOOKUP($N36,'Mass Equivalents - States, Opt2'!$A$8:$AF$56,28,0),VLOOKUP($N36,'Mass Equivalents - States, Opt2'!$A$8:$AF$56,32,0)*VLOOKUP($N36,'Mass Equivalents - States, Opt2'!$A$8:$AF$56,28,0))</f>
        <v>4316345.0909357481</v>
      </c>
      <c r="R36" s="50">
        <f>MIN(VLOOKUP($N36,'Mass Equivalents - States, Opt2'!$A$8:$AF$56,32,0)*VLOOKUP($N36,'Mass Equivalents - States, Opt2'!$A$8:$AF$56,31,0)*VLOOKUP($N36,'Mass Equivalents - States, Opt2'!$A$8:$AF$56,29,0),VLOOKUP($N36,'Mass Equivalents - States, Opt2'!$A$8:$AF$56,32,0)*VLOOKUP($N36,'Mass Equivalents - States, Opt2'!$A$8:$AF$56,29,0))</f>
        <v>5149554.1574377147</v>
      </c>
      <c r="S36" s="46">
        <f>MIN(VLOOKUP($N36,'Mass Equivalents - States, Opt2'!$A$8:$AF$56,32,0)*VLOOKUP($N36,'Mass Equivalents - States, Opt2'!$A$8:$AF$56,31,0)*VLOOKUP($N36,'Mass Equivalents - States, Opt2'!$A$8:$AF$56,30,0),VLOOKUP($N36,'Mass Equivalents - States, Opt2'!$A$8:$AF$56,32,0)*VLOOKUP($N36,'Mass Equivalents - States, Opt2'!$A$8:$AF$56,30,0))</f>
        <v>5909323.6215407783</v>
      </c>
    </row>
    <row r="37" spans="1:19" x14ac:dyDescent="0.25">
      <c r="A37" s="49" t="s">
        <v>75</v>
      </c>
      <c r="B37" s="50">
        <f>MIN(VLOOKUP($A37,'Mass Equivalents - States, Opt1'!$A$8:$AP$56,31,0)*VLOOKUP($A37,'Mass Equivalents - States, Opt1'!$A$8:$AP$56,42,0),VLOOKUP($A37,'Mass Equivalents - States, Opt1'!$A$8:$AP$56,31,0)*VLOOKUP($A37,'Mass Equivalents - States, Opt1'!$A$8:$AP$56,42)*VLOOKUP($A37,'Mass Equivalents - States, Opt1'!$A$8:$AP$56,41,0))</f>
        <v>220008.91038631962</v>
      </c>
      <c r="C37" s="50">
        <f>MIN(VLOOKUP($A37,'Mass Equivalents - States, Opt1'!$A$8:$AP$56,32,0)*VLOOKUP($A37,'Mass Equivalents - States, Opt1'!$A$8:$AP$56,42,0),VLOOKUP($A37,'Mass Equivalents - States, Opt1'!$A$8:$AP$56,32,0)*VLOOKUP($A37,'Mass Equivalents - States, Opt1'!$A$8:$AP$56,42)*VLOOKUP($A37,'Mass Equivalents - States, Opt1'!$A$8:$AP$56,41,0))</f>
        <v>341581.22108293971</v>
      </c>
      <c r="D37" s="50">
        <f>MIN(VLOOKUP($A37,'Mass Equivalents - States, Opt1'!$A$8:$AP$56,33,0)*VLOOKUP($A37,'Mass Equivalents - States, Opt1'!$A$8:$AP$56,42,0),VLOOKUP($A37,'Mass Equivalents - States, Opt1'!$A$8:$AP$56,33,0)*VLOOKUP($A37,'Mass Equivalents - States, Opt1'!$A$8:$AP$56,42)*VLOOKUP($A37,'Mass Equivalents - States, Opt1'!$A$8:$AP$56,41,0))</f>
        <v>485250.21410252381</v>
      </c>
      <c r="E37" s="50">
        <f>MIN(VLOOKUP($A37,'Mass Equivalents - States, Opt1'!$A$8:$AP$56,34,0)*VLOOKUP($A37,'Mass Equivalents - States, Opt1'!$A$8:$AP$56,42,0),VLOOKUP($A37,'Mass Equivalents - States, Opt1'!$A$8:$AP$56,34,0)*VLOOKUP($A37,'Mass Equivalents - States, Opt1'!$A$8:$AP$56,42)*VLOOKUP($A37,'Mass Equivalents - States, Opt1'!$A$8:$AP$56,41,0))</f>
        <v>648614.89351992309</v>
      </c>
      <c r="F37" s="50">
        <f>MIN(VLOOKUP($A37,'Mass Equivalents - States, Opt1'!$A$8:$AP$56,35,0)*VLOOKUP($A37,'Mass Equivalents - States, Opt1'!$A$8:$AP$56,42,0),VLOOKUP($A37,'Mass Equivalents - States, Opt1'!$A$8:$AP$56,35,0)*VLOOKUP($A37,'Mass Equivalents - States, Opt1'!$A$8:$AP$56,42)*VLOOKUP($A37,'Mass Equivalents - States, Opt1'!$A$8:$AP$56,41,0))</f>
        <v>829238.5345515206</v>
      </c>
      <c r="G37" s="50">
        <f>MIN(VLOOKUP($A37,'Mass Equivalents - States, Opt1'!$A$8:$AP$56,36,0)*VLOOKUP($A37,'Mass Equivalents - States, Opt1'!$A$8:$AP$56,42,0),VLOOKUP($A37,'Mass Equivalents - States, Opt1'!$A$8:$AP$56,36,0)*VLOOKUP($A37,'Mass Equivalents - States, Opt1'!$A$8:$AP$56,42)*VLOOKUP($A37,'Mass Equivalents - States, Opt1'!$A$8:$AP$56,41,0))</f>
        <v>999525.5940118467</v>
      </c>
      <c r="H37" s="50">
        <f>MIN(VLOOKUP($A37,'Mass Equivalents - States, Opt1'!$A$8:$AP$56,37,0)*VLOOKUP($A37,'Mass Equivalents - States, Opt1'!$A$8:$AP$56,42,0),VLOOKUP($A37,'Mass Equivalents - States, Opt1'!$A$8:$AP$56,37,0)*VLOOKUP($A37,'Mass Equivalents - States, Opt1'!$A$8:$AP$56,42)*VLOOKUP($A37,'Mass Equivalents - States, Opt1'!$A$8:$AP$56,41,0))</f>
        <v>1154908.1748419055</v>
      </c>
      <c r="I37" s="50">
        <f>MIN(VLOOKUP($A37,'Mass Equivalents - States, Opt1'!$A$8:$AP$56,38,0)*VLOOKUP($A37,'Mass Equivalents - States, Opt1'!$A$8:$AP$56,42,0),VLOOKUP($A37,'Mass Equivalents - States, Opt1'!$A$8:$AP$56,38,0)*VLOOKUP($A37,'Mass Equivalents - States, Opt1'!$A$8:$AP$56,42)*VLOOKUP($A37,'Mass Equivalents - States, Opt1'!$A$8:$AP$56,41,0))</f>
        <v>1295883.786209181</v>
      </c>
      <c r="J37" s="50">
        <f>MIN(VLOOKUP($A37,'Mass Equivalents - States, Opt1'!$A$8:$AP$56,39,0)*VLOOKUP($A37,'Mass Equivalents - States, Opt1'!$A$8:$AP$56,42,0),VLOOKUP($A37,'Mass Equivalents - States, Opt1'!$A$8:$AP$56,39,0)*VLOOKUP($A37,'Mass Equivalents - States, Opt1'!$A$8:$AP$56,42)*VLOOKUP($A37,'Mass Equivalents - States, Opt1'!$A$8:$AP$56,41,0))</f>
        <v>1422927.1401355893</v>
      </c>
      <c r="K37" s="46">
        <f>MIN(VLOOKUP($A37,'Mass Equivalents - States, Opt1'!$A$8:$AP$56,40,0)*VLOOKUP($A37,'Mass Equivalents - States, Opt1'!$A$8:$AP$56,42,0),VLOOKUP($A37,'Mass Equivalents - States, Opt1'!$A$8:$AP$56,40,0)*VLOOKUP($A37,'Mass Equivalents - States, Opt1'!$A$8:$AP$56,42)*VLOOKUP($A37,'Mass Equivalents - States, Opt1'!$A$8:$AP$56,41,0))</f>
        <v>1536491.071611664</v>
      </c>
      <c r="N37" s="49" t="s">
        <v>75</v>
      </c>
      <c r="O37" s="50">
        <f>MIN(VLOOKUP($N37,'Mass Equivalents - States, Opt2'!$A$8:$AF$56,32,0)*VLOOKUP($N37,'Mass Equivalents - States, Opt2'!$A$8:$AF$56,31,0)*VLOOKUP($N37,'Mass Equivalents - States, Opt2'!$A$8:$AF$56,26,0),VLOOKUP($N37,'Mass Equivalents - States, Opt2'!$A$8:$AF$56,32,0)*VLOOKUP($N37,'Mass Equivalents - States, Opt2'!$A$8:$AF$56,26,0))</f>
        <v>174994.44092020643</v>
      </c>
      <c r="P37" s="50">
        <f>MIN(VLOOKUP($N37,'Mass Equivalents - States, Opt2'!$A$8:$AF$56,32,0)*VLOOKUP($N37,'Mass Equivalents - States, Opt2'!$A$8:$AF$56,31,0)*VLOOKUP($N37,'Mass Equivalents - States, Opt2'!$A$8:$AF$56,27,0),VLOOKUP($N37,'Mass Equivalents - States, Opt2'!$A$8:$AF$56,32,0)*VLOOKUP($N37,'Mass Equivalents - States, Opt2'!$A$8:$AF$56,27,0))</f>
        <v>268515.09849166707</v>
      </c>
      <c r="Q37" s="50">
        <f>MIN(VLOOKUP($N37,'Mass Equivalents - States, Opt2'!$A$8:$AF$56,32,0)*VLOOKUP($N37,'Mass Equivalents - States, Opt2'!$A$8:$AF$56,31,0)*VLOOKUP($N37,'Mass Equivalents - States, Opt2'!$A$8:$AF$56,28,0),VLOOKUP($N37,'Mass Equivalents - States, Opt2'!$A$8:$AF$56,32,0)*VLOOKUP($N37,'Mass Equivalents - States, Opt2'!$A$8:$AF$56,28,0))</f>
        <v>378718.43798344012</v>
      </c>
      <c r="R37" s="50">
        <f>MIN(VLOOKUP($N37,'Mass Equivalents - States, Opt2'!$A$8:$AF$56,32,0)*VLOOKUP($N37,'Mass Equivalents - States, Opt2'!$A$8:$AF$56,31,0)*VLOOKUP($N37,'Mass Equivalents - States, Opt2'!$A$8:$AF$56,29,0),VLOOKUP($N37,'Mass Equivalents - States, Opt2'!$A$8:$AF$56,32,0)*VLOOKUP($N37,'Mass Equivalents - States, Opt2'!$A$8:$AF$56,29,0))</f>
        <v>503921.64130698773</v>
      </c>
      <c r="S37" s="46">
        <f>MIN(VLOOKUP($N37,'Mass Equivalents - States, Opt2'!$A$8:$AF$56,32,0)*VLOOKUP($N37,'Mass Equivalents - States, Opt2'!$A$8:$AF$56,31,0)*VLOOKUP($N37,'Mass Equivalents - States, Opt2'!$A$8:$AF$56,30,0),VLOOKUP($N37,'Mass Equivalents - States, Opt2'!$A$8:$AF$56,32,0)*VLOOKUP($N37,'Mass Equivalents - States, Opt2'!$A$8:$AF$56,30,0))</f>
        <v>624348.64158622385</v>
      </c>
    </row>
    <row r="38" spans="1:19" x14ac:dyDescent="0.25">
      <c r="A38" s="49" t="s">
        <v>76</v>
      </c>
      <c r="B38" s="50">
        <f>MIN(VLOOKUP($A38,'Mass Equivalents - States, Opt1'!$A$8:$AP$56,31,0)*VLOOKUP($A38,'Mass Equivalents - States, Opt1'!$A$8:$AP$56,42,0),VLOOKUP($A38,'Mass Equivalents - States, Opt1'!$A$8:$AP$56,31,0)*VLOOKUP($A38,'Mass Equivalents - States, Opt1'!$A$8:$AP$56,42)*VLOOKUP($A38,'Mass Equivalents - States, Opt1'!$A$8:$AP$56,41,0))</f>
        <v>5872639.058635924</v>
      </c>
      <c r="C38" s="50">
        <f>MIN(VLOOKUP($A38,'Mass Equivalents - States, Opt1'!$A$8:$AP$56,32,0)*VLOOKUP($A38,'Mass Equivalents - States, Opt1'!$A$8:$AP$56,42,0),VLOOKUP($A38,'Mass Equivalents - States, Opt1'!$A$8:$AP$56,32,0)*VLOOKUP($A38,'Mass Equivalents - States, Opt1'!$A$8:$AP$56,42)*VLOOKUP($A38,'Mass Equivalents - States, Opt1'!$A$8:$AP$56,41,0))</f>
        <v>7535925.4187734053</v>
      </c>
      <c r="D38" s="50">
        <f>MIN(VLOOKUP($A38,'Mass Equivalents - States, Opt1'!$A$8:$AP$56,33,0)*VLOOKUP($A38,'Mass Equivalents - States, Opt1'!$A$8:$AP$56,42,0),VLOOKUP($A38,'Mass Equivalents - States, Opt1'!$A$8:$AP$56,33,0)*VLOOKUP($A38,'Mass Equivalents - States, Opt1'!$A$8:$AP$56,42)*VLOOKUP($A38,'Mass Equivalents - States, Opt1'!$A$8:$AP$56,41,0))</f>
        <v>9063215.4336054511</v>
      </c>
      <c r="E38" s="50">
        <f>MIN(VLOOKUP($A38,'Mass Equivalents - States, Opt1'!$A$8:$AP$56,34,0)*VLOOKUP($A38,'Mass Equivalents - States, Opt1'!$A$8:$AP$56,42,0),VLOOKUP($A38,'Mass Equivalents - States, Opt1'!$A$8:$AP$56,34,0)*VLOOKUP($A38,'Mass Equivalents - States, Opt1'!$A$8:$AP$56,42)*VLOOKUP($A38,'Mass Equivalents - States, Opt1'!$A$8:$AP$56,41,0))</f>
        <v>10458817.696306411</v>
      </c>
      <c r="F38" s="50">
        <f>MIN(VLOOKUP($A38,'Mass Equivalents - States, Opt1'!$A$8:$AP$56,35,0)*VLOOKUP($A38,'Mass Equivalents - States, Opt1'!$A$8:$AP$56,42,0),VLOOKUP($A38,'Mass Equivalents - States, Opt1'!$A$8:$AP$56,35,0)*VLOOKUP($A38,'Mass Equivalents - States, Opt1'!$A$8:$AP$56,42)*VLOOKUP($A38,'Mass Equivalents - States, Opt1'!$A$8:$AP$56,41,0))</f>
        <v>11726845.477573872</v>
      </c>
      <c r="G38" s="50">
        <f>MIN(VLOOKUP($A38,'Mass Equivalents - States, Opt1'!$A$8:$AP$56,36,0)*VLOOKUP($A38,'Mass Equivalents - States, Opt1'!$A$8:$AP$56,42,0),VLOOKUP($A38,'Mass Equivalents - States, Opt1'!$A$8:$AP$56,36,0)*VLOOKUP($A38,'Mass Equivalents - States, Opt1'!$A$8:$AP$56,42)*VLOOKUP($A38,'Mass Equivalents - States, Opt1'!$A$8:$AP$56,41,0))</f>
        <v>12871224.26930159</v>
      </c>
      <c r="H38" s="50">
        <f>MIN(VLOOKUP($A38,'Mass Equivalents - States, Opt1'!$A$8:$AP$56,37,0)*VLOOKUP($A38,'Mass Equivalents - States, Opt1'!$A$8:$AP$56,42,0),VLOOKUP($A38,'Mass Equivalents - States, Opt1'!$A$8:$AP$56,37,0)*VLOOKUP($A38,'Mass Equivalents - States, Opt1'!$A$8:$AP$56,42)*VLOOKUP($A38,'Mass Equivalents - States, Opt1'!$A$8:$AP$56,41,0))</f>
        <v>13895699.016484639</v>
      </c>
      <c r="I38" s="50">
        <f>MIN(VLOOKUP($A38,'Mass Equivalents - States, Opt1'!$A$8:$AP$56,38,0)*VLOOKUP($A38,'Mass Equivalents - States, Opt1'!$A$8:$AP$56,42,0),VLOOKUP($A38,'Mass Equivalents - States, Opt1'!$A$8:$AP$56,38,0)*VLOOKUP($A38,'Mass Equivalents - States, Opt1'!$A$8:$AP$56,42)*VLOOKUP($A38,'Mass Equivalents - States, Opt1'!$A$8:$AP$56,41,0))</f>
        <v>14803841.049868254</v>
      </c>
      <c r="J38" s="50">
        <f>MIN(VLOOKUP($A38,'Mass Equivalents - States, Opt1'!$A$8:$AP$56,39,0)*VLOOKUP($A38,'Mass Equivalents - States, Opt1'!$A$8:$AP$56,42,0),VLOOKUP($A38,'Mass Equivalents - States, Opt1'!$A$8:$AP$56,39,0)*VLOOKUP($A38,'Mass Equivalents - States, Opt1'!$A$8:$AP$56,42)*VLOOKUP($A38,'Mass Equivalents - States, Opt1'!$A$8:$AP$56,41,0))</f>
        <v>15599054.731343538</v>
      </c>
      <c r="K38" s="46">
        <f>MIN(VLOOKUP($A38,'Mass Equivalents - States, Opt1'!$A$8:$AP$56,40,0)*VLOOKUP($A38,'Mass Equivalents - States, Opt1'!$A$8:$AP$56,42,0),VLOOKUP($A38,'Mass Equivalents - States, Opt1'!$A$8:$AP$56,40,0)*VLOOKUP($A38,'Mass Equivalents - States, Opt1'!$A$8:$AP$56,42)*VLOOKUP($A38,'Mass Equivalents - States, Opt1'!$A$8:$AP$56,41,0))</f>
        <v>16284583.823605094</v>
      </c>
      <c r="N38" s="49" t="s">
        <v>76</v>
      </c>
      <c r="O38" s="50">
        <f>MIN(VLOOKUP($N38,'Mass Equivalents - States, Opt2'!$A$8:$AF$56,32,0)*VLOOKUP($N38,'Mass Equivalents - States, Opt2'!$A$8:$AF$56,31,0)*VLOOKUP($N38,'Mass Equivalents - States, Opt2'!$A$8:$AF$56,26,0),VLOOKUP($N38,'Mass Equivalents - States, Opt2'!$A$8:$AF$56,32,0)*VLOOKUP($N38,'Mass Equivalents - States, Opt2'!$A$8:$AF$56,26,0))</f>
        <v>4886257.4775599288</v>
      </c>
      <c r="P38" s="50">
        <f>MIN(VLOOKUP($N38,'Mass Equivalents - States, Opt2'!$A$8:$AF$56,32,0)*VLOOKUP($N38,'Mass Equivalents - States, Opt2'!$A$8:$AF$56,31,0)*VLOOKUP($N38,'Mass Equivalents - States, Opt2'!$A$8:$AF$56,27,0),VLOOKUP($N38,'Mass Equivalents - States, Opt2'!$A$8:$AF$56,32,0)*VLOOKUP($N38,'Mass Equivalents - States, Opt2'!$A$8:$AF$56,27,0))</f>
        <v>5943939.4066251619</v>
      </c>
      <c r="Q38" s="50">
        <f>MIN(VLOOKUP($N38,'Mass Equivalents - States, Opt2'!$A$8:$AF$56,32,0)*VLOOKUP($N38,'Mass Equivalents - States, Opt2'!$A$8:$AF$56,31,0)*VLOOKUP($N38,'Mass Equivalents - States, Opt2'!$A$8:$AF$56,28,0),VLOOKUP($N38,'Mass Equivalents - States, Opt2'!$A$8:$AF$56,32,0)*VLOOKUP($N38,'Mass Equivalents - States, Opt2'!$A$8:$AF$56,28,0))</f>
        <v>6916912.3762651635</v>
      </c>
      <c r="R38" s="50">
        <f>MIN(VLOOKUP($N38,'Mass Equivalents - States, Opt2'!$A$8:$AF$56,32,0)*VLOOKUP($N38,'Mass Equivalents - States, Opt2'!$A$8:$AF$56,31,0)*VLOOKUP($N38,'Mass Equivalents - States, Opt2'!$A$8:$AF$56,29,0),VLOOKUP($N38,'Mass Equivalents - States, Opt2'!$A$8:$AF$56,32,0)*VLOOKUP($N38,'Mass Equivalents - States, Opt2'!$A$8:$AF$56,29,0))</f>
        <v>7807198.8377298061</v>
      </c>
      <c r="S38" s="46">
        <f>MIN(VLOOKUP($N38,'Mass Equivalents - States, Opt2'!$A$8:$AF$56,32,0)*VLOOKUP($N38,'Mass Equivalents - States, Opt2'!$A$8:$AF$56,31,0)*VLOOKUP($N38,'Mass Equivalents - States, Opt2'!$A$8:$AF$56,30,0),VLOOKUP($N38,'Mass Equivalents - States, Opt2'!$A$8:$AF$56,32,0)*VLOOKUP($N38,'Mass Equivalents - States, Opt2'!$A$8:$AF$56,30,0))</f>
        <v>8616745.2929065488</v>
      </c>
    </row>
    <row r="39" spans="1:19" x14ac:dyDescent="0.25">
      <c r="A39" s="49" t="s">
        <v>77</v>
      </c>
      <c r="B39" s="50">
        <f>MIN(VLOOKUP($A39,'Mass Equivalents - States, Opt1'!$A$8:$AP$56,31,0)*VLOOKUP($A39,'Mass Equivalents - States, Opt1'!$A$8:$AP$56,42,0),VLOOKUP($A39,'Mass Equivalents - States, Opt1'!$A$8:$AP$56,31,0)*VLOOKUP($A39,'Mass Equivalents - States, Opt1'!$A$8:$AP$56,42)*VLOOKUP($A39,'Mass Equivalents - States, Opt1'!$A$8:$AP$56,41,0))</f>
        <v>1183860.4730564498</v>
      </c>
      <c r="C39" s="50">
        <f>MIN(VLOOKUP($A39,'Mass Equivalents - States, Opt1'!$A$8:$AP$56,32,0)*VLOOKUP($A39,'Mass Equivalents - States, Opt1'!$A$8:$AP$56,42,0),VLOOKUP($A39,'Mass Equivalents - States, Opt1'!$A$8:$AP$56,32,0)*VLOOKUP($A39,'Mass Equivalents - States, Opt1'!$A$8:$AP$56,42)*VLOOKUP($A39,'Mass Equivalents - States, Opt1'!$A$8:$AP$56,41,0))</f>
        <v>1730066.031543473</v>
      </c>
      <c r="D39" s="50">
        <f>MIN(VLOOKUP($A39,'Mass Equivalents - States, Opt1'!$A$8:$AP$56,33,0)*VLOOKUP($A39,'Mass Equivalents - States, Opt1'!$A$8:$AP$56,42,0),VLOOKUP($A39,'Mass Equivalents - States, Opt1'!$A$8:$AP$56,33,0)*VLOOKUP($A39,'Mass Equivalents - States, Opt1'!$A$8:$AP$56,42)*VLOOKUP($A39,'Mass Equivalents - States, Opt1'!$A$8:$AP$56,41,0))</f>
        <v>2357283.9038682627</v>
      </c>
      <c r="E39" s="50">
        <f>MIN(VLOOKUP($A39,'Mass Equivalents - States, Opt1'!$A$8:$AP$56,34,0)*VLOOKUP($A39,'Mass Equivalents - States, Opt1'!$A$8:$AP$56,42,0),VLOOKUP($A39,'Mass Equivalents - States, Opt1'!$A$8:$AP$56,34,0)*VLOOKUP($A39,'Mass Equivalents - States, Opt1'!$A$8:$AP$56,42)*VLOOKUP($A39,'Mass Equivalents - States, Opt1'!$A$8:$AP$56,41,0))</f>
        <v>3055658.0176925324</v>
      </c>
      <c r="F39" s="50">
        <f>MIN(VLOOKUP($A39,'Mass Equivalents - States, Opt1'!$A$8:$AP$56,35,0)*VLOOKUP($A39,'Mass Equivalents - States, Opt1'!$A$8:$AP$56,42,0),VLOOKUP($A39,'Mass Equivalents - States, Opt1'!$A$8:$AP$56,35,0)*VLOOKUP($A39,'Mass Equivalents - States, Opt1'!$A$8:$AP$56,42)*VLOOKUP($A39,'Mass Equivalents - States, Opt1'!$A$8:$AP$56,41,0))</f>
        <v>3754131.2125635082</v>
      </c>
      <c r="G39" s="50">
        <f>MIN(VLOOKUP($A39,'Mass Equivalents - States, Opt1'!$A$8:$AP$56,36,0)*VLOOKUP($A39,'Mass Equivalents - States, Opt1'!$A$8:$AP$56,42,0),VLOOKUP($A39,'Mass Equivalents - States, Opt1'!$A$8:$AP$56,36,0)*VLOOKUP($A39,'Mass Equivalents - States, Opt1'!$A$8:$AP$56,42)*VLOOKUP($A39,'Mass Equivalents - States, Opt1'!$A$8:$AP$56,41,0))</f>
        <v>4390570.1896542804</v>
      </c>
      <c r="H39" s="50">
        <f>MIN(VLOOKUP($A39,'Mass Equivalents - States, Opt1'!$A$8:$AP$56,37,0)*VLOOKUP($A39,'Mass Equivalents - States, Opt1'!$A$8:$AP$56,42,0),VLOOKUP($A39,'Mass Equivalents - States, Opt1'!$A$8:$AP$56,37,0)*VLOOKUP($A39,'Mass Equivalents - States, Opt1'!$A$8:$AP$56,42)*VLOOKUP($A39,'Mass Equivalents - States, Opt1'!$A$8:$AP$56,41,0))</f>
        <v>4967375.0426625963</v>
      </c>
      <c r="I39" s="50">
        <f>MIN(VLOOKUP($A39,'Mass Equivalents - States, Opt1'!$A$8:$AP$56,38,0)*VLOOKUP($A39,'Mass Equivalents - States, Opt1'!$A$8:$AP$56,42,0),VLOOKUP($A39,'Mass Equivalents - States, Opt1'!$A$8:$AP$56,38,0)*VLOOKUP($A39,'Mass Equivalents - States, Opt1'!$A$8:$AP$56,42)*VLOOKUP($A39,'Mass Equivalents - States, Opt1'!$A$8:$AP$56,41,0))</f>
        <v>5486833.0197959049</v>
      </c>
      <c r="J39" s="50">
        <f>MIN(VLOOKUP($A39,'Mass Equivalents - States, Opt1'!$A$8:$AP$56,39,0)*VLOOKUP($A39,'Mass Equivalents - States, Opt1'!$A$8:$AP$56,42,0),VLOOKUP($A39,'Mass Equivalents - States, Opt1'!$A$8:$AP$56,39,0)*VLOOKUP($A39,'Mass Equivalents - States, Opt1'!$A$8:$AP$56,42)*VLOOKUP($A39,'Mass Equivalents - States, Opt1'!$A$8:$AP$56,41,0))</f>
        <v>5951123.5345450696</v>
      </c>
      <c r="K39" s="46">
        <f>MIN(VLOOKUP($A39,'Mass Equivalents - States, Opt1'!$A$8:$AP$56,40,0)*VLOOKUP($A39,'Mass Equivalents - States, Opt1'!$A$8:$AP$56,42,0),VLOOKUP($A39,'Mass Equivalents - States, Opt1'!$A$8:$AP$56,40,0)*VLOOKUP($A39,'Mass Equivalents - States, Opt1'!$A$8:$AP$56,42)*VLOOKUP($A39,'Mass Equivalents - States, Opt1'!$A$8:$AP$56,41,0))</f>
        <v>6362322.9503799342</v>
      </c>
      <c r="N39" s="49" t="s">
        <v>77</v>
      </c>
      <c r="O39" s="50">
        <f>MIN(VLOOKUP($N39,'Mass Equivalents - States, Opt2'!$A$8:$AF$56,32,0)*VLOOKUP($N39,'Mass Equivalents - States, Opt2'!$A$8:$AF$56,31,0)*VLOOKUP($N39,'Mass Equivalents - States, Opt2'!$A$8:$AF$56,26,0),VLOOKUP($N39,'Mass Equivalents - States, Opt2'!$A$8:$AF$56,32,0)*VLOOKUP($N39,'Mass Equivalents - States, Opt2'!$A$8:$AF$56,26,0))</f>
        <v>1004031.6630405815</v>
      </c>
      <c r="P39" s="50">
        <f>MIN(VLOOKUP($N39,'Mass Equivalents - States, Opt2'!$A$8:$AF$56,32,0)*VLOOKUP($N39,'Mass Equivalents - States, Opt2'!$A$8:$AF$56,31,0)*VLOOKUP($N39,'Mass Equivalents - States, Opt2'!$A$8:$AF$56,27,0),VLOOKUP($N39,'Mass Equivalents - States, Opt2'!$A$8:$AF$56,32,0)*VLOOKUP($N39,'Mass Equivalents - States, Opt2'!$A$8:$AF$56,27,0))</f>
        <v>1438815.9820419131</v>
      </c>
      <c r="Q39" s="50">
        <f>MIN(VLOOKUP($N39,'Mass Equivalents - States, Opt2'!$A$8:$AF$56,32,0)*VLOOKUP($N39,'Mass Equivalents - States, Opt2'!$A$8:$AF$56,31,0)*VLOOKUP($N39,'Mass Equivalents - States, Opt2'!$A$8:$AF$56,28,0),VLOOKUP($N39,'Mass Equivalents - States, Opt2'!$A$8:$AF$56,32,0)*VLOOKUP($N39,'Mass Equivalents - States, Opt2'!$A$8:$AF$56,28,0))</f>
        <v>1933536.9325591787</v>
      </c>
      <c r="R39" s="50">
        <f>MIN(VLOOKUP($N39,'Mass Equivalents - States, Opt2'!$A$8:$AF$56,32,0)*VLOOKUP($N39,'Mass Equivalents - States, Opt2'!$A$8:$AF$56,31,0)*VLOOKUP($N39,'Mass Equivalents - States, Opt2'!$A$8:$AF$56,29,0),VLOOKUP($N39,'Mass Equivalents - States, Opt2'!$A$8:$AF$56,32,0)*VLOOKUP($N39,'Mass Equivalents - States, Opt2'!$A$8:$AF$56,29,0))</f>
        <v>2418976.01788504</v>
      </c>
      <c r="S39" s="46">
        <f>MIN(VLOOKUP($N39,'Mass Equivalents - States, Opt2'!$A$8:$AF$56,32,0)*VLOOKUP($N39,'Mass Equivalents - States, Opt2'!$A$8:$AF$56,31,0)*VLOOKUP($N39,'Mass Equivalents - States, Opt2'!$A$8:$AF$56,30,0),VLOOKUP($N39,'Mass Equivalents - States, Opt2'!$A$8:$AF$56,32,0)*VLOOKUP($N39,'Mass Equivalents - States, Opt2'!$A$8:$AF$56,30,0))</f>
        <v>2864350.7721794518</v>
      </c>
    </row>
    <row r="40" spans="1:19" x14ac:dyDescent="0.25">
      <c r="A40" s="49" t="s">
        <v>78</v>
      </c>
      <c r="B40" s="50">
        <f>MIN(VLOOKUP($A40,'Mass Equivalents - States, Opt1'!$A$8:$AP$56,31,0)*VLOOKUP($A40,'Mass Equivalents - States, Opt1'!$A$8:$AP$56,42,0),VLOOKUP($A40,'Mass Equivalents - States, Opt1'!$A$8:$AP$56,31,0)*VLOOKUP($A40,'Mass Equivalents - States, Opt1'!$A$8:$AP$56,42)*VLOOKUP($A40,'Mass Equivalents - States, Opt1'!$A$8:$AP$56,41,0))</f>
        <v>2337044.4687276706</v>
      </c>
      <c r="C40" s="50">
        <f>MIN(VLOOKUP($A40,'Mass Equivalents - States, Opt1'!$A$8:$AP$56,32,0)*VLOOKUP($A40,'Mass Equivalents - States, Opt1'!$A$8:$AP$56,42,0),VLOOKUP($A40,'Mass Equivalents - States, Opt1'!$A$8:$AP$56,32,0)*VLOOKUP($A40,'Mass Equivalents - States, Opt1'!$A$8:$AP$56,42)*VLOOKUP($A40,'Mass Equivalents - States, Opt1'!$A$8:$AP$56,41,0))</f>
        <v>2894299.1119703529</v>
      </c>
      <c r="D40" s="50">
        <f>MIN(VLOOKUP($A40,'Mass Equivalents - States, Opt1'!$A$8:$AP$56,33,0)*VLOOKUP($A40,'Mass Equivalents - States, Opt1'!$A$8:$AP$56,42,0),VLOOKUP($A40,'Mass Equivalents - States, Opt1'!$A$8:$AP$56,33,0)*VLOOKUP($A40,'Mass Equivalents - States, Opt1'!$A$8:$AP$56,42)*VLOOKUP($A40,'Mass Equivalents - States, Opt1'!$A$8:$AP$56,41,0))</f>
        <v>3402107.4588135127</v>
      </c>
      <c r="E40" s="50">
        <f>MIN(VLOOKUP($A40,'Mass Equivalents - States, Opt1'!$A$8:$AP$56,34,0)*VLOOKUP($A40,'Mass Equivalents - States, Opt1'!$A$8:$AP$56,42,0),VLOOKUP($A40,'Mass Equivalents - States, Opt1'!$A$8:$AP$56,34,0)*VLOOKUP($A40,'Mass Equivalents - States, Opt1'!$A$8:$AP$56,42)*VLOOKUP($A40,'Mass Equivalents - States, Opt1'!$A$8:$AP$56,41,0))</f>
        <v>3862457.8714649272</v>
      </c>
      <c r="F40" s="50">
        <f>MIN(VLOOKUP($A40,'Mass Equivalents - States, Opt1'!$A$8:$AP$56,35,0)*VLOOKUP($A40,'Mass Equivalents - States, Opt1'!$A$8:$AP$56,42,0),VLOOKUP($A40,'Mass Equivalents - States, Opt1'!$A$8:$AP$56,35,0)*VLOOKUP($A40,'Mass Equivalents - States, Opt1'!$A$8:$AP$56,42)*VLOOKUP($A40,'Mass Equivalents - States, Opt1'!$A$8:$AP$56,41,0))</f>
        <v>4277244.2107571363</v>
      </c>
      <c r="G40" s="50">
        <f>MIN(VLOOKUP($A40,'Mass Equivalents - States, Opt1'!$A$8:$AP$56,36,0)*VLOOKUP($A40,'Mass Equivalents - States, Opt1'!$A$8:$AP$56,42,0),VLOOKUP($A40,'Mass Equivalents - States, Opt1'!$A$8:$AP$56,36,0)*VLOOKUP($A40,'Mass Equivalents - States, Opt1'!$A$8:$AP$56,42)*VLOOKUP($A40,'Mass Equivalents - States, Opt1'!$A$8:$AP$56,41,0))</f>
        <v>4648270.1329784105</v>
      </c>
      <c r="H40" s="50">
        <f>MIN(VLOOKUP($A40,'Mass Equivalents - States, Opt1'!$A$8:$AP$56,37,0)*VLOOKUP($A40,'Mass Equivalents - States, Opt1'!$A$8:$AP$56,42,0),VLOOKUP($A40,'Mass Equivalents - States, Opt1'!$A$8:$AP$56,37,0)*VLOOKUP($A40,'Mass Equivalents - States, Opt1'!$A$8:$AP$56,42)*VLOOKUP($A40,'Mass Equivalents - States, Opt1'!$A$8:$AP$56,41,0))</f>
        <v>4977253.1891314136</v>
      </c>
      <c r="I40" s="50">
        <f>MIN(VLOOKUP($A40,'Mass Equivalents - States, Opt1'!$A$8:$AP$56,38,0)*VLOOKUP($A40,'Mass Equivalents - States, Opt1'!$A$8:$AP$56,42,0),VLOOKUP($A40,'Mass Equivalents - States, Opt1'!$A$8:$AP$56,38,0)*VLOOKUP($A40,'Mass Equivalents - States, Opt1'!$A$8:$AP$56,42)*VLOOKUP($A40,'Mass Equivalents - States, Opt1'!$A$8:$AP$56,41,0))</f>
        <v>5265828.7356780618</v>
      </c>
      <c r="J40" s="50">
        <f>MIN(VLOOKUP($A40,'Mass Equivalents - States, Opt1'!$A$8:$AP$56,39,0)*VLOOKUP($A40,'Mass Equivalents - States, Opt1'!$A$8:$AP$56,42,0),VLOOKUP($A40,'Mass Equivalents - States, Opt1'!$A$8:$AP$56,39,0)*VLOOKUP($A40,'Mass Equivalents - States, Opt1'!$A$8:$AP$56,42)*VLOOKUP($A40,'Mass Equivalents - States, Opt1'!$A$8:$AP$56,41,0))</f>
        <v>5515553.6654134728</v>
      </c>
      <c r="K40" s="46">
        <f>MIN(VLOOKUP($A40,'Mass Equivalents - States, Opt1'!$A$8:$AP$56,40,0)*VLOOKUP($A40,'Mass Equivalents - States, Opt1'!$A$8:$AP$56,42,0),VLOOKUP($A40,'Mass Equivalents - States, Opt1'!$A$8:$AP$56,40,0)*VLOOKUP($A40,'Mass Equivalents - States, Opt1'!$A$8:$AP$56,42)*VLOOKUP($A40,'Mass Equivalents - States, Opt1'!$A$8:$AP$56,41,0))</f>
        <v>5727909.9667152949</v>
      </c>
      <c r="N40" s="49" t="s">
        <v>78</v>
      </c>
      <c r="O40" s="50">
        <f>MIN(VLOOKUP($N40,'Mass Equivalents - States, Opt2'!$A$8:$AF$56,32,0)*VLOOKUP($N40,'Mass Equivalents - States, Opt2'!$A$8:$AF$56,31,0)*VLOOKUP($N40,'Mass Equivalents - States, Opt2'!$A$8:$AF$56,26,0),VLOOKUP($N40,'Mass Equivalents - States, Opt2'!$A$8:$AF$56,32,0)*VLOOKUP($N40,'Mass Equivalents - States, Opt2'!$A$8:$AF$56,26,0))</f>
        <v>1779422.0383785886</v>
      </c>
      <c r="P40" s="50">
        <f>MIN(VLOOKUP($N40,'Mass Equivalents - States, Opt2'!$A$8:$AF$56,32,0)*VLOOKUP($N40,'Mass Equivalents - States, Opt2'!$A$8:$AF$56,31,0)*VLOOKUP($N40,'Mass Equivalents - States, Opt2'!$A$8:$AF$56,27,0),VLOOKUP($N40,'Mass Equivalents - States, Opt2'!$A$8:$AF$56,32,0)*VLOOKUP($N40,'Mass Equivalents - States, Opt2'!$A$8:$AF$56,27,0))</f>
        <v>2141044.2445957242</v>
      </c>
      <c r="Q40" s="50">
        <f>MIN(VLOOKUP($N40,'Mass Equivalents - States, Opt2'!$A$8:$AF$56,32,0)*VLOOKUP($N40,'Mass Equivalents - States, Opt2'!$A$8:$AF$56,31,0)*VLOOKUP($N40,'Mass Equivalents - States, Opt2'!$A$8:$AF$56,28,0),VLOOKUP($N40,'Mass Equivalents - States, Opt2'!$A$8:$AF$56,32,0)*VLOOKUP($N40,'Mass Equivalents - States, Opt2'!$A$8:$AF$56,28,0))</f>
        <v>2471575.1765211234</v>
      </c>
      <c r="R40" s="50">
        <f>MIN(VLOOKUP($N40,'Mass Equivalents - States, Opt2'!$A$8:$AF$56,32,0)*VLOOKUP($N40,'Mass Equivalents - States, Opt2'!$A$8:$AF$56,31,0)*VLOOKUP($N40,'Mass Equivalents - States, Opt2'!$A$8:$AF$56,29,0),VLOOKUP($N40,'Mass Equivalents - States, Opt2'!$A$8:$AF$56,32,0)*VLOOKUP($N40,'Mass Equivalents - States, Opt2'!$A$8:$AF$56,29,0))</f>
        <v>2772041.1154270899</v>
      </c>
      <c r="S40" s="46">
        <f>MIN(VLOOKUP($N40,'Mass Equivalents - States, Opt2'!$A$8:$AF$56,32,0)*VLOOKUP($N40,'Mass Equivalents - States, Opt2'!$A$8:$AF$56,31,0)*VLOOKUP($N40,'Mass Equivalents - States, Opt2'!$A$8:$AF$56,30,0),VLOOKUP($N40,'Mass Equivalents - States, Opt2'!$A$8:$AF$56,32,0)*VLOOKUP($N40,'Mass Equivalents - States, Opt2'!$A$8:$AF$56,30,0))</f>
        <v>3043428.1915138704</v>
      </c>
    </row>
    <row r="41" spans="1:19" x14ac:dyDescent="0.25">
      <c r="A41" s="49" t="s">
        <v>79</v>
      </c>
      <c r="B41" s="50">
        <f>MIN(VLOOKUP($A41,'Mass Equivalents - States, Opt1'!$A$8:$AP$56,31,0)*VLOOKUP($A41,'Mass Equivalents - States, Opt1'!$A$8:$AP$56,42,0),VLOOKUP($A41,'Mass Equivalents - States, Opt1'!$A$8:$AP$56,31,0)*VLOOKUP($A41,'Mass Equivalents - States, Opt1'!$A$8:$AP$56,42)*VLOOKUP($A41,'Mass Equivalents - States, Opt1'!$A$8:$AP$56,41,0))</f>
        <v>7266263.338047822</v>
      </c>
      <c r="C41" s="50">
        <f>MIN(VLOOKUP($A41,'Mass Equivalents - States, Opt1'!$A$8:$AP$56,32,0)*VLOOKUP($A41,'Mass Equivalents - States, Opt1'!$A$8:$AP$56,42,0),VLOOKUP($A41,'Mass Equivalents - States, Opt1'!$A$8:$AP$56,32,0)*VLOOKUP($A41,'Mass Equivalents - States, Opt1'!$A$8:$AP$56,42)*VLOOKUP($A41,'Mass Equivalents - States, Opt1'!$A$8:$AP$56,41,0))</f>
        <v>9033388.8756966051</v>
      </c>
      <c r="D41" s="50">
        <f>MIN(VLOOKUP($A41,'Mass Equivalents - States, Opt1'!$A$8:$AP$56,33,0)*VLOOKUP($A41,'Mass Equivalents - States, Opt1'!$A$8:$AP$56,42,0),VLOOKUP($A41,'Mass Equivalents - States, Opt1'!$A$8:$AP$56,33,0)*VLOOKUP($A41,'Mass Equivalents - States, Opt1'!$A$8:$AP$56,42)*VLOOKUP($A41,'Mass Equivalents - States, Opt1'!$A$8:$AP$56,41,0))</f>
        <v>10651383.285153097</v>
      </c>
      <c r="E41" s="50">
        <f>MIN(VLOOKUP($A41,'Mass Equivalents - States, Opt1'!$A$8:$AP$56,34,0)*VLOOKUP($A41,'Mass Equivalents - States, Opt1'!$A$8:$AP$56,42,0),VLOOKUP($A41,'Mass Equivalents - States, Opt1'!$A$8:$AP$56,34,0)*VLOOKUP($A41,'Mass Equivalents - States, Opt1'!$A$8:$AP$56,42)*VLOOKUP($A41,'Mass Equivalents - States, Opt1'!$A$8:$AP$56,41,0))</f>
        <v>12125180.060346656</v>
      </c>
      <c r="F41" s="50">
        <f>MIN(VLOOKUP($A41,'Mass Equivalents - States, Opt1'!$A$8:$AP$56,35,0)*VLOOKUP($A41,'Mass Equivalents - States, Opt1'!$A$8:$AP$56,42,0),VLOOKUP($A41,'Mass Equivalents - States, Opt1'!$A$8:$AP$56,35,0)*VLOOKUP($A41,'Mass Equivalents - States, Opt1'!$A$8:$AP$56,42)*VLOOKUP($A41,'Mass Equivalents - States, Opt1'!$A$8:$AP$56,41,0))</f>
        <v>13459487.76009582</v>
      </c>
      <c r="G41" s="50">
        <f>MIN(VLOOKUP($A41,'Mass Equivalents - States, Opt1'!$A$8:$AP$56,36,0)*VLOOKUP($A41,'Mass Equivalents - States, Opt1'!$A$8:$AP$56,42,0),VLOOKUP($A41,'Mass Equivalents - States, Opt1'!$A$8:$AP$56,36,0)*VLOOKUP($A41,'Mass Equivalents - States, Opt1'!$A$8:$AP$56,42)*VLOOKUP($A41,'Mass Equivalents - States, Opt1'!$A$8:$AP$56,41,0))</f>
        <v>14658798.993410224</v>
      </c>
      <c r="H41" s="50">
        <f>MIN(VLOOKUP($A41,'Mass Equivalents - States, Opt1'!$A$8:$AP$56,37,0)*VLOOKUP($A41,'Mass Equivalents - States, Opt1'!$A$8:$AP$56,42,0),VLOOKUP($A41,'Mass Equivalents - States, Opt1'!$A$8:$AP$56,37,0)*VLOOKUP($A41,'Mass Equivalents - States, Opt1'!$A$8:$AP$56,42)*VLOOKUP($A41,'Mass Equivalents - States, Opt1'!$A$8:$AP$56,41,0))</f>
        <v>15727399.026896898</v>
      </c>
      <c r="I41" s="50">
        <f>MIN(VLOOKUP($A41,'Mass Equivalents - States, Opt1'!$A$8:$AP$56,38,0)*VLOOKUP($A41,'Mass Equivalents - States, Opt1'!$A$8:$AP$56,42,0),VLOOKUP($A41,'Mass Equivalents - States, Opt1'!$A$8:$AP$56,38,0)*VLOOKUP($A41,'Mass Equivalents - States, Opt1'!$A$8:$AP$56,42)*VLOOKUP($A41,'Mass Equivalents - States, Opt1'!$A$8:$AP$56,41,0))</f>
        <v>16669374.029840894</v>
      </c>
      <c r="J41" s="50">
        <f>MIN(VLOOKUP($A41,'Mass Equivalents - States, Opt1'!$A$8:$AP$56,39,0)*VLOOKUP($A41,'Mass Equivalents - States, Opt1'!$A$8:$AP$56,42,0),VLOOKUP($A41,'Mass Equivalents - States, Opt1'!$A$8:$AP$56,39,0)*VLOOKUP($A41,'Mass Equivalents - States, Opt1'!$A$8:$AP$56,42)*VLOOKUP($A41,'Mass Equivalents - States, Opt1'!$A$8:$AP$56,41,0))</f>
        <v>17488618.971883424</v>
      </c>
      <c r="K41" s="46">
        <f>MIN(VLOOKUP($A41,'Mass Equivalents - States, Opt1'!$A$8:$AP$56,40,0)*VLOOKUP($A41,'Mass Equivalents - States, Opt1'!$A$8:$AP$56,42,0),VLOOKUP($A41,'Mass Equivalents - States, Opt1'!$A$8:$AP$56,40,0)*VLOOKUP($A41,'Mass Equivalents - States, Opt1'!$A$8:$AP$56,42)*VLOOKUP($A41,'Mass Equivalents - States, Opt1'!$A$8:$AP$56,41,0))</f>
        <v>18188845.187600762</v>
      </c>
      <c r="N41" s="49" t="s">
        <v>79</v>
      </c>
      <c r="O41" s="50">
        <f>MIN(VLOOKUP($N41,'Mass Equivalents - States, Opt2'!$A$8:$AF$56,32,0)*VLOOKUP($N41,'Mass Equivalents - States, Opt2'!$A$8:$AF$56,31,0)*VLOOKUP($N41,'Mass Equivalents - States, Opt2'!$A$8:$AF$56,26,0),VLOOKUP($N41,'Mass Equivalents - States, Opt2'!$A$8:$AF$56,32,0)*VLOOKUP($N41,'Mass Equivalents - States, Opt2'!$A$8:$AF$56,26,0))</f>
        <v>5577097.2044466706</v>
      </c>
      <c r="P41" s="50">
        <f>MIN(VLOOKUP($N41,'Mass Equivalents - States, Opt2'!$A$8:$AF$56,32,0)*VLOOKUP($N41,'Mass Equivalents - States, Opt2'!$A$8:$AF$56,31,0)*VLOOKUP($N41,'Mass Equivalents - States, Opt2'!$A$8:$AF$56,27,0),VLOOKUP($N41,'Mass Equivalents - States, Opt2'!$A$8:$AF$56,32,0)*VLOOKUP($N41,'Mass Equivalents - States, Opt2'!$A$8:$AF$56,27,0))</f>
        <v>6724212.9038280938</v>
      </c>
      <c r="Q41" s="50">
        <f>MIN(VLOOKUP($N41,'Mass Equivalents - States, Opt2'!$A$8:$AF$56,32,0)*VLOOKUP($N41,'Mass Equivalents - States, Opt2'!$A$8:$AF$56,31,0)*VLOOKUP($N41,'Mass Equivalents - States, Opt2'!$A$8:$AF$56,28,0),VLOOKUP($N41,'Mass Equivalents - States, Opt2'!$A$8:$AF$56,32,0)*VLOOKUP($N41,'Mass Equivalents - States, Opt2'!$A$8:$AF$56,28,0))</f>
        <v>7777575.1977394316</v>
      </c>
      <c r="R41" s="50">
        <f>MIN(VLOOKUP($N41,'Mass Equivalents - States, Opt2'!$A$8:$AF$56,32,0)*VLOOKUP($N41,'Mass Equivalents - States, Opt2'!$A$8:$AF$56,31,0)*VLOOKUP($N41,'Mass Equivalents - States, Opt2'!$A$8:$AF$56,29,0),VLOOKUP($N41,'Mass Equivalents - States, Opt2'!$A$8:$AF$56,32,0)*VLOOKUP($N41,'Mass Equivalents - States, Opt2'!$A$8:$AF$56,29,0))</f>
        <v>8739573.7876283377</v>
      </c>
      <c r="S41" s="46">
        <f>MIN(VLOOKUP($N41,'Mass Equivalents - States, Opt2'!$A$8:$AF$56,32,0)*VLOOKUP($N41,'Mass Equivalents - States, Opt2'!$A$8:$AF$56,31,0)*VLOOKUP($N41,'Mass Equivalents - States, Opt2'!$A$8:$AF$56,30,0),VLOOKUP($N41,'Mass Equivalents - States, Opt2'!$A$8:$AF$56,32,0)*VLOOKUP($N41,'Mass Equivalents - States, Opt2'!$A$8:$AF$56,30,0))</f>
        <v>9612508.7307704575</v>
      </c>
    </row>
    <row r="42" spans="1:19" x14ac:dyDescent="0.25">
      <c r="A42" s="49" t="s">
        <v>80</v>
      </c>
      <c r="B42" s="50">
        <f>MIN(VLOOKUP($A42,'Mass Equivalents - States, Opt1'!$A$8:$AP$56,31,0)*VLOOKUP($A42,'Mass Equivalents - States, Opt1'!$A$8:$AP$56,42,0),VLOOKUP($A42,'Mass Equivalents - States, Opt1'!$A$8:$AP$56,31,0)*VLOOKUP($A42,'Mass Equivalents - States, Opt1'!$A$8:$AP$56,42)*VLOOKUP($A42,'Mass Equivalents - States, Opt1'!$A$8:$AP$56,41,0))</f>
        <v>315181.83852679026</v>
      </c>
      <c r="C42" s="50">
        <f>MIN(VLOOKUP($A42,'Mass Equivalents - States, Opt1'!$A$8:$AP$56,32,0)*VLOOKUP($A42,'Mass Equivalents - States, Opt1'!$A$8:$AP$56,42,0),VLOOKUP($A42,'Mass Equivalents - States, Opt1'!$A$8:$AP$56,32,0)*VLOOKUP($A42,'Mass Equivalents - States, Opt1'!$A$8:$AP$56,42)*VLOOKUP($A42,'Mass Equivalents - States, Opt1'!$A$8:$AP$56,41,0))</f>
        <v>413129.82590471453</v>
      </c>
      <c r="D42" s="50">
        <f>MIN(VLOOKUP($A42,'Mass Equivalents - States, Opt1'!$A$8:$AP$56,33,0)*VLOOKUP($A42,'Mass Equivalents - States, Opt1'!$A$8:$AP$56,42,0),VLOOKUP($A42,'Mass Equivalents - States, Opt1'!$A$8:$AP$56,33,0)*VLOOKUP($A42,'Mass Equivalents - States, Opt1'!$A$8:$AP$56,42)*VLOOKUP($A42,'Mass Equivalents - States, Opt1'!$A$8:$AP$56,41,0))</f>
        <v>503324.42763298057</v>
      </c>
      <c r="E42" s="50">
        <f>MIN(VLOOKUP($A42,'Mass Equivalents - States, Opt1'!$A$8:$AP$56,34,0)*VLOOKUP($A42,'Mass Equivalents - States, Opt1'!$A$8:$AP$56,42,0),VLOOKUP($A42,'Mass Equivalents - States, Opt1'!$A$8:$AP$56,34,0)*VLOOKUP($A42,'Mass Equivalents - States, Opt1'!$A$8:$AP$56,42)*VLOOKUP($A42,'Mass Equivalents - States, Opt1'!$A$8:$AP$56,41,0))</f>
        <v>585988.94149242772</v>
      </c>
      <c r="F42" s="50">
        <f>MIN(VLOOKUP($A42,'Mass Equivalents - States, Opt1'!$A$8:$AP$56,35,0)*VLOOKUP($A42,'Mass Equivalents - States, Opt1'!$A$8:$AP$56,42,0),VLOOKUP($A42,'Mass Equivalents - States, Opt1'!$A$8:$AP$56,35,0)*VLOOKUP($A42,'Mass Equivalents - States, Opt1'!$A$8:$AP$56,42)*VLOOKUP($A42,'Mass Equivalents - States, Opt1'!$A$8:$AP$56,41,0))</f>
        <v>661336.54245759791</v>
      </c>
      <c r="G42" s="50">
        <f>MIN(VLOOKUP($A42,'Mass Equivalents - States, Opt1'!$A$8:$AP$56,36,0)*VLOOKUP($A42,'Mass Equivalents - States, Opt1'!$A$8:$AP$56,42,0),VLOOKUP($A42,'Mass Equivalents - States, Opt1'!$A$8:$AP$56,36,0)*VLOOKUP($A42,'Mass Equivalents - States, Opt1'!$A$8:$AP$56,42)*VLOOKUP($A42,'Mass Equivalents - States, Opt1'!$A$8:$AP$56,41,0))</f>
        <v>729570.64565089787</v>
      </c>
      <c r="H42" s="50">
        <f>MIN(VLOOKUP($A42,'Mass Equivalents - States, Opt1'!$A$8:$AP$56,37,0)*VLOOKUP($A42,'Mass Equivalents - States, Opt1'!$A$8:$AP$56,42,0),VLOOKUP($A42,'Mass Equivalents - States, Opt1'!$A$8:$AP$56,37,0)*VLOOKUP($A42,'Mass Equivalents - States, Opt1'!$A$8:$AP$56,42)*VLOOKUP($A42,'Mass Equivalents - States, Opt1'!$A$8:$AP$56,41,0))</f>
        <v>790885.25469890865</v>
      </c>
      <c r="I42" s="50">
        <f>MIN(VLOOKUP($A42,'Mass Equivalents - States, Opt1'!$A$8:$AP$56,38,0)*VLOOKUP($A42,'Mass Equivalents - States, Opt1'!$A$8:$AP$56,42,0),VLOOKUP($A42,'Mass Equivalents - States, Opt1'!$A$8:$AP$56,38,0)*VLOOKUP($A42,'Mass Equivalents - States, Opt1'!$A$8:$AP$56,42)*VLOOKUP($A42,'Mass Equivalents - States, Opt1'!$A$8:$AP$56,41,0))</f>
        <v>845465.29604489135</v>
      </c>
      <c r="J42" s="50">
        <f>MIN(VLOOKUP($A42,'Mass Equivalents - States, Opt1'!$A$8:$AP$56,39,0)*VLOOKUP($A42,'Mass Equivalents - States, Opt1'!$A$8:$AP$56,42,0),VLOOKUP($A42,'Mass Equivalents - States, Opt1'!$A$8:$AP$56,39,0)*VLOOKUP($A42,'Mass Equivalents - States, Opt1'!$A$8:$AP$56,42)*VLOOKUP($A42,'Mass Equivalents - States, Opt1'!$A$8:$AP$56,41,0))</f>
        <v>893486.93974989804</v>
      </c>
      <c r="K42" s="46">
        <f>MIN(VLOOKUP($A42,'Mass Equivalents - States, Opt1'!$A$8:$AP$56,40,0)*VLOOKUP($A42,'Mass Equivalents - States, Opt1'!$A$8:$AP$56,42,0),VLOOKUP($A42,'Mass Equivalents - States, Opt1'!$A$8:$AP$56,40,0)*VLOOKUP($A42,'Mass Equivalents - States, Opt1'!$A$8:$AP$56,42)*VLOOKUP($A42,'Mass Equivalents - States, Opt1'!$A$8:$AP$56,41,0))</f>
        <v>935117.90729408478</v>
      </c>
      <c r="N42" s="49" t="s">
        <v>80</v>
      </c>
      <c r="O42" s="50">
        <f>MIN(VLOOKUP($N42,'Mass Equivalents - States, Opt2'!$A$8:$AF$56,32,0)*VLOOKUP($N42,'Mass Equivalents - States, Opt2'!$A$8:$AF$56,31,0)*VLOOKUP($N42,'Mass Equivalents - States, Opt2'!$A$8:$AF$56,26,0),VLOOKUP($N42,'Mass Equivalents - States, Opt2'!$A$8:$AF$56,32,0)*VLOOKUP($N42,'Mass Equivalents - States, Opt2'!$A$8:$AF$56,26,0))</f>
        <v>270756.71196239663</v>
      </c>
      <c r="P42" s="50">
        <f>MIN(VLOOKUP($N42,'Mass Equivalents - States, Opt2'!$A$8:$AF$56,32,0)*VLOOKUP($N42,'Mass Equivalents - States, Opt2'!$A$8:$AF$56,31,0)*VLOOKUP($N42,'Mass Equivalents - States, Opt2'!$A$8:$AF$56,27,0),VLOOKUP($N42,'Mass Equivalents - States, Opt2'!$A$8:$AF$56,32,0)*VLOOKUP($N42,'Mass Equivalents - States, Opt2'!$A$8:$AF$56,27,0))</f>
        <v>332843.17350988404</v>
      </c>
      <c r="Q42" s="50">
        <f>MIN(VLOOKUP($N42,'Mass Equivalents - States, Opt2'!$A$8:$AF$56,32,0)*VLOOKUP($N42,'Mass Equivalents - States, Opt2'!$A$8:$AF$56,31,0)*VLOOKUP($N42,'Mass Equivalents - States, Opt2'!$A$8:$AF$56,28,0),VLOOKUP($N42,'Mass Equivalents - States, Opt2'!$A$8:$AF$56,32,0)*VLOOKUP($N42,'Mass Equivalents - States, Opt2'!$A$8:$AF$56,28,0))</f>
        <v>390110.00327852712</v>
      </c>
      <c r="R42" s="50">
        <f>MIN(VLOOKUP($N42,'Mass Equivalents - States, Opt2'!$A$8:$AF$56,32,0)*VLOOKUP($N42,'Mass Equivalents - States, Opt2'!$A$8:$AF$56,31,0)*VLOOKUP($N42,'Mass Equivalents - States, Opt2'!$A$8:$AF$56,29,0),VLOOKUP($N42,'Mass Equivalents - States, Opt2'!$A$8:$AF$56,32,0)*VLOOKUP($N42,'Mass Equivalents - States, Opt2'!$A$8:$AF$56,29,0))</f>
        <v>442657.27074209967</v>
      </c>
      <c r="S42" s="46">
        <f>MIN(VLOOKUP($N42,'Mass Equivalents - States, Opt2'!$A$8:$AF$56,32,0)*VLOOKUP($N42,'Mass Equivalents - States, Opt2'!$A$8:$AF$56,31,0)*VLOOKUP($N42,'Mass Equivalents - States, Opt2'!$A$8:$AF$56,30,0),VLOOKUP($N42,'Mass Equivalents - States, Opt2'!$A$8:$AF$56,32,0)*VLOOKUP($N42,'Mass Equivalents - States, Opt2'!$A$8:$AF$56,30,0))</f>
        <v>490581.21160901332</v>
      </c>
    </row>
    <row r="43" spans="1:19" x14ac:dyDescent="0.25">
      <c r="A43" s="49" t="s">
        <v>81</v>
      </c>
      <c r="B43" s="50">
        <f>MIN(VLOOKUP($A43,'Mass Equivalents - States, Opt1'!$A$8:$AP$56,31,0)*VLOOKUP($A43,'Mass Equivalents - States, Opt1'!$A$8:$AP$56,42,0),VLOOKUP($A43,'Mass Equivalents - States, Opt1'!$A$8:$AP$56,31,0)*VLOOKUP($A43,'Mass Equivalents - States, Opt1'!$A$8:$AP$56,42)*VLOOKUP($A43,'Mass Equivalents - States, Opt1'!$A$8:$AP$56,41,0))</f>
        <v>1940445.9948181969</v>
      </c>
      <c r="C43" s="50">
        <f>MIN(VLOOKUP($A43,'Mass Equivalents - States, Opt1'!$A$8:$AP$56,32,0)*VLOOKUP($A43,'Mass Equivalents - States, Opt1'!$A$8:$AP$56,42,0),VLOOKUP($A43,'Mass Equivalents - States, Opt1'!$A$8:$AP$56,32,0)*VLOOKUP($A43,'Mass Equivalents - States, Opt1'!$A$8:$AP$56,42)*VLOOKUP($A43,'Mass Equivalents - States, Opt1'!$A$8:$AP$56,41,0))</f>
        <v>2729610.2470287364</v>
      </c>
      <c r="D43" s="50">
        <f>MIN(VLOOKUP($A43,'Mass Equivalents - States, Opt1'!$A$8:$AP$56,33,0)*VLOOKUP($A43,'Mass Equivalents - States, Opt1'!$A$8:$AP$56,42,0),VLOOKUP($A43,'Mass Equivalents - States, Opt1'!$A$8:$AP$56,33,0)*VLOOKUP($A43,'Mass Equivalents - States, Opt1'!$A$8:$AP$56,42)*VLOOKUP($A43,'Mass Equivalents - States, Opt1'!$A$8:$AP$56,41,0))</f>
        <v>3614734.7856084243</v>
      </c>
      <c r="E43" s="50">
        <f>MIN(VLOOKUP($A43,'Mass Equivalents - States, Opt1'!$A$8:$AP$56,34,0)*VLOOKUP($A43,'Mass Equivalents - States, Opt1'!$A$8:$AP$56,42,0),VLOOKUP($A43,'Mass Equivalents - States, Opt1'!$A$8:$AP$56,34,0)*VLOOKUP($A43,'Mass Equivalents - States, Opt1'!$A$8:$AP$56,42)*VLOOKUP($A43,'Mass Equivalents - States, Opt1'!$A$8:$AP$56,41,0))</f>
        <v>4554593.5671889139</v>
      </c>
      <c r="F43" s="50">
        <f>MIN(VLOOKUP($A43,'Mass Equivalents - States, Opt1'!$A$8:$AP$56,35,0)*VLOOKUP($A43,'Mass Equivalents - States, Opt1'!$A$8:$AP$56,42,0),VLOOKUP($A43,'Mass Equivalents - States, Opt1'!$A$8:$AP$56,35,0)*VLOOKUP($A43,'Mass Equivalents - States, Opt1'!$A$8:$AP$56,42)*VLOOKUP($A43,'Mass Equivalents - States, Opt1'!$A$8:$AP$56,41,0))</f>
        <v>5410735.089578148</v>
      </c>
      <c r="G43" s="50">
        <f>MIN(VLOOKUP($A43,'Mass Equivalents - States, Opt1'!$A$8:$AP$56,36,0)*VLOOKUP($A43,'Mass Equivalents - States, Opt1'!$A$8:$AP$56,42,0),VLOOKUP($A43,'Mass Equivalents - States, Opt1'!$A$8:$AP$56,36,0)*VLOOKUP($A43,'Mass Equivalents - States, Opt1'!$A$8:$AP$56,42)*VLOOKUP($A43,'Mass Equivalents - States, Opt1'!$A$8:$AP$56,41,0))</f>
        <v>6186688.4891307224</v>
      </c>
      <c r="H43" s="50">
        <f>MIN(VLOOKUP($A43,'Mass Equivalents - States, Opt1'!$A$8:$AP$56,37,0)*VLOOKUP($A43,'Mass Equivalents - States, Opt1'!$A$8:$AP$56,42,0),VLOOKUP($A43,'Mass Equivalents - States, Opt1'!$A$8:$AP$56,37,0)*VLOOKUP($A43,'Mass Equivalents - States, Opt1'!$A$8:$AP$56,42)*VLOOKUP($A43,'Mass Equivalents - States, Opt1'!$A$8:$AP$56,41,0))</f>
        <v>6885812.4388846792</v>
      </c>
      <c r="I43" s="50">
        <f>MIN(VLOOKUP($A43,'Mass Equivalents - States, Opt1'!$A$8:$AP$56,38,0)*VLOOKUP($A43,'Mass Equivalents - States, Opt1'!$A$8:$AP$56,42,0),VLOOKUP($A43,'Mass Equivalents - States, Opt1'!$A$8:$AP$56,38,0)*VLOOKUP($A43,'Mass Equivalents - States, Opt1'!$A$8:$AP$56,42)*VLOOKUP($A43,'Mass Equivalents - States, Opt1'!$A$8:$AP$56,41,0))</f>
        <v>7511303.129127006</v>
      </c>
      <c r="J43" s="50">
        <f>MIN(VLOOKUP($A43,'Mass Equivalents - States, Opt1'!$A$8:$AP$56,39,0)*VLOOKUP($A43,'Mass Equivalents - States, Opt1'!$A$8:$AP$56,42,0),VLOOKUP($A43,'Mass Equivalents - States, Opt1'!$A$8:$AP$56,39,0)*VLOOKUP($A43,'Mass Equivalents - States, Opt1'!$A$8:$AP$56,42)*VLOOKUP($A43,'Mass Equivalents - States, Opt1'!$A$8:$AP$56,41,0))</f>
        <v>8066201.8717562053</v>
      </c>
      <c r="K43" s="46">
        <f>MIN(VLOOKUP($A43,'Mass Equivalents - States, Opt1'!$A$8:$AP$56,40,0)*VLOOKUP($A43,'Mass Equivalents - States, Opt1'!$A$8:$AP$56,42,0),VLOOKUP($A43,'Mass Equivalents - States, Opt1'!$A$8:$AP$56,40,0)*VLOOKUP($A43,'Mass Equivalents - States, Opt1'!$A$8:$AP$56,42)*VLOOKUP($A43,'Mass Equivalents - States, Opt1'!$A$8:$AP$56,41,0))</f>
        <v>8553402.3461489491</v>
      </c>
      <c r="N43" s="49" t="s">
        <v>81</v>
      </c>
      <c r="O43" s="50">
        <f>MIN(VLOOKUP($N43,'Mass Equivalents - States, Opt2'!$A$8:$AF$56,32,0)*VLOOKUP($N43,'Mass Equivalents - States, Opt2'!$A$8:$AF$56,31,0)*VLOOKUP($N43,'Mass Equivalents - States, Opt2'!$A$8:$AF$56,26,0),VLOOKUP($N43,'Mass Equivalents - States, Opt2'!$A$8:$AF$56,32,0)*VLOOKUP($N43,'Mass Equivalents - States, Opt2'!$A$8:$AF$56,26,0))</f>
        <v>1706494.3187578621</v>
      </c>
      <c r="P43" s="50">
        <f>MIN(VLOOKUP($N43,'Mass Equivalents - States, Opt2'!$A$8:$AF$56,32,0)*VLOOKUP($N43,'Mass Equivalents - States, Opt2'!$A$8:$AF$56,31,0)*VLOOKUP($N43,'Mass Equivalents - States, Opt2'!$A$8:$AF$56,27,0),VLOOKUP($N43,'Mass Equivalents - States, Opt2'!$A$8:$AF$56,32,0)*VLOOKUP($N43,'Mass Equivalents - States, Opt2'!$A$8:$AF$56,27,0))</f>
        <v>2351411.7047712584</v>
      </c>
      <c r="Q43" s="50">
        <f>MIN(VLOOKUP($N43,'Mass Equivalents - States, Opt2'!$A$8:$AF$56,32,0)*VLOOKUP($N43,'Mass Equivalents - States, Opt2'!$A$8:$AF$56,31,0)*VLOOKUP($N43,'Mass Equivalents - States, Opt2'!$A$8:$AF$56,28,0),VLOOKUP($N43,'Mass Equivalents - States, Opt2'!$A$8:$AF$56,32,0)*VLOOKUP($N43,'Mass Equivalents - States, Opt2'!$A$8:$AF$56,28,0))</f>
        <v>2996596.7799580805</v>
      </c>
      <c r="R43" s="50">
        <f>MIN(VLOOKUP($N43,'Mass Equivalents - States, Opt2'!$A$8:$AF$56,32,0)*VLOOKUP($N43,'Mass Equivalents - States, Opt2'!$A$8:$AF$56,31,0)*VLOOKUP($N43,'Mass Equivalents - States, Opt2'!$A$8:$AF$56,29,0),VLOOKUP($N43,'Mass Equivalents - States, Opt2'!$A$8:$AF$56,32,0)*VLOOKUP($N43,'Mass Equivalents - States, Opt2'!$A$8:$AF$56,29,0))</f>
        <v>3587971.9059098014</v>
      </c>
      <c r="S43" s="46">
        <f>MIN(VLOOKUP($N43,'Mass Equivalents - States, Opt2'!$A$8:$AF$56,32,0)*VLOOKUP($N43,'Mass Equivalents - States, Opt2'!$A$8:$AF$56,31,0)*VLOOKUP($N43,'Mass Equivalents - States, Opt2'!$A$8:$AF$56,30,0),VLOOKUP($N43,'Mass Equivalents - States, Opt2'!$A$8:$AF$56,32,0)*VLOOKUP($N43,'Mass Equivalents - States, Opt2'!$A$8:$AF$56,30,0))</f>
        <v>4127428.2237289385</v>
      </c>
    </row>
    <row r="44" spans="1:19" x14ac:dyDescent="0.25">
      <c r="A44" s="49" t="s">
        <v>82</v>
      </c>
      <c r="B44" s="50">
        <f>MIN(VLOOKUP($A44,'Mass Equivalents - States, Opt1'!$A$8:$AP$56,31,0)*VLOOKUP($A44,'Mass Equivalents - States, Opt1'!$A$8:$AP$56,42,0),VLOOKUP($A44,'Mass Equivalents - States, Opt1'!$A$8:$AP$56,31,0)*VLOOKUP($A44,'Mass Equivalents - States, Opt1'!$A$8:$AP$56,42)*VLOOKUP($A44,'Mass Equivalents - States, Opt1'!$A$8:$AP$56,41,0))</f>
        <v>166191.505364493</v>
      </c>
      <c r="C44" s="50">
        <f>MIN(VLOOKUP($A44,'Mass Equivalents - States, Opt1'!$A$8:$AP$56,32,0)*VLOOKUP($A44,'Mass Equivalents - States, Opt1'!$A$8:$AP$56,42,0),VLOOKUP($A44,'Mass Equivalents - States, Opt1'!$A$8:$AP$56,32,0)*VLOOKUP($A44,'Mass Equivalents - States, Opt1'!$A$8:$AP$56,42)*VLOOKUP($A44,'Mass Equivalents - States, Opt1'!$A$8:$AP$56,41,0))</f>
        <v>250376.41243582088</v>
      </c>
      <c r="D44" s="50">
        <f>MIN(VLOOKUP($A44,'Mass Equivalents - States, Opt1'!$A$8:$AP$56,33,0)*VLOOKUP($A44,'Mass Equivalents - States, Opt1'!$A$8:$AP$56,42,0),VLOOKUP($A44,'Mass Equivalents - States, Opt1'!$A$8:$AP$56,33,0)*VLOOKUP($A44,'Mass Equivalents - States, Opt1'!$A$8:$AP$56,42)*VLOOKUP($A44,'Mass Equivalents - States, Opt1'!$A$8:$AP$56,41,0))</f>
        <v>348607.32326991338</v>
      </c>
      <c r="E44" s="50">
        <f>MIN(VLOOKUP($A44,'Mass Equivalents - States, Opt1'!$A$8:$AP$56,34,0)*VLOOKUP($A44,'Mass Equivalents - States, Opt1'!$A$8:$AP$56,42,0),VLOOKUP($A44,'Mass Equivalents - States, Opt1'!$A$8:$AP$56,34,0)*VLOOKUP($A44,'Mass Equivalents - States, Opt1'!$A$8:$AP$56,42)*VLOOKUP($A44,'Mass Equivalents - States, Opt1'!$A$8:$AP$56,41,0))</f>
        <v>459299.82798115665</v>
      </c>
      <c r="F44" s="50">
        <f>MIN(VLOOKUP($A44,'Mass Equivalents - States, Opt1'!$A$8:$AP$56,35,0)*VLOOKUP($A44,'Mass Equivalents - States, Opt1'!$A$8:$AP$56,42,0),VLOOKUP($A44,'Mass Equivalents - States, Opt1'!$A$8:$AP$56,35,0)*VLOOKUP($A44,'Mass Equivalents - States, Opt1'!$A$8:$AP$56,42)*VLOOKUP($A44,'Mass Equivalents - States, Opt1'!$A$8:$AP$56,41,0))</f>
        <v>578179.90331690421</v>
      </c>
      <c r="G44" s="50">
        <f>MIN(VLOOKUP($A44,'Mass Equivalents - States, Opt1'!$A$8:$AP$56,36,0)*VLOOKUP($A44,'Mass Equivalents - States, Opt1'!$A$8:$AP$56,42,0),VLOOKUP($A44,'Mass Equivalents - States, Opt1'!$A$8:$AP$56,36,0)*VLOOKUP($A44,'Mass Equivalents - States, Opt1'!$A$8:$AP$56,42)*VLOOKUP($A44,'Mass Equivalents - States, Opt1'!$A$8:$AP$56,41,0))</f>
        <v>687037.65927566192</v>
      </c>
      <c r="H44" s="50">
        <f>MIN(VLOOKUP($A44,'Mass Equivalents - States, Opt1'!$A$8:$AP$56,37,0)*VLOOKUP($A44,'Mass Equivalents - States, Opt1'!$A$8:$AP$56,42,0),VLOOKUP($A44,'Mass Equivalents - States, Opt1'!$A$8:$AP$56,37,0)*VLOOKUP($A44,'Mass Equivalents - States, Opt1'!$A$8:$AP$56,42)*VLOOKUP($A44,'Mass Equivalents - States, Opt1'!$A$8:$AP$56,41,0))</f>
        <v>786210.57513254555</v>
      </c>
      <c r="I44" s="50">
        <f>MIN(VLOOKUP($A44,'Mass Equivalents - States, Opt1'!$A$8:$AP$56,38,0)*VLOOKUP($A44,'Mass Equivalents - States, Opt1'!$A$8:$AP$56,42,0),VLOOKUP($A44,'Mass Equivalents - States, Opt1'!$A$8:$AP$56,38,0)*VLOOKUP($A44,'Mass Equivalents - States, Opt1'!$A$8:$AP$56,42)*VLOOKUP($A44,'Mass Equivalents - States, Opt1'!$A$8:$AP$56,41,0))</f>
        <v>876020.72504645528</v>
      </c>
      <c r="J44" s="50">
        <f>MIN(VLOOKUP($A44,'Mass Equivalents - States, Opt1'!$A$8:$AP$56,39,0)*VLOOKUP($A44,'Mass Equivalents - States, Opt1'!$A$8:$AP$56,42,0),VLOOKUP($A44,'Mass Equivalents - States, Opt1'!$A$8:$AP$56,39,0)*VLOOKUP($A44,'Mass Equivalents - States, Opt1'!$A$8:$AP$56,42)*VLOOKUP($A44,'Mass Equivalents - States, Opt1'!$A$8:$AP$56,41,0))</f>
        <v>956775.40069019864</v>
      </c>
      <c r="K44" s="46">
        <f>MIN(VLOOKUP($A44,'Mass Equivalents - States, Opt1'!$A$8:$AP$56,40,0)*VLOOKUP($A44,'Mass Equivalents - States, Opt1'!$A$8:$AP$56,42,0),VLOOKUP($A44,'Mass Equivalents - States, Opt1'!$A$8:$AP$56,40,0)*VLOOKUP($A44,'Mass Equivalents - States, Opt1'!$A$8:$AP$56,42)*VLOOKUP($A44,'Mass Equivalents - States, Opt1'!$A$8:$AP$56,41,0))</f>
        <v>1028767.707530599</v>
      </c>
      <c r="N44" s="49" t="s">
        <v>82</v>
      </c>
      <c r="O44" s="50">
        <f>MIN(VLOOKUP($N44,'Mass Equivalents - States, Opt2'!$A$8:$AF$56,32,0)*VLOOKUP($N44,'Mass Equivalents - States, Opt2'!$A$8:$AF$56,31,0)*VLOOKUP($N44,'Mass Equivalents - States, Opt2'!$A$8:$AF$56,26,0),VLOOKUP($N44,'Mass Equivalents - States, Opt2'!$A$8:$AF$56,32,0)*VLOOKUP($N44,'Mass Equivalents - States, Opt2'!$A$8:$AF$56,26,0))</f>
        <v>136697.21045895026</v>
      </c>
      <c r="P44" s="50">
        <f>MIN(VLOOKUP($N44,'Mass Equivalents - States, Opt2'!$A$8:$AF$56,32,0)*VLOOKUP($N44,'Mass Equivalents - States, Opt2'!$A$8:$AF$56,31,0)*VLOOKUP($N44,'Mass Equivalents - States, Opt2'!$A$8:$AF$56,27,0),VLOOKUP($N44,'Mass Equivalents - States, Opt2'!$A$8:$AF$56,32,0)*VLOOKUP($N44,'Mass Equivalents - States, Opt2'!$A$8:$AF$56,27,0))</f>
        <v>202527.92668511783</v>
      </c>
      <c r="Q44" s="50">
        <f>MIN(VLOOKUP($N44,'Mass Equivalents - States, Opt2'!$A$8:$AF$56,32,0)*VLOOKUP($N44,'Mass Equivalents - States, Opt2'!$A$8:$AF$56,31,0)*VLOOKUP($N44,'Mass Equivalents - States, Opt2'!$A$8:$AF$56,28,0),VLOOKUP($N44,'Mass Equivalents - States, Opt2'!$A$8:$AF$56,32,0)*VLOOKUP($N44,'Mass Equivalents - States, Opt2'!$A$8:$AF$56,28,0))</f>
        <v>278879.67044810939</v>
      </c>
      <c r="R44" s="50">
        <f>MIN(VLOOKUP($N44,'Mass Equivalents - States, Opt2'!$A$8:$AF$56,32,0)*VLOOKUP($N44,'Mass Equivalents - States, Opt2'!$A$8:$AF$56,31,0)*VLOOKUP($N44,'Mass Equivalents - States, Opt2'!$A$8:$AF$56,29,0),VLOOKUP($N44,'Mass Equivalents - States, Opt2'!$A$8:$AF$56,32,0)*VLOOKUP($N44,'Mass Equivalents - States, Opt2'!$A$8:$AF$56,29,0))</f>
        <v>361922.67734866973</v>
      </c>
      <c r="S44" s="46">
        <f>MIN(VLOOKUP($N44,'Mass Equivalents - States, Opt2'!$A$8:$AF$56,32,0)*VLOOKUP($N44,'Mass Equivalents - States, Opt2'!$A$8:$AF$56,31,0)*VLOOKUP($N44,'Mass Equivalents - States, Opt2'!$A$8:$AF$56,30,0),VLOOKUP($N44,'Mass Equivalents - States, Opt2'!$A$8:$AF$56,32,0)*VLOOKUP($N44,'Mass Equivalents - States, Opt2'!$A$8:$AF$56,30,0))</f>
        <v>438516.22523929935</v>
      </c>
    </row>
    <row r="45" spans="1:19" x14ac:dyDescent="0.25">
      <c r="A45" s="49" t="s">
        <v>83</v>
      </c>
      <c r="B45" s="50">
        <f>MIN(VLOOKUP($A45,'Mass Equivalents - States, Opt1'!$A$8:$AP$56,31,0)*VLOOKUP($A45,'Mass Equivalents - States, Opt1'!$A$8:$AP$56,42,0),VLOOKUP($A45,'Mass Equivalents - States, Opt1'!$A$8:$AP$56,31,0)*VLOOKUP($A45,'Mass Equivalents - States, Opt1'!$A$8:$AP$56,42)*VLOOKUP($A45,'Mass Equivalents - States, Opt1'!$A$8:$AP$56,41,0))</f>
        <v>1645755.4217599717</v>
      </c>
      <c r="C45" s="50">
        <f>MIN(VLOOKUP($A45,'Mass Equivalents - States, Opt1'!$A$8:$AP$56,32,0)*VLOOKUP($A45,'Mass Equivalents - States, Opt1'!$A$8:$AP$56,42,0),VLOOKUP($A45,'Mass Equivalents - States, Opt1'!$A$8:$AP$56,32,0)*VLOOKUP($A45,'Mass Equivalents - States, Opt1'!$A$8:$AP$56,42)*VLOOKUP($A45,'Mass Equivalents - States, Opt1'!$A$8:$AP$56,41,0))</f>
        <v>2335217.0187455593</v>
      </c>
      <c r="D45" s="50">
        <f>MIN(VLOOKUP($A45,'Mass Equivalents - States, Opt1'!$A$8:$AP$56,33,0)*VLOOKUP($A45,'Mass Equivalents - States, Opt1'!$A$8:$AP$56,42,0),VLOOKUP($A45,'Mass Equivalents - States, Opt1'!$A$8:$AP$56,33,0)*VLOOKUP($A45,'Mass Equivalents - States, Opt1'!$A$8:$AP$56,42)*VLOOKUP($A45,'Mass Equivalents - States, Opt1'!$A$8:$AP$56,41,0))</f>
        <v>3113333.5879398151</v>
      </c>
      <c r="E45" s="50">
        <f>MIN(VLOOKUP($A45,'Mass Equivalents - States, Opt1'!$A$8:$AP$56,34,0)*VLOOKUP($A45,'Mass Equivalents - States, Opt1'!$A$8:$AP$56,42,0),VLOOKUP($A45,'Mass Equivalents - States, Opt1'!$A$8:$AP$56,34,0)*VLOOKUP($A45,'Mass Equivalents - States, Opt1'!$A$8:$AP$56,42)*VLOOKUP($A45,'Mass Equivalents - States, Opt1'!$A$8:$AP$56,41,0))</f>
        <v>3967098.8040843145</v>
      </c>
      <c r="F45" s="50">
        <f>MIN(VLOOKUP($A45,'Mass Equivalents - States, Opt1'!$A$8:$AP$56,35,0)*VLOOKUP($A45,'Mass Equivalents - States, Opt1'!$A$8:$AP$56,42,0),VLOOKUP($A45,'Mass Equivalents - States, Opt1'!$A$8:$AP$56,35,0)*VLOOKUP($A45,'Mass Equivalents - States, Opt1'!$A$8:$AP$56,42)*VLOOKUP($A45,'Mass Equivalents - States, Opt1'!$A$8:$AP$56,41,0))</f>
        <v>4746973.823251049</v>
      </c>
      <c r="G45" s="50">
        <f>MIN(VLOOKUP($A45,'Mass Equivalents - States, Opt1'!$A$8:$AP$56,36,0)*VLOOKUP($A45,'Mass Equivalents - States, Opt1'!$A$8:$AP$56,42,0),VLOOKUP($A45,'Mass Equivalents - States, Opt1'!$A$8:$AP$56,36,0)*VLOOKUP($A45,'Mass Equivalents - States, Opt1'!$A$8:$AP$56,42)*VLOOKUP($A45,'Mass Equivalents - States, Opt1'!$A$8:$AP$56,41,0))</f>
        <v>5455834.0188641399</v>
      </c>
      <c r="H45" s="50">
        <f>MIN(VLOOKUP($A45,'Mass Equivalents - States, Opt1'!$A$8:$AP$56,37,0)*VLOOKUP($A45,'Mass Equivalents - States, Opt1'!$A$8:$AP$56,42,0),VLOOKUP($A45,'Mass Equivalents - States, Opt1'!$A$8:$AP$56,37,0)*VLOOKUP($A45,'Mass Equivalents - States, Opt1'!$A$8:$AP$56,42)*VLOOKUP($A45,'Mass Equivalents - States, Opt1'!$A$8:$AP$56,41,0))</f>
        <v>6096419.7044932591</v>
      </c>
      <c r="I45" s="50">
        <f>MIN(VLOOKUP($A45,'Mass Equivalents - States, Opt1'!$A$8:$AP$56,38,0)*VLOOKUP($A45,'Mass Equivalents - States, Opt1'!$A$8:$AP$56,42,0),VLOOKUP($A45,'Mass Equivalents - States, Opt1'!$A$8:$AP$56,38,0)*VLOOKUP($A45,'Mass Equivalents - States, Opt1'!$A$8:$AP$56,42)*VLOOKUP($A45,'Mass Equivalents - States, Opt1'!$A$8:$AP$56,41,0))</f>
        <v>6671342.1386259366</v>
      </c>
      <c r="J45" s="50">
        <f>MIN(VLOOKUP($A45,'Mass Equivalents - States, Opt1'!$A$8:$AP$56,39,0)*VLOOKUP($A45,'Mass Equivalents - States, Opt1'!$A$8:$AP$56,42,0),VLOOKUP($A45,'Mass Equivalents - States, Opt1'!$A$8:$AP$56,39,0)*VLOOKUP($A45,'Mass Equivalents - States, Opt1'!$A$8:$AP$56,42)*VLOOKUP($A45,'Mass Equivalents - States, Opt1'!$A$8:$AP$56,41,0))</f>
        <v>7183089.2583537847</v>
      </c>
      <c r="K45" s="46">
        <f>MIN(VLOOKUP($A45,'Mass Equivalents - States, Opt1'!$A$8:$AP$56,40,0)*VLOOKUP($A45,'Mass Equivalents - States, Opt1'!$A$8:$AP$56,42,0),VLOOKUP($A45,'Mass Equivalents - States, Opt1'!$A$8:$AP$56,40,0)*VLOOKUP($A45,'Mass Equivalents - States, Opt1'!$A$8:$AP$56,42)*VLOOKUP($A45,'Mass Equivalents - States, Opt1'!$A$8:$AP$56,41,0))</f>
        <v>7634031.1541581228</v>
      </c>
      <c r="N45" s="49" t="s">
        <v>83</v>
      </c>
      <c r="O45" s="50">
        <f>MIN(VLOOKUP($N45,'Mass Equivalents - States, Opt2'!$A$8:$AF$56,32,0)*VLOOKUP($N45,'Mass Equivalents - States, Opt2'!$A$8:$AF$56,31,0)*VLOOKUP($N45,'Mass Equivalents - States, Opt2'!$A$8:$AF$56,26,0),VLOOKUP($N45,'Mass Equivalents - States, Opt2'!$A$8:$AF$56,32,0)*VLOOKUP($N45,'Mass Equivalents - States, Opt2'!$A$8:$AF$56,26,0))</f>
        <v>1436648.9946955864</v>
      </c>
      <c r="P45" s="50">
        <f>MIN(VLOOKUP($N45,'Mass Equivalents - States, Opt2'!$A$8:$AF$56,32,0)*VLOOKUP($N45,'Mass Equivalents - States, Opt2'!$A$8:$AF$56,31,0)*VLOOKUP($N45,'Mass Equivalents - States, Opt2'!$A$8:$AF$56,27,0),VLOOKUP($N45,'Mass Equivalents - States, Opt2'!$A$8:$AF$56,32,0)*VLOOKUP($N45,'Mass Equivalents - States, Opt2'!$A$8:$AF$56,27,0))</f>
        <v>1996863.6631569653</v>
      </c>
      <c r="Q45" s="50">
        <f>MIN(VLOOKUP($N45,'Mass Equivalents - States, Opt2'!$A$8:$AF$56,32,0)*VLOOKUP($N45,'Mass Equivalents - States, Opt2'!$A$8:$AF$56,31,0)*VLOOKUP($N45,'Mass Equivalents - States, Opt2'!$A$8:$AF$56,28,0),VLOOKUP($N45,'Mass Equivalents - States, Opt2'!$A$8:$AF$56,32,0)*VLOOKUP($N45,'Mass Equivalents - States, Opt2'!$A$8:$AF$56,28,0))</f>
        <v>2584113.0693656835</v>
      </c>
      <c r="R45" s="50">
        <f>MIN(VLOOKUP($N45,'Mass Equivalents - States, Opt2'!$A$8:$AF$56,32,0)*VLOOKUP($N45,'Mass Equivalents - States, Opt2'!$A$8:$AF$56,31,0)*VLOOKUP($N45,'Mass Equivalents - States, Opt2'!$A$8:$AF$56,29,0),VLOOKUP($N45,'Mass Equivalents - States, Opt2'!$A$8:$AF$56,32,0)*VLOOKUP($N45,'Mass Equivalents - States, Opt2'!$A$8:$AF$56,29,0))</f>
        <v>3123953.8676141328</v>
      </c>
      <c r="S45" s="46">
        <f>MIN(VLOOKUP($N45,'Mass Equivalents - States, Opt2'!$A$8:$AF$56,32,0)*VLOOKUP($N45,'Mass Equivalents - States, Opt2'!$A$8:$AF$56,31,0)*VLOOKUP($N45,'Mass Equivalents - States, Opt2'!$A$8:$AF$56,30,0),VLOOKUP($N45,'Mass Equivalents - States, Opt2'!$A$8:$AF$56,32,0)*VLOOKUP($N45,'Mass Equivalents - States, Opt2'!$A$8:$AF$56,30,0))</f>
        <v>3617891.9940408138</v>
      </c>
    </row>
    <row r="46" spans="1:19" x14ac:dyDescent="0.25">
      <c r="A46" s="49" t="s">
        <v>84</v>
      </c>
      <c r="B46" s="50">
        <f>MIN(VLOOKUP($A46,'Mass Equivalents - States, Opt1'!$A$8:$AP$56,31,0)*VLOOKUP($A46,'Mass Equivalents - States, Opt1'!$A$8:$AP$56,42,0),VLOOKUP($A46,'Mass Equivalents - States, Opt1'!$A$8:$AP$56,31,0)*VLOOKUP($A46,'Mass Equivalents - States, Opt1'!$A$8:$AP$56,42)*VLOOKUP($A46,'Mass Equivalents - States, Opt1'!$A$8:$AP$56,41,0))</f>
        <v>6862879.2236118764</v>
      </c>
      <c r="C46" s="50">
        <f>MIN(VLOOKUP($A46,'Mass Equivalents - States, Opt1'!$A$8:$AP$56,32,0)*VLOOKUP($A46,'Mass Equivalents - States, Opt1'!$A$8:$AP$56,42,0),VLOOKUP($A46,'Mass Equivalents - States, Opt1'!$A$8:$AP$56,32,0)*VLOOKUP($A46,'Mass Equivalents - States, Opt1'!$A$8:$AP$56,42)*VLOOKUP($A46,'Mass Equivalents - States, Opt1'!$A$8:$AP$56,41,0))</f>
        <v>10103051.545845289</v>
      </c>
      <c r="D46" s="50">
        <f>MIN(VLOOKUP($A46,'Mass Equivalents - States, Opt1'!$A$8:$AP$56,33,0)*VLOOKUP($A46,'Mass Equivalents - States, Opt1'!$A$8:$AP$56,42,0),VLOOKUP($A46,'Mass Equivalents - States, Opt1'!$A$8:$AP$56,33,0)*VLOOKUP($A46,'Mass Equivalents - States, Opt1'!$A$8:$AP$56,42)*VLOOKUP($A46,'Mass Equivalents - States, Opt1'!$A$8:$AP$56,41,0))</f>
        <v>13838062.84324149</v>
      </c>
      <c r="E46" s="50">
        <f>MIN(VLOOKUP($A46,'Mass Equivalents - States, Opt1'!$A$8:$AP$56,34,0)*VLOOKUP($A46,'Mass Equivalents - States, Opt1'!$A$8:$AP$56,42,0),VLOOKUP($A46,'Mass Equivalents - States, Opt1'!$A$8:$AP$56,34,0)*VLOOKUP($A46,'Mass Equivalents - States, Opt1'!$A$8:$AP$56,42)*VLOOKUP($A46,'Mass Equivalents - States, Opt1'!$A$8:$AP$56,41,0))</f>
        <v>18008453.673955493</v>
      </c>
      <c r="F46" s="50">
        <f>MIN(VLOOKUP($A46,'Mass Equivalents - States, Opt1'!$A$8:$AP$56,35,0)*VLOOKUP($A46,'Mass Equivalents - States, Opt1'!$A$8:$AP$56,42,0),VLOOKUP($A46,'Mass Equivalents - States, Opt1'!$A$8:$AP$56,35,0)*VLOOKUP($A46,'Mass Equivalents - States, Opt1'!$A$8:$AP$56,42)*VLOOKUP($A46,'Mass Equivalents - States, Opt1'!$A$8:$AP$56,41,0))</f>
        <v>22259930.783185165</v>
      </c>
      <c r="G46" s="50">
        <f>MIN(VLOOKUP($A46,'Mass Equivalents - States, Opt1'!$A$8:$AP$56,36,0)*VLOOKUP($A46,'Mass Equivalents - States, Opt1'!$A$8:$AP$56,42,0),VLOOKUP($A46,'Mass Equivalents - States, Opt1'!$A$8:$AP$56,36,0)*VLOOKUP($A46,'Mass Equivalents - States, Opt1'!$A$8:$AP$56,42)*VLOOKUP($A46,'Mass Equivalents - States, Opt1'!$A$8:$AP$56,41,0))</f>
        <v>26135220.573912673</v>
      </c>
      <c r="H46" s="50">
        <f>MIN(VLOOKUP($A46,'Mass Equivalents - States, Opt1'!$A$8:$AP$56,37,0)*VLOOKUP($A46,'Mass Equivalents - States, Opt1'!$A$8:$AP$56,42,0),VLOOKUP($A46,'Mass Equivalents - States, Opt1'!$A$8:$AP$56,37,0)*VLOOKUP($A46,'Mass Equivalents - States, Opt1'!$A$8:$AP$56,42)*VLOOKUP($A46,'Mass Equivalents - States, Opt1'!$A$8:$AP$56,41,0))</f>
        <v>29648956.63311502</v>
      </c>
      <c r="I46" s="50">
        <f>MIN(VLOOKUP($A46,'Mass Equivalents - States, Opt1'!$A$8:$AP$56,38,0)*VLOOKUP($A46,'Mass Equivalents - States, Opt1'!$A$8:$AP$56,42,0),VLOOKUP($A46,'Mass Equivalents - States, Opt1'!$A$8:$AP$56,38,0)*VLOOKUP($A46,'Mass Equivalents - States, Opt1'!$A$8:$AP$56,42)*VLOOKUP($A46,'Mass Equivalents - States, Opt1'!$A$8:$AP$56,41,0))</f>
        <v>32815083.78981562</v>
      </c>
      <c r="J46" s="50">
        <f>MIN(VLOOKUP($A46,'Mass Equivalents - States, Opt1'!$A$8:$AP$56,39,0)*VLOOKUP($A46,'Mass Equivalents - States, Opt1'!$A$8:$AP$56,42,0),VLOOKUP($A46,'Mass Equivalents - States, Opt1'!$A$8:$AP$56,39,0)*VLOOKUP($A46,'Mass Equivalents - States, Opt1'!$A$8:$AP$56,42)*VLOOKUP($A46,'Mass Equivalents - States, Opt1'!$A$8:$AP$56,41,0))</f>
        <v>35646888.79092712</v>
      </c>
      <c r="K46" s="46">
        <f>MIN(VLOOKUP($A46,'Mass Equivalents - States, Opt1'!$A$8:$AP$56,40,0)*VLOOKUP($A46,'Mass Equivalents - States, Opt1'!$A$8:$AP$56,42,0),VLOOKUP($A46,'Mass Equivalents - States, Opt1'!$A$8:$AP$56,40,0)*VLOOKUP($A46,'Mass Equivalents - States, Opt1'!$A$8:$AP$56,42)*VLOOKUP($A46,'Mass Equivalents - States, Opt1'!$A$8:$AP$56,41,0))</f>
        <v>38157029.58987432</v>
      </c>
      <c r="N46" s="49" t="s">
        <v>84</v>
      </c>
      <c r="O46" s="50">
        <f>MIN(VLOOKUP($N46,'Mass Equivalents - States, Opt2'!$A$8:$AF$56,32,0)*VLOOKUP($N46,'Mass Equivalents - States, Opt2'!$A$8:$AF$56,31,0)*VLOOKUP($N46,'Mass Equivalents - States, Opt2'!$A$8:$AF$56,26,0),VLOOKUP($N46,'Mass Equivalents - States, Opt2'!$A$8:$AF$56,32,0)*VLOOKUP($N46,'Mass Equivalents - States, Opt2'!$A$8:$AF$56,26,0))</f>
        <v>5776838.0961752916</v>
      </c>
      <c r="P46" s="50">
        <f>MIN(VLOOKUP($N46,'Mass Equivalents - States, Opt2'!$A$8:$AF$56,32,0)*VLOOKUP($N46,'Mass Equivalents - States, Opt2'!$A$8:$AF$56,31,0)*VLOOKUP($N46,'Mass Equivalents - States, Opt2'!$A$8:$AF$56,27,0),VLOOKUP($N46,'Mass Equivalents - States, Opt2'!$A$8:$AF$56,32,0)*VLOOKUP($N46,'Mass Equivalents - States, Opt2'!$A$8:$AF$56,27,0))</f>
        <v>8343832.1615294833</v>
      </c>
      <c r="Q46" s="50">
        <f>MIN(VLOOKUP($N46,'Mass Equivalents - States, Opt2'!$A$8:$AF$56,32,0)*VLOOKUP($N46,'Mass Equivalents - States, Opt2'!$A$8:$AF$56,31,0)*VLOOKUP($N46,'Mass Equivalents - States, Opt2'!$A$8:$AF$56,28,0),VLOOKUP($N46,'Mass Equivalents - States, Opt2'!$A$8:$AF$56,32,0)*VLOOKUP($N46,'Mass Equivalents - States, Opt2'!$A$8:$AF$56,28,0))</f>
        <v>11278148.541587885</v>
      </c>
      <c r="R46" s="50">
        <f>MIN(VLOOKUP($N46,'Mass Equivalents - States, Opt2'!$A$8:$AF$56,32,0)*VLOOKUP($N46,'Mass Equivalents - States, Opt2'!$A$8:$AF$56,31,0)*VLOOKUP($N46,'Mass Equivalents - States, Opt2'!$A$8:$AF$56,29,0),VLOOKUP($N46,'Mass Equivalents - States, Opt2'!$A$8:$AF$56,32,0)*VLOOKUP($N46,'Mass Equivalents - States, Opt2'!$A$8:$AF$56,29,0))</f>
        <v>14238033.756730104</v>
      </c>
      <c r="S46" s="46">
        <f>MIN(VLOOKUP($N46,'Mass Equivalents - States, Opt2'!$A$8:$AF$56,32,0)*VLOOKUP($N46,'Mass Equivalents - States, Opt2'!$A$8:$AF$56,31,0)*VLOOKUP($N46,'Mass Equivalents - States, Opt2'!$A$8:$AF$56,30,0),VLOOKUP($N46,'Mass Equivalents - States, Opt2'!$A$8:$AF$56,32,0)*VLOOKUP($N46,'Mass Equivalents - States, Opt2'!$A$8:$AF$56,30,0))</f>
        <v>16954880.707817495</v>
      </c>
    </row>
    <row r="47" spans="1:19" x14ac:dyDescent="0.25">
      <c r="A47" s="49" t="s">
        <v>85</v>
      </c>
      <c r="B47" s="50">
        <f>MIN(VLOOKUP($A47,'Mass Equivalents - States, Opt1'!$A$8:$AP$56,31,0)*VLOOKUP($A47,'Mass Equivalents - States, Opt1'!$A$8:$AP$56,42,0),VLOOKUP($A47,'Mass Equivalents - States, Opt1'!$A$8:$AP$56,31,0)*VLOOKUP($A47,'Mass Equivalents - States, Opt1'!$A$8:$AP$56,42)*VLOOKUP($A47,'Mass Equivalents - States, Opt1'!$A$8:$AP$56,41,0))</f>
        <v>1158283.8998956364</v>
      </c>
      <c r="C47" s="50">
        <f>MIN(VLOOKUP($A47,'Mass Equivalents - States, Opt1'!$A$8:$AP$56,32,0)*VLOOKUP($A47,'Mass Equivalents - States, Opt1'!$A$8:$AP$56,42,0),VLOOKUP($A47,'Mass Equivalents - States, Opt1'!$A$8:$AP$56,32,0)*VLOOKUP($A47,'Mass Equivalents - States, Opt1'!$A$8:$AP$56,42)*VLOOKUP($A47,'Mass Equivalents - States, Opt1'!$A$8:$AP$56,41,0))</f>
        <v>1539985.8841756589</v>
      </c>
      <c r="D47" s="50">
        <f>MIN(VLOOKUP($A47,'Mass Equivalents - States, Opt1'!$A$8:$AP$56,33,0)*VLOOKUP($A47,'Mass Equivalents - States, Opt1'!$A$8:$AP$56,42,0),VLOOKUP($A47,'Mass Equivalents - States, Opt1'!$A$8:$AP$56,33,0)*VLOOKUP($A47,'Mass Equivalents - States, Opt1'!$A$8:$AP$56,42)*VLOOKUP($A47,'Mass Equivalents - States, Opt1'!$A$8:$AP$56,41,0))</f>
        <v>1889111.8050840315</v>
      </c>
      <c r="E47" s="50">
        <f>MIN(VLOOKUP($A47,'Mass Equivalents - States, Opt1'!$A$8:$AP$56,34,0)*VLOOKUP($A47,'Mass Equivalents - States, Opt1'!$A$8:$AP$56,42,0),VLOOKUP($A47,'Mass Equivalents - States, Opt1'!$A$8:$AP$56,34,0)*VLOOKUP($A47,'Mass Equivalents - States, Opt1'!$A$8:$AP$56,42)*VLOOKUP($A47,'Mass Equivalents - States, Opt1'!$A$8:$AP$56,41,0))</f>
        <v>2206979.4688038905</v>
      </c>
      <c r="F47" s="50">
        <f>MIN(VLOOKUP($A47,'Mass Equivalents - States, Opt1'!$A$8:$AP$56,35,0)*VLOOKUP($A47,'Mass Equivalents - States, Opt1'!$A$8:$AP$56,42,0),VLOOKUP($A47,'Mass Equivalents - States, Opt1'!$A$8:$AP$56,35,0)*VLOOKUP($A47,'Mass Equivalents - States, Opt1'!$A$8:$AP$56,42)*VLOOKUP($A47,'Mass Equivalents - States, Opt1'!$A$8:$AP$56,41,0))</f>
        <v>2494844.1546887239</v>
      </c>
      <c r="G47" s="50">
        <f>MIN(VLOOKUP($A47,'Mass Equivalents - States, Opt1'!$A$8:$AP$56,36,0)*VLOOKUP($A47,'Mass Equivalents - States, Opt1'!$A$8:$AP$56,42,0),VLOOKUP($A47,'Mass Equivalents - States, Opt1'!$A$8:$AP$56,36,0)*VLOOKUP($A47,'Mass Equivalents - States, Opt1'!$A$8:$AP$56,42)*VLOOKUP($A47,'Mass Equivalents - States, Opt1'!$A$8:$AP$56,41,0))</f>
        <v>2753901.4594472409</v>
      </c>
      <c r="H47" s="50">
        <f>MIN(VLOOKUP($A47,'Mass Equivalents - States, Opt1'!$A$8:$AP$56,37,0)*VLOOKUP($A47,'Mass Equivalents - States, Opt1'!$A$8:$AP$56,42,0),VLOOKUP($A47,'Mass Equivalents - States, Opt1'!$A$8:$AP$56,37,0)*VLOOKUP($A47,'Mass Equivalents - States, Opt1'!$A$8:$AP$56,42)*VLOOKUP($A47,'Mass Equivalents - States, Opt1'!$A$8:$AP$56,41,0))</f>
        <v>2985290.0105640031</v>
      </c>
      <c r="I47" s="50">
        <f>MIN(VLOOKUP($A47,'Mass Equivalents - States, Opt1'!$A$8:$AP$56,38,0)*VLOOKUP($A47,'Mass Equivalents - States, Opt1'!$A$8:$AP$56,42,0),VLOOKUP($A47,'Mass Equivalents - States, Opt1'!$A$8:$AP$56,38,0)*VLOOKUP($A47,'Mass Equivalents - States, Opt1'!$A$8:$AP$56,42)*VLOOKUP($A47,'Mass Equivalents - States, Opt1'!$A$8:$AP$56,41,0))</f>
        <v>3190094.0549513996</v>
      </c>
      <c r="J47" s="50">
        <f>MIN(VLOOKUP($A47,'Mass Equivalents - States, Opt1'!$A$8:$AP$56,39,0)*VLOOKUP($A47,'Mass Equivalents - States, Opt1'!$A$8:$AP$56,42,0),VLOOKUP($A47,'Mass Equivalents - States, Opt1'!$A$8:$AP$56,39,0)*VLOOKUP($A47,'Mass Equivalents - States, Opt1'!$A$8:$AP$56,42)*VLOOKUP($A47,'Mass Equivalents - States, Opt1'!$A$8:$AP$56,41,0))</f>
        <v>3369345.9285534634</v>
      </c>
      <c r="K47" s="46">
        <f>MIN(VLOOKUP($A47,'Mass Equivalents - States, Opt1'!$A$8:$AP$56,40,0)*VLOOKUP($A47,'Mass Equivalents - States, Opt1'!$A$8:$AP$56,42,0),VLOOKUP($A47,'Mass Equivalents - States, Opt1'!$A$8:$AP$56,40,0)*VLOOKUP($A47,'Mass Equivalents - States, Opt1'!$A$8:$AP$56,42)*VLOOKUP($A47,'Mass Equivalents - States, Opt1'!$A$8:$AP$56,41,0))</f>
        <v>3524028.4123595366</v>
      </c>
      <c r="N47" s="49" t="s">
        <v>85</v>
      </c>
      <c r="O47" s="50">
        <f>MIN(VLOOKUP($N47,'Mass Equivalents - States, Opt2'!$A$8:$AF$56,32,0)*VLOOKUP($N47,'Mass Equivalents - States, Opt2'!$A$8:$AF$56,31,0)*VLOOKUP($N47,'Mass Equivalents - States, Opt2'!$A$8:$AF$56,26,0),VLOOKUP($N47,'Mass Equivalents - States, Opt2'!$A$8:$AF$56,32,0)*VLOOKUP($N47,'Mass Equivalents - States, Opt2'!$A$8:$AF$56,26,0))</f>
        <v>1020007.3015021584</v>
      </c>
      <c r="P47" s="50">
        <f>MIN(VLOOKUP($N47,'Mass Equivalents - States, Opt2'!$A$8:$AF$56,32,0)*VLOOKUP($N47,'Mass Equivalents - States, Opt2'!$A$8:$AF$56,31,0)*VLOOKUP($N47,'Mass Equivalents - States, Opt2'!$A$8:$AF$56,27,0),VLOOKUP($N47,'Mass Equivalents - States, Opt2'!$A$8:$AF$56,32,0)*VLOOKUP($N47,'Mass Equivalents - States, Opt2'!$A$8:$AF$56,27,0))</f>
        <v>1259292.7423506153</v>
      </c>
      <c r="Q47" s="50">
        <f>MIN(VLOOKUP($N47,'Mass Equivalents - States, Opt2'!$A$8:$AF$56,32,0)*VLOOKUP($N47,'Mass Equivalents - States, Opt2'!$A$8:$AF$56,31,0)*VLOOKUP($N47,'Mass Equivalents - States, Opt2'!$A$8:$AF$56,28,0),VLOOKUP($N47,'Mass Equivalents - States, Opt2'!$A$8:$AF$56,32,0)*VLOOKUP($N47,'Mass Equivalents - States, Opt2'!$A$8:$AF$56,28,0))</f>
        <v>1478482.9459167072</v>
      </c>
      <c r="R47" s="50">
        <f>MIN(VLOOKUP($N47,'Mass Equivalents - States, Opt2'!$A$8:$AF$56,32,0)*VLOOKUP($N47,'Mass Equivalents - States, Opt2'!$A$8:$AF$56,31,0)*VLOOKUP($N47,'Mass Equivalents - States, Opt2'!$A$8:$AF$56,29,0),VLOOKUP($N47,'Mass Equivalents - States, Opt2'!$A$8:$AF$56,32,0)*VLOOKUP($N47,'Mass Equivalents - States, Opt2'!$A$8:$AF$56,29,0))</f>
        <v>1678243.0497937526</v>
      </c>
      <c r="S47" s="46">
        <f>MIN(VLOOKUP($N47,'Mass Equivalents - States, Opt2'!$A$8:$AF$56,32,0)*VLOOKUP($N47,'Mass Equivalents - States, Opt2'!$A$8:$AF$56,31,0)*VLOOKUP($N47,'Mass Equivalents - States, Opt2'!$A$8:$AF$56,30,0),VLOOKUP($N47,'Mass Equivalents - States, Opt2'!$A$8:$AF$56,32,0)*VLOOKUP($N47,'Mass Equivalents - States, Opt2'!$A$8:$AF$56,30,0))</f>
        <v>1859212.1875513559</v>
      </c>
    </row>
    <row r="48" spans="1:19" x14ac:dyDescent="0.25">
      <c r="A48" s="49" t="s">
        <v>86</v>
      </c>
      <c r="B48" s="50">
        <f>MIN(VLOOKUP($A48,'Mass Equivalents - States, Opt1'!$A$8:$AP$56,31,0)*VLOOKUP($A48,'Mass Equivalents - States, Opt1'!$A$8:$AP$56,42,0),VLOOKUP($A48,'Mass Equivalents - States, Opt1'!$A$8:$AP$56,31,0)*VLOOKUP($A48,'Mass Equivalents - States, Opt1'!$A$8:$AP$56,42)*VLOOKUP($A48,'Mass Equivalents - States, Opt1'!$A$8:$AP$56,41,0))</f>
        <v>825255.550982813</v>
      </c>
      <c r="C48" s="50">
        <f>MIN(VLOOKUP($A48,'Mass Equivalents - States, Opt1'!$A$8:$AP$56,32,0)*VLOOKUP($A48,'Mass Equivalents - States, Opt1'!$A$8:$AP$56,42,0),VLOOKUP($A48,'Mass Equivalents - States, Opt1'!$A$8:$AP$56,32,0)*VLOOKUP($A48,'Mass Equivalents - States, Opt1'!$A$8:$AP$56,42)*VLOOKUP($A48,'Mass Equivalents - States, Opt1'!$A$8:$AP$56,41,0))</f>
        <v>1314456.9493170928</v>
      </c>
      <c r="D48" s="50">
        <f>MIN(VLOOKUP($A48,'Mass Equivalents - States, Opt1'!$A$8:$AP$56,33,0)*VLOOKUP($A48,'Mass Equivalents - States, Opt1'!$A$8:$AP$56,42,0),VLOOKUP($A48,'Mass Equivalents - States, Opt1'!$A$8:$AP$56,33,0)*VLOOKUP($A48,'Mass Equivalents - States, Opt1'!$A$8:$AP$56,42)*VLOOKUP($A48,'Mass Equivalents - States, Opt1'!$A$8:$AP$56,41,0))</f>
        <v>1896942.2942703685</v>
      </c>
      <c r="E48" s="50">
        <f>MIN(VLOOKUP($A48,'Mass Equivalents - States, Opt1'!$A$8:$AP$56,34,0)*VLOOKUP($A48,'Mass Equivalents - States, Opt1'!$A$8:$AP$56,42,0),VLOOKUP($A48,'Mass Equivalents - States, Opt1'!$A$8:$AP$56,34,0)*VLOOKUP($A48,'Mass Equivalents - States, Opt1'!$A$8:$AP$56,42)*VLOOKUP($A48,'Mass Equivalents - States, Opt1'!$A$8:$AP$56,41,0))</f>
        <v>2562350.8702444704</v>
      </c>
      <c r="F48" s="50">
        <f>MIN(VLOOKUP($A48,'Mass Equivalents - States, Opt1'!$A$8:$AP$56,35,0)*VLOOKUP($A48,'Mass Equivalents - States, Opt1'!$A$8:$AP$56,42,0),VLOOKUP($A48,'Mass Equivalents - States, Opt1'!$A$8:$AP$56,35,0)*VLOOKUP($A48,'Mass Equivalents - States, Opt1'!$A$8:$AP$56,42)*VLOOKUP($A48,'Mass Equivalents - States, Opt1'!$A$8:$AP$56,41,0))</f>
        <v>3300255.5425889753</v>
      </c>
      <c r="G48" s="50">
        <f>MIN(VLOOKUP($A48,'Mass Equivalents - States, Opt1'!$A$8:$AP$56,36,0)*VLOOKUP($A48,'Mass Equivalents - States, Opt1'!$A$8:$AP$56,42,0),VLOOKUP($A48,'Mass Equivalents - States, Opt1'!$A$8:$AP$56,36,0)*VLOOKUP($A48,'Mass Equivalents - States, Opt1'!$A$8:$AP$56,42)*VLOOKUP($A48,'Mass Equivalents - States, Opt1'!$A$8:$AP$56,41,0))</f>
        <v>4020240.2322126026</v>
      </c>
      <c r="H48" s="50">
        <f>MIN(VLOOKUP($A48,'Mass Equivalents - States, Opt1'!$A$8:$AP$56,37,0)*VLOOKUP($A48,'Mass Equivalents - States, Opt1'!$A$8:$AP$56,42,0),VLOOKUP($A48,'Mass Equivalents - States, Opt1'!$A$8:$AP$56,37,0)*VLOOKUP($A48,'Mass Equivalents - States, Opt1'!$A$8:$AP$56,42)*VLOOKUP($A48,'Mass Equivalents - States, Opt1'!$A$8:$AP$56,41,0))</f>
        <v>4674419.6018957067</v>
      </c>
      <c r="I48" s="50">
        <f>MIN(VLOOKUP($A48,'Mass Equivalents - States, Opt1'!$A$8:$AP$56,38,0)*VLOOKUP($A48,'Mass Equivalents - States, Opt1'!$A$8:$AP$56,42,0),VLOOKUP($A48,'Mass Equivalents - States, Opt1'!$A$8:$AP$56,38,0)*VLOOKUP($A48,'Mass Equivalents - States, Opt1'!$A$8:$AP$56,42)*VLOOKUP($A48,'Mass Equivalents - States, Opt1'!$A$8:$AP$56,41,0))</f>
        <v>5265558.4628090998</v>
      </c>
      <c r="J48" s="50">
        <f>MIN(VLOOKUP($A48,'Mass Equivalents - States, Opt1'!$A$8:$AP$56,39,0)*VLOOKUP($A48,'Mass Equivalents - States, Opt1'!$A$8:$AP$56,42,0),VLOOKUP($A48,'Mass Equivalents - States, Opt1'!$A$8:$AP$56,39,0)*VLOOKUP($A48,'Mass Equivalents - States, Opt1'!$A$8:$AP$56,42)*VLOOKUP($A48,'Mass Equivalents - States, Opt1'!$A$8:$AP$56,41,0))</f>
        <v>5796287.9732038509</v>
      </c>
      <c r="K48" s="46">
        <f>MIN(VLOOKUP($A48,'Mass Equivalents - States, Opt1'!$A$8:$AP$56,40,0)*VLOOKUP($A48,'Mass Equivalents - States, Opt1'!$A$8:$AP$56,42,0),VLOOKUP($A48,'Mass Equivalents - States, Opt1'!$A$8:$AP$56,40,0)*VLOOKUP($A48,'Mass Equivalents - States, Opt1'!$A$8:$AP$56,42)*VLOOKUP($A48,'Mass Equivalents - States, Opt1'!$A$8:$AP$56,41,0))</f>
        <v>6269111.8945298437</v>
      </c>
      <c r="N48" s="49" t="s">
        <v>86</v>
      </c>
      <c r="O48" s="50">
        <f>MIN(VLOOKUP($N48,'Mass Equivalents - States, Opt2'!$A$8:$AF$56,32,0)*VLOOKUP($N48,'Mass Equivalents - States, Opt2'!$A$8:$AF$56,31,0)*VLOOKUP($N48,'Mass Equivalents - States, Opt2'!$A$8:$AF$56,26,0),VLOOKUP($N48,'Mass Equivalents - States, Opt2'!$A$8:$AF$56,32,0)*VLOOKUP($N48,'Mass Equivalents - States, Opt2'!$A$8:$AF$56,26,0))</f>
        <v>635477.04961180198</v>
      </c>
      <c r="P48" s="50">
        <f>MIN(VLOOKUP($N48,'Mass Equivalents - States, Opt2'!$A$8:$AF$56,32,0)*VLOOKUP($N48,'Mass Equivalents - States, Opt2'!$A$8:$AF$56,31,0)*VLOOKUP($N48,'Mass Equivalents - States, Opt2'!$A$8:$AF$56,27,0),VLOOKUP($N48,'Mass Equivalents - States, Opt2'!$A$8:$AF$56,32,0)*VLOOKUP($N48,'Mass Equivalents - States, Opt2'!$A$8:$AF$56,27,0))</f>
        <v>1006803.4541616462</v>
      </c>
      <c r="Q48" s="50">
        <f>MIN(VLOOKUP($N48,'Mass Equivalents - States, Opt2'!$A$8:$AF$56,32,0)*VLOOKUP($N48,'Mass Equivalents - States, Opt2'!$A$8:$AF$56,31,0)*VLOOKUP($N48,'Mass Equivalents - States, Opt2'!$A$8:$AF$56,28,0),VLOOKUP($N48,'Mass Equivalents - States, Opt2'!$A$8:$AF$56,32,0)*VLOOKUP($N48,'Mass Equivalents - States, Opt2'!$A$8:$AF$56,28,0))</f>
        <v>1448921.3108013391</v>
      </c>
      <c r="R48" s="50">
        <f>MIN(VLOOKUP($N48,'Mass Equivalents - States, Opt2'!$A$8:$AF$56,32,0)*VLOOKUP($N48,'Mass Equivalents - States, Opt2'!$A$8:$AF$56,31,0)*VLOOKUP($N48,'Mass Equivalents - States, Opt2'!$A$8:$AF$56,29,0),VLOOKUP($N48,'Mass Equivalents - States, Opt2'!$A$8:$AF$56,32,0)*VLOOKUP($N48,'Mass Equivalents - States, Opt2'!$A$8:$AF$56,29,0))</f>
        <v>1954543.7461378274</v>
      </c>
      <c r="S48" s="46">
        <f>MIN(VLOOKUP($N48,'Mass Equivalents - States, Opt2'!$A$8:$AF$56,32,0)*VLOOKUP($N48,'Mass Equivalents - States, Opt2'!$A$8:$AF$56,31,0)*VLOOKUP($N48,'Mass Equivalents - States, Opt2'!$A$8:$AF$56,30,0),VLOOKUP($N48,'Mass Equivalents - States, Opt2'!$A$8:$AF$56,32,0)*VLOOKUP($N48,'Mass Equivalents - States, Opt2'!$A$8:$AF$56,30,0))</f>
        <v>2466939.8919748147</v>
      </c>
    </row>
    <row r="49" spans="1:19" x14ac:dyDescent="0.25">
      <c r="A49" s="49" t="s">
        <v>87</v>
      </c>
      <c r="B49" s="50">
        <f>MIN(VLOOKUP($A49,'Mass Equivalents - States, Opt1'!$A$8:$AP$56,31,0)*VLOOKUP($A49,'Mass Equivalents - States, Opt1'!$A$8:$AP$56,42,0),VLOOKUP($A49,'Mass Equivalents - States, Opt1'!$A$8:$AP$56,31,0)*VLOOKUP($A49,'Mass Equivalents - States, Opt1'!$A$8:$AP$56,42)*VLOOKUP($A49,'Mass Equivalents - States, Opt1'!$A$8:$AP$56,41,0))</f>
        <v>4212801.0730722686</v>
      </c>
      <c r="C49" s="50">
        <f>MIN(VLOOKUP($A49,'Mass Equivalents - States, Opt1'!$A$8:$AP$56,32,0)*VLOOKUP($A49,'Mass Equivalents - States, Opt1'!$A$8:$AP$56,42,0),VLOOKUP($A49,'Mass Equivalents - States, Opt1'!$A$8:$AP$56,32,0)*VLOOKUP($A49,'Mass Equivalents - States, Opt1'!$A$8:$AP$56,42)*VLOOKUP($A49,'Mass Equivalents - States, Opt1'!$A$8:$AP$56,41,0))</f>
        <v>5348698.8521594275</v>
      </c>
      <c r="D49" s="50">
        <f>MIN(VLOOKUP($A49,'Mass Equivalents - States, Opt1'!$A$8:$AP$56,33,0)*VLOOKUP($A49,'Mass Equivalents - States, Opt1'!$A$8:$AP$56,42,0),VLOOKUP($A49,'Mass Equivalents - States, Opt1'!$A$8:$AP$56,33,0)*VLOOKUP($A49,'Mass Equivalents - States, Opt1'!$A$8:$AP$56,42)*VLOOKUP($A49,'Mass Equivalents - States, Opt1'!$A$8:$AP$56,41,0))</f>
        <v>6385431.8630807092</v>
      </c>
      <c r="E49" s="50">
        <f>MIN(VLOOKUP($A49,'Mass Equivalents - States, Opt1'!$A$8:$AP$56,34,0)*VLOOKUP($A49,'Mass Equivalents - States, Opt1'!$A$8:$AP$56,42,0),VLOOKUP($A49,'Mass Equivalents - States, Opt1'!$A$8:$AP$56,34,0)*VLOOKUP($A49,'Mass Equivalents - States, Opt1'!$A$8:$AP$56,42)*VLOOKUP($A49,'Mass Equivalents - States, Opt1'!$A$8:$AP$56,41,0))</f>
        <v>7326997.6305039702</v>
      </c>
      <c r="F49" s="50">
        <f>MIN(VLOOKUP($A49,'Mass Equivalents - States, Opt1'!$A$8:$AP$56,35,0)*VLOOKUP($A49,'Mass Equivalents - States, Opt1'!$A$8:$AP$56,42,0),VLOOKUP($A49,'Mass Equivalents - States, Opt1'!$A$8:$AP$56,35,0)*VLOOKUP($A49,'Mass Equivalents - States, Opt1'!$A$8:$AP$56,42)*VLOOKUP($A49,'Mass Equivalents - States, Opt1'!$A$8:$AP$56,41,0))</f>
        <v>8177203.8196038408</v>
      </c>
      <c r="G49" s="50">
        <f>MIN(VLOOKUP($A49,'Mass Equivalents - States, Opt1'!$A$8:$AP$56,36,0)*VLOOKUP($A49,'Mass Equivalents - States, Opt1'!$A$8:$AP$56,42,0),VLOOKUP($A49,'Mass Equivalents - States, Opt1'!$A$8:$AP$56,36,0)*VLOOKUP($A49,'Mass Equivalents - States, Opt1'!$A$8:$AP$56,42)*VLOOKUP($A49,'Mass Equivalents - States, Opt1'!$A$8:$AP$56,41,0))</f>
        <v>8939676.8701705597</v>
      </c>
      <c r="H49" s="50">
        <f>MIN(VLOOKUP($A49,'Mass Equivalents - States, Opt1'!$A$8:$AP$56,37,0)*VLOOKUP($A49,'Mass Equivalents - States, Opt1'!$A$8:$AP$56,42,0),VLOOKUP($A49,'Mass Equivalents - States, Opt1'!$A$8:$AP$56,37,0)*VLOOKUP($A49,'Mass Equivalents - States, Opt1'!$A$8:$AP$56,42)*VLOOKUP($A49,'Mass Equivalents - States, Opt1'!$A$8:$AP$56,41,0))</f>
        <v>9617870.2337321062</v>
      </c>
      <c r="I49" s="50">
        <f>MIN(VLOOKUP($A49,'Mass Equivalents - States, Opt1'!$A$8:$AP$56,38,0)*VLOOKUP($A49,'Mass Equivalents - States, Opt1'!$A$8:$AP$56,42,0),VLOOKUP($A49,'Mass Equivalents - States, Opt1'!$A$8:$AP$56,38,0)*VLOOKUP($A49,'Mass Equivalents - States, Opt1'!$A$8:$AP$56,42)*VLOOKUP($A49,'Mass Equivalents - States, Opt1'!$A$8:$AP$56,41,0))</f>
        <v>10215072.231891219</v>
      </c>
      <c r="J49" s="50">
        <f>MIN(VLOOKUP($A49,'Mass Equivalents - States, Opt1'!$A$8:$AP$56,39,0)*VLOOKUP($A49,'Mass Equivalents - States, Opt1'!$A$8:$AP$56,42,0),VLOOKUP($A49,'Mass Equivalents - States, Opt1'!$A$8:$AP$56,39,0)*VLOOKUP($A49,'Mass Equivalents - States, Opt1'!$A$8:$AP$56,42)*VLOOKUP($A49,'Mass Equivalents - States, Opt1'!$A$8:$AP$56,41,0))</f>
        <v>10734413.553243924</v>
      </c>
      <c r="K49" s="46">
        <f>MIN(VLOOKUP($A49,'Mass Equivalents - States, Opt1'!$A$8:$AP$56,40,0)*VLOOKUP($A49,'Mass Equivalents - States, Opt1'!$A$8:$AP$56,42,0),VLOOKUP($A49,'Mass Equivalents - States, Opt1'!$A$8:$AP$56,40,0)*VLOOKUP($A49,'Mass Equivalents - States, Opt1'!$A$8:$AP$56,42)*VLOOKUP($A49,'Mass Equivalents - States, Opt1'!$A$8:$AP$56,41,0))</f>
        <v>11178874.405449228</v>
      </c>
      <c r="N49" s="49" t="s">
        <v>87</v>
      </c>
      <c r="O49" s="50">
        <f>MIN(VLOOKUP($N49,'Mass Equivalents - States, Opt2'!$A$8:$AF$56,32,0)*VLOOKUP($N49,'Mass Equivalents - States, Opt2'!$A$8:$AF$56,31,0)*VLOOKUP($N49,'Mass Equivalents - States, Opt2'!$A$8:$AF$56,26,0),VLOOKUP($N49,'Mass Equivalents - States, Opt2'!$A$8:$AF$56,32,0)*VLOOKUP($N49,'Mass Equivalents - States, Opt2'!$A$8:$AF$56,26,0))</f>
        <v>3428335.437787903</v>
      </c>
      <c r="P49" s="50">
        <f>MIN(VLOOKUP($N49,'Mass Equivalents - States, Opt2'!$A$8:$AF$56,32,0)*VLOOKUP($N49,'Mass Equivalents - States, Opt2'!$A$8:$AF$56,31,0)*VLOOKUP($N49,'Mass Equivalents - States, Opt2'!$A$8:$AF$56,27,0),VLOOKUP($N49,'Mass Equivalents - States, Opt2'!$A$8:$AF$56,32,0)*VLOOKUP($N49,'Mass Equivalents - States, Opt2'!$A$8:$AF$56,27,0))</f>
        <v>4150932.1720216558</v>
      </c>
      <c r="Q49" s="50">
        <f>MIN(VLOOKUP($N49,'Mass Equivalents - States, Opt2'!$A$8:$AF$56,32,0)*VLOOKUP($N49,'Mass Equivalents - States, Opt2'!$A$8:$AF$56,31,0)*VLOOKUP($N49,'Mass Equivalents - States, Opt2'!$A$8:$AF$56,28,0),VLOOKUP($N49,'Mass Equivalents - States, Opt2'!$A$8:$AF$56,32,0)*VLOOKUP($N49,'Mass Equivalents - States, Opt2'!$A$8:$AF$56,28,0))</f>
        <v>4811793.4380947705</v>
      </c>
      <c r="R49" s="50">
        <f>MIN(VLOOKUP($N49,'Mass Equivalents - States, Opt2'!$A$8:$AF$56,32,0)*VLOOKUP($N49,'Mass Equivalents - States, Opt2'!$A$8:$AF$56,31,0)*VLOOKUP($N49,'Mass Equivalents - States, Opt2'!$A$8:$AF$56,29,0),VLOOKUP($N49,'Mass Equivalents - States, Opt2'!$A$8:$AF$56,32,0)*VLOOKUP($N49,'Mass Equivalents - States, Opt2'!$A$8:$AF$56,29,0))</f>
        <v>5412958.5323279416</v>
      </c>
      <c r="S49" s="46">
        <f>MIN(VLOOKUP($N49,'Mass Equivalents - States, Opt2'!$A$8:$AF$56,32,0)*VLOOKUP($N49,'Mass Equivalents - States, Opt2'!$A$8:$AF$56,31,0)*VLOOKUP($N49,'Mass Equivalents - States, Opt2'!$A$8:$AF$56,30,0),VLOOKUP($N49,'Mass Equivalents - States, Opt2'!$A$8:$AF$56,32,0)*VLOOKUP($N49,'Mass Equivalents - States, Opt2'!$A$8:$AF$56,30,0))</f>
        <v>5956386.9827108625</v>
      </c>
    </row>
    <row r="50" spans="1:19" x14ac:dyDescent="0.25">
      <c r="A50" s="49" t="s">
        <v>88</v>
      </c>
      <c r="B50" s="50">
        <f>MIN(VLOOKUP($A50,'Mass Equivalents - States, Opt1'!$A$8:$AP$56,31,0)*VLOOKUP($A50,'Mass Equivalents - States, Opt1'!$A$8:$AP$56,42,0),VLOOKUP($A50,'Mass Equivalents - States, Opt1'!$A$8:$AP$56,31,0)*VLOOKUP($A50,'Mass Equivalents - States, Opt1'!$A$8:$AP$56,42)*VLOOKUP($A50,'Mass Equivalents - States, Opt1'!$A$8:$AP$56,41,0))</f>
        <v>587318.1657351302</v>
      </c>
      <c r="C50" s="50">
        <f>MIN(VLOOKUP($A50,'Mass Equivalents - States, Opt1'!$A$8:$AP$56,32,0)*VLOOKUP($A50,'Mass Equivalents - States, Opt1'!$A$8:$AP$56,42,0),VLOOKUP($A50,'Mass Equivalents - States, Opt1'!$A$8:$AP$56,32,0)*VLOOKUP($A50,'Mass Equivalents - States, Opt1'!$A$8:$AP$56,42)*VLOOKUP($A50,'Mass Equivalents - States, Opt1'!$A$8:$AP$56,41,0))</f>
        <v>868135.1872197832</v>
      </c>
      <c r="D50" s="50">
        <f>MIN(VLOOKUP($A50,'Mass Equivalents - States, Opt1'!$A$8:$AP$56,33,0)*VLOOKUP($A50,'Mass Equivalents - States, Opt1'!$A$8:$AP$56,42,0),VLOOKUP($A50,'Mass Equivalents - States, Opt1'!$A$8:$AP$56,33,0)*VLOOKUP($A50,'Mass Equivalents - States, Opt1'!$A$8:$AP$56,42)*VLOOKUP($A50,'Mass Equivalents - States, Opt1'!$A$8:$AP$56,41,0))</f>
        <v>1192941.7725089388</v>
      </c>
      <c r="E50" s="50">
        <f>MIN(VLOOKUP($A50,'Mass Equivalents - States, Opt1'!$A$8:$AP$56,34,0)*VLOOKUP($A50,'Mass Equivalents - States, Opt1'!$A$8:$AP$56,42,0),VLOOKUP($A50,'Mass Equivalents - States, Opt1'!$A$8:$AP$56,34,0)*VLOOKUP($A50,'Mass Equivalents - States, Opt1'!$A$8:$AP$56,42)*VLOOKUP($A50,'Mass Equivalents - States, Opt1'!$A$8:$AP$56,41,0))</f>
        <v>1556679.6259620676</v>
      </c>
      <c r="F50" s="50">
        <f>MIN(VLOOKUP($A50,'Mass Equivalents - States, Opt1'!$A$8:$AP$56,35,0)*VLOOKUP($A50,'Mass Equivalents - States, Opt1'!$A$8:$AP$56,42,0),VLOOKUP($A50,'Mass Equivalents - States, Opt1'!$A$8:$AP$56,35,0)*VLOOKUP($A50,'Mass Equivalents - States, Opt1'!$A$8:$AP$56,42)*VLOOKUP($A50,'Mass Equivalents - States, Opt1'!$A$8:$AP$56,41,0))</f>
        <v>1931010.4619496057</v>
      </c>
      <c r="G50" s="50">
        <f>MIN(VLOOKUP($A50,'Mass Equivalents - States, Opt1'!$A$8:$AP$56,36,0)*VLOOKUP($A50,'Mass Equivalents - States, Opt1'!$A$8:$AP$56,42,0),VLOOKUP($A50,'Mass Equivalents - States, Opt1'!$A$8:$AP$56,36,0)*VLOOKUP($A50,'Mass Equivalents - States, Opt1'!$A$8:$AP$56,42)*VLOOKUP($A50,'Mass Equivalents - States, Opt1'!$A$8:$AP$56,41,0))</f>
        <v>2273875.0208114502</v>
      </c>
      <c r="H50" s="50">
        <f>MIN(VLOOKUP($A50,'Mass Equivalents - States, Opt1'!$A$8:$AP$56,37,0)*VLOOKUP($A50,'Mass Equivalents - States, Opt1'!$A$8:$AP$56,42,0),VLOOKUP($A50,'Mass Equivalents - States, Opt1'!$A$8:$AP$56,37,0)*VLOOKUP($A50,'Mass Equivalents - States, Opt1'!$A$8:$AP$56,42)*VLOOKUP($A50,'Mass Equivalents - States, Opt1'!$A$8:$AP$56,41,0))</f>
        <v>2586262.7835140759</v>
      </c>
      <c r="I50" s="50">
        <f>MIN(VLOOKUP($A50,'Mass Equivalents - States, Opt1'!$A$8:$AP$56,38,0)*VLOOKUP($A50,'Mass Equivalents - States, Opt1'!$A$8:$AP$56,42,0),VLOOKUP($A50,'Mass Equivalents - States, Opt1'!$A$8:$AP$56,38,0)*VLOOKUP($A50,'Mass Equivalents - States, Opt1'!$A$8:$AP$56,42)*VLOOKUP($A50,'Mass Equivalents - States, Opt1'!$A$8:$AP$56,41,0))</f>
        <v>2869118.2091936469</v>
      </c>
      <c r="J50" s="50">
        <f>MIN(VLOOKUP($A50,'Mass Equivalents - States, Opt1'!$A$8:$AP$56,39,0)*VLOOKUP($A50,'Mass Equivalents - States, Opt1'!$A$8:$AP$56,42,0),VLOOKUP($A50,'Mass Equivalents - States, Opt1'!$A$8:$AP$56,39,0)*VLOOKUP($A50,'Mass Equivalents - States, Opt1'!$A$8:$AP$56,42)*VLOOKUP($A50,'Mass Equivalents - States, Opt1'!$A$8:$AP$56,41,0))</f>
        <v>3123342.4713955033</v>
      </c>
      <c r="K50" s="46">
        <f>MIN(VLOOKUP($A50,'Mass Equivalents - States, Opt1'!$A$8:$AP$56,40,0)*VLOOKUP($A50,'Mass Equivalents - States, Opt1'!$A$8:$AP$56,42,0),VLOOKUP($A50,'Mass Equivalents - States, Opt1'!$A$8:$AP$56,40,0)*VLOOKUP($A50,'Mass Equivalents - States, Opt1'!$A$8:$AP$56,42)*VLOOKUP($A50,'Mass Equivalents - States, Opt1'!$A$8:$AP$56,41,0))</f>
        <v>3349795.1225105543</v>
      </c>
      <c r="N50" s="49" t="s">
        <v>88</v>
      </c>
      <c r="O50" s="50">
        <f>MIN(VLOOKUP($N50,'Mass Equivalents - States, Opt2'!$A$8:$AF$56,32,0)*VLOOKUP($N50,'Mass Equivalents - States, Opt2'!$A$8:$AF$56,31,0)*VLOOKUP($N50,'Mass Equivalents - States, Opt2'!$A$8:$AF$56,26,0),VLOOKUP($N50,'Mass Equivalents - States, Opt2'!$A$8:$AF$56,32,0)*VLOOKUP($N50,'Mass Equivalents - States, Opt2'!$A$8:$AF$56,26,0))</f>
        <v>493141.97449961567</v>
      </c>
      <c r="P50" s="50">
        <f>MIN(VLOOKUP($N50,'Mass Equivalents - States, Opt2'!$A$8:$AF$56,32,0)*VLOOKUP($N50,'Mass Equivalents - States, Opt2'!$A$8:$AF$56,31,0)*VLOOKUP($N50,'Mass Equivalents - States, Opt2'!$A$8:$AF$56,27,0),VLOOKUP($N50,'Mass Equivalents - States, Opt2'!$A$8:$AF$56,32,0)*VLOOKUP($N50,'Mass Equivalents - States, Opt2'!$A$8:$AF$56,27,0))</f>
        <v>715358.42277289554</v>
      </c>
      <c r="Q50" s="50">
        <f>MIN(VLOOKUP($N50,'Mass Equivalents - States, Opt2'!$A$8:$AF$56,32,0)*VLOOKUP($N50,'Mass Equivalents - States, Opt2'!$A$8:$AF$56,31,0)*VLOOKUP($N50,'Mass Equivalents - States, Opt2'!$A$8:$AF$56,28,0),VLOOKUP($N50,'Mass Equivalents - States, Opt2'!$A$8:$AF$56,32,0)*VLOOKUP($N50,'Mass Equivalents - States, Opt2'!$A$8:$AF$56,28,0))</f>
        <v>970314.05056281085</v>
      </c>
      <c r="R50" s="50">
        <f>MIN(VLOOKUP($N50,'Mass Equivalents - States, Opt2'!$A$8:$AF$56,32,0)*VLOOKUP($N50,'Mass Equivalents - States, Opt2'!$A$8:$AF$56,31,0)*VLOOKUP($N50,'Mass Equivalents - States, Opt2'!$A$8:$AF$56,29,0),VLOOKUP($N50,'Mass Equivalents - States, Opt2'!$A$8:$AF$56,32,0)*VLOOKUP($N50,'Mass Equivalents - States, Opt2'!$A$8:$AF$56,29,0))</f>
        <v>1230815.2464900147</v>
      </c>
      <c r="S50" s="46">
        <f>MIN(VLOOKUP($N50,'Mass Equivalents - States, Opt2'!$A$8:$AF$56,32,0)*VLOOKUP($N50,'Mass Equivalents - States, Opt2'!$A$8:$AF$56,31,0)*VLOOKUP($N50,'Mass Equivalents - States, Opt2'!$A$8:$AF$56,30,0),VLOOKUP($N50,'Mass Equivalents - States, Opt2'!$A$8:$AF$56,32,0)*VLOOKUP($N50,'Mass Equivalents - States, Opt2'!$A$8:$AF$56,30,0))</f>
        <v>1471102.5244384005</v>
      </c>
    </row>
    <row r="51" spans="1:19" x14ac:dyDescent="0.25">
      <c r="A51" s="49" t="s">
        <v>89</v>
      </c>
      <c r="B51" s="50">
        <f>MIN(VLOOKUP($A51,'Mass Equivalents - States, Opt1'!$A$8:$AP$56,31,0)*VLOOKUP($A51,'Mass Equivalents - States, Opt1'!$A$8:$AP$56,42,0),VLOOKUP($A51,'Mass Equivalents - States, Opt1'!$A$8:$AP$56,31,0)*VLOOKUP($A51,'Mass Equivalents - States, Opt1'!$A$8:$AP$56,42)*VLOOKUP($A51,'Mass Equivalents - States, Opt1'!$A$8:$AP$56,41,0))</f>
        <v>2904851.2268454065</v>
      </c>
      <c r="C51" s="50">
        <f>MIN(VLOOKUP($A51,'Mass Equivalents - States, Opt1'!$A$8:$AP$56,32,0)*VLOOKUP($A51,'Mass Equivalents - States, Opt1'!$A$8:$AP$56,42,0),VLOOKUP($A51,'Mass Equivalents - States, Opt1'!$A$8:$AP$56,32,0)*VLOOKUP($A51,'Mass Equivalents - States, Opt1'!$A$8:$AP$56,42)*VLOOKUP($A51,'Mass Equivalents - States, Opt1'!$A$8:$AP$56,41,0))</f>
        <v>3615846.778919105</v>
      </c>
      <c r="D51" s="50">
        <f>MIN(VLOOKUP($A51,'Mass Equivalents - States, Opt1'!$A$8:$AP$56,33,0)*VLOOKUP($A51,'Mass Equivalents - States, Opt1'!$A$8:$AP$56,42,0),VLOOKUP($A51,'Mass Equivalents - States, Opt1'!$A$8:$AP$56,33,0)*VLOOKUP($A51,'Mass Equivalents - States, Opt1'!$A$8:$AP$56,42)*VLOOKUP($A51,'Mass Equivalents - States, Opt1'!$A$8:$AP$56,41,0))</f>
        <v>4267864.6535723796</v>
      </c>
      <c r="E51" s="50">
        <f>MIN(VLOOKUP($A51,'Mass Equivalents - States, Opt1'!$A$8:$AP$56,34,0)*VLOOKUP($A51,'Mass Equivalents - States, Opt1'!$A$8:$AP$56,42,0),VLOOKUP($A51,'Mass Equivalents - States, Opt1'!$A$8:$AP$56,34,0)*VLOOKUP($A51,'Mass Equivalents - States, Opt1'!$A$8:$AP$56,42)*VLOOKUP($A51,'Mass Equivalents - States, Opt1'!$A$8:$AP$56,41,0))</f>
        <v>4862712.3092429228</v>
      </c>
      <c r="F51" s="50">
        <f>MIN(VLOOKUP($A51,'Mass Equivalents - States, Opt1'!$A$8:$AP$56,35,0)*VLOOKUP($A51,'Mass Equivalents - States, Opt1'!$A$8:$AP$56,42,0),VLOOKUP($A51,'Mass Equivalents - States, Opt1'!$A$8:$AP$56,35,0)*VLOOKUP($A51,'Mass Equivalents - States, Opt1'!$A$8:$AP$56,42)*VLOOKUP($A51,'Mass Equivalents - States, Opt1'!$A$8:$AP$56,41,0))</f>
        <v>5402115.0728924079</v>
      </c>
      <c r="G51" s="50">
        <f>MIN(VLOOKUP($A51,'Mass Equivalents - States, Opt1'!$A$8:$AP$56,36,0)*VLOOKUP($A51,'Mass Equivalents - States, Opt1'!$A$8:$AP$56,42,0),VLOOKUP($A51,'Mass Equivalents - States, Opt1'!$A$8:$AP$56,36,0)*VLOOKUP($A51,'Mass Equivalents - States, Opt1'!$A$8:$AP$56,42)*VLOOKUP($A51,'Mass Equivalents - States, Opt1'!$A$8:$AP$56,41,0))</f>
        <v>5887719.2447327971</v>
      </c>
      <c r="H51" s="50">
        <f>MIN(VLOOKUP($A51,'Mass Equivalents - States, Opt1'!$A$8:$AP$56,37,0)*VLOOKUP($A51,'Mass Equivalents - States, Opt1'!$A$8:$AP$56,42,0),VLOOKUP($A51,'Mass Equivalents - States, Opt1'!$A$8:$AP$56,37,0)*VLOOKUP($A51,'Mass Equivalents - States, Opt1'!$A$8:$AP$56,42)*VLOOKUP($A51,'Mass Equivalents - States, Opt1'!$A$8:$AP$56,41,0))</f>
        <v>6321095.0756611237</v>
      </c>
      <c r="I51" s="50">
        <f>MIN(VLOOKUP($A51,'Mass Equivalents - States, Opt1'!$A$8:$AP$56,38,0)*VLOOKUP($A51,'Mass Equivalents - States, Opt1'!$A$8:$AP$56,42,0),VLOOKUP($A51,'Mass Equivalents - States, Opt1'!$A$8:$AP$56,38,0)*VLOOKUP($A51,'Mass Equivalents - States, Opt1'!$A$8:$AP$56,42)*VLOOKUP($A51,'Mass Equivalents - States, Opt1'!$A$8:$AP$56,41,0))</f>
        <v>6703739.6224328261</v>
      </c>
      <c r="J51" s="50">
        <f>MIN(VLOOKUP($A51,'Mass Equivalents - States, Opt1'!$A$8:$AP$56,39,0)*VLOOKUP($A51,'Mass Equivalents - States, Opt1'!$A$8:$AP$56,42,0),VLOOKUP($A51,'Mass Equivalents - States, Opt1'!$A$8:$AP$56,39,0)*VLOOKUP($A51,'Mass Equivalents - States, Opt1'!$A$8:$AP$56,42)*VLOOKUP($A51,'Mass Equivalents - States, Opt1'!$A$8:$AP$56,41,0))</f>
        <v>7037079.4854015643</v>
      </c>
      <c r="K51" s="46">
        <f>MIN(VLOOKUP($A51,'Mass Equivalents - States, Opt1'!$A$8:$AP$56,40,0)*VLOOKUP($A51,'Mass Equivalents - States, Opt1'!$A$8:$AP$56,42,0),VLOOKUP($A51,'Mass Equivalents - States, Opt1'!$A$8:$AP$56,40,0)*VLOOKUP($A51,'Mass Equivalents - States, Opt1'!$A$8:$AP$56,42)*VLOOKUP($A51,'Mass Equivalents - States, Opt1'!$A$8:$AP$56,41,0))</f>
        <v>7322473.4334594617</v>
      </c>
      <c r="N51" s="49" t="s">
        <v>89</v>
      </c>
      <c r="O51" s="50">
        <f>MIN(VLOOKUP($N51,'Mass Equivalents - States, Opt2'!$A$8:$AF$56,32,0)*VLOOKUP($N51,'Mass Equivalents - States, Opt2'!$A$8:$AF$56,31,0)*VLOOKUP($N51,'Mass Equivalents - States, Opt2'!$A$8:$AF$56,26,0),VLOOKUP($N51,'Mass Equivalents - States, Opt2'!$A$8:$AF$56,32,0)*VLOOKUP($N51,'Mass Equivalents - States, Opt2'!$A$8:$AF$56,26,0))</f>
        <v>2235425.0903264489</v>
      </c>
      <c r="P51" s="50">
        <f>MIN(VLOOKUP($N51,'Mass Equivalents - States, Opt2'!$A$8:$AF$56,32,0)*VLOOKUP($N51,'Mass Equivalents - States, Opt2'!$A$8:$AF$56,31,0)*VLOOKUP($N51,'Mass Equivalents - States, Opt2'!$A$8:$AF$56,27,0),VLOOKUP($N51,'Mass Equivalents - States, Opt2'!$A$8:$AF$56,32,0)*VLOOKUP($N51,'Mass Equivalents - States, Opt2'!$A$8:$AF$56,27,0))</f>
        <v>2697047.7750332034</v>
      </c>
      <c r="Q51" s="50">
        <f>MIN(VLOOKUP($N51,'Mass Equivalents - States, Opt2'!$A$8:$AF$56,32,0)*VLOOKUP($N51,'Mass Equivalents - States, Opt2'!$A$8:$AF$56,31,0)*VLOOKUP($N51,'Mass Equivalents - States, Opt2'!$A$8:$AF$56,28,0),VLOOKUP($N51,'Mass Equivalents - States, Opt2'!$A$8:$AF$56,32,0)*VLOOKUP($N51,'Mass Equivalents - States, Opt2'!$A$8:$AF$56,28,0))</f>
        <v>3121593.8766786796</v>
      </c>
      <c r="R51" s="50">
        <f>MIN(VLOOKUP($N51,'Mass Equivalents - States, Opt2'!$A$8:$AF$56,32,0)*VLOOKUP($N51,'Mass Equivalents - States, Opt2'!$A$8:$AF$56,31,0)*VLOOKUP($N51,'Mass Equivalents - States, Opt2'!$A$8:$AF$56,29,0),VLOOKUP($N51,'Mass Equivalents - States, Opt2'!$A$8:$AF$56,32,0)*VLOOKUP($N51,'Mass Equivalents - States, Opt2'!$A$8:$AF$56,29,0))</f>
        <v>3509912.9250006238</v>
      </c>
      <c r="S51" s="46">
        <f>MIN(VLOOKUP($N51,'Mass Equivalents - States, Opt2'!$A$8:$AF$56,32,0)*VLOOKUP($N51,'Mass Equivalents - States, Opt2'!$A$8:$AF$56,31,0)*VLOOKUP($N51,'Mass Equivalents - States, Opt2'!$A$8:$AF$56,30,0),VLOOKUP($N51,'Mass Equivalents - States, Opt2'!$A$8:$AF$56,32,0)*VLOOKUP($N51,'Mass Equivalents - States, Opt2'!$A$8:$AF$56,30,0))</f>
        <v>3862822.3912312109</v>
      </c>
    </row>
    <row r="52" spans="1:19" ht="15.75" thickBot="1" x14ac:dyDescent="0.3">
      <c r="A52" s="49" t="s">
        <v>90</v>
      </c>
      <c r="B52" s="50">
        <f>MIN(VLOOKUP($A52,'Mass Equivalents - States, Opt1'!$A$8:$AP$56,31,0)*VLOOKUP($A52,'Mass Equivalents - States, Opt1'!$A$8:$AP$56,42,0),VLOOKUP($A52,'Mass Equivalents - States, Opt1'!$A$8:$AP$56,31,0)*VLOOKUP($A52,'Mass Equivalents - States, Opt1'!$A$8:$AP$56,42)*VLOOKUP($A52,'Mass Equivalents - States, Opt1'!$A$8:$AP$56,41,0))</f>
        <v>293937.25408444146</v>
      </c>
      <c r="C52" s="50">
        <f>MIN(VLOOKUP($A52,'Mass Equivalents - States, Opt1'!$A$8:$AP$56,32,0)*VLOOKUP($A52,'Mass Equivalents - States, Opt1'!$A$8:$AP$56,42,0),VLOOKUP($A52,'Mass Equivalents - States, Opt1'!$A$8:$AP$56,32,0)*VLOOKUP($A52,'Mass Equivalents - States, Opt1'!$A$8:$AP$56,42)*VLOOKUP($A52,'Mass Equivalents - States, Opt1'!$A$8:$AP$56,41,0))</f>
        <v>440987.2598172428</v>
      </c>
      <c r="D52" s="50">
        <f>MIN(VLOOKUP($A52,'Mass Equivalents - States, Opt1'!$A$8:$AP$56,33,0)*VLOOKUP($A52,'Mass Equivalents - States, Opt1'!$A$8:$AP$56,42,0),VLOOKUP($A52,'Mass Equivalents - States, Opt1'!$A$8:$AP$56,33,0)*VLOOKUP($A52,'Mass Equivalents - States, Opt1'!$A$8:$AP$56,42)*VLOOKUP($A52,'Mass Equivalents - States, Opt1'!$A$8:$AP$56,41,0))</f>
        <v>612028.82279103668</v>
      </c>
      <c r="E52" s="50">
        <f>MIN(VLOOKUP($A52,'Mass Equivalents - States, Opt1'!$A$8:$AP$56,34,0)*VLOOKUP($A52,'Mass Equivalents - States, Opt1'!$A$8:$AP$56,42,0),VLOOKUP($A52,'Mass Equivalents - States, Opt1'!$A$8:$AP$56,34,0)*VLOOKUP($A52,'Mass Equivalents - States, Opt1'!$A$8:$AP$56,42)*VLOOKUP($A52,'Mass Equivalents - States, Opt1'!$A$8:$AP$56,41,0))</f>
        <v>804245.71742339549</v>
      </c>
      <c r="F52" s="50">
        <f>MIN(VLOOKUP($A52,'Mass Equivalents - States, Opt1'!$A$8:$AP$56,35,0)*VLOOKUP($A52,'Mass Equivalents - States, Opt1'!$A$8:$AP$56,42,0),VLOOKUP($A52,'Mass Equivalents - States, Opt1'!$A$8:$AP$56,35,0)*VLOOKUP($A52,'Mass Equivalents - States, Opt1'!$A$8:$AP$56,42)*VLOOKUP($A52,'Mass Equivalents - States, Opt1'!$A$8:$AP$56,41,0))</f>
        <v>1009006.429908902</v>
      </c>
      <c r="G52" s="50">
        <f>MIN(VLOOKUP($A52,'Mass Equivalents - States, Opt1'!$A$8:$AP$56,36,0)*VLOOKUP($A52,'Mass Equivalents - States, Opt1'!$A$8:$AP$56,42,0),VLOOKUP($A52,'Mass Equivalents - States, Opt1'!$A$8:$AP$56,36,0)*VLOOKUP($A52,'Mass Equivalents - States, Opt1'!$A$8:$AP$56,42)*VLOOKUP($A52,'Mass Equivalents - States, Opt1'!$A$8:$AP$56,41,0))</f>
        <v>1195694.0081160879</v>
      </c>
      <c r="H52" s="50">
        <f>MIN(VLOOKUP($A52,'Mass Equivalents - States, Opt1'!$A$8:$AP$56,37,0)*VLOOKUP($A52,'Mass Equivalents - States, Opt1'!$A$8:$AP$56,42,0),VLOOKUP($A52,'Mass Equivalents - States, Opt1'!$A$8:$AP$56,37,0)*VLOOKUP($A52,'Mass Equivalents - States, Opt1'!$A$8:$AP$56,42)*VLOOKUP($A52,'Mass Equivalents - States, Opt1'!$A$8:$AP$56,41,0))</f>
        <v>1365035.7991354787</v>
      </c>
      <c r="I52" s="50">
        <f>MIN(VLOOKUP($A52,'Mass Equivalents - States, Opt1'!$A$8:$AP$56,38,0)*VLOOKUP($A52,'Mass Equivalents - States, Opt1'!$A$8:$AP$56,42,0),VLOOKUP($A52,'Mass Equivalents - States, Opt1'!$A$8:$AP$56,38,0)*VLOOKUP($A52,'Mass Equivalents - States, Opt1'!$A$8:$AP$56,42)*VLOOKUP($A52,'Mass Equivalents - States, Opt1'!$A$8:$AP$56,41,0))</f>
        <v>1517724.589014878</v>
      </c>
      <c r="J52" s="50">
        <f>MIN(VLOOKUP($A52,'Mass Equivalents - States, Opt1'!$A$8:$AP$56,39,0)*VLOOKUP($A52,'Mass Equivalents - States, Opt1'!$A$8:$AP$56,42,0),VLOOKUP($A52,'Mass Equivalents - States, Opt1'!$A$8:$AP$56,39,0)*VLOOKUP($A52,'Mass Equivalents - States, Opt1'!$A$8:$AP$56,42)*VLOOKUP($A52,'Mass Equivalents - States, Opt1'!$A$8:$AP$56,41,0))</f>
        <v>1654420.1742842039</v>
      </c>
      <c r="K52" s="46">
        <f>MIN(VLOOKUP($A52,'Mass Equivalents - States, Opt1'!$A$8:$AP$56,40,0)*VLOOKUP($A52,'Mass Equivalents - States, Opt1'!$A$8:$AP$56,42,0),VLOOKUP($A52,'Mass Equivalents - States, Opt1'!$A$8:$AP$56,40,0)*VLOOKUP($A52,'Mass Equivalents - States, Opt1'!$A$8:$AP$56,42)*VLOOKUP($A52,'Mass Equivalents - States, Opt1'!$A$8:$AP$56,41,0))</f>
        <v>1775750.8612211861</v>
      </c>
      <c r="N52" s="61" t="s">
        <v>90</v>
      </c>
      <c r="O52" s="51">
        <f>MIN(VLOOKUP($N52,'Mass Equivalents - States, Opt2'!$A$8:$AF$56,32,0)*VLOOKUP($N52,'Mass Equivalents - States, Opt2'!$A$8:$AF$56,31,0)*VLOOKUP($N52,'Mass Equivalents - States, Opt2'!$A$8:$AF$56,26,0),VLOOKUP($N52,'Mass Equivalents - States, Opt2'!$A$8:$AF$56,32,0)*VLOOKUP($N52,'Mass Equivalents - States, Opt2'!$A$8:$AF$56,26,0))</f>
        <v>242484.57313829806</v>
      </c>
      <c r="P52" s="51">
        <f>MIN(VLOOKUP($N52,'Mass Equivalents - States, Opt2'!$A$8:$AF$56,32,0)*VLOOKUP($N52,'Mass Equivalents - States, Opt2'!$A$8:$AF$56,31,0)*VLOOKUP($N52,'Mass Equivalents - States, Opt2'!$A$8:$AF$56,27,0),VLOOKUP($N52,'Mass Equivalents - States, Opt2'!$A$8:$AF$56,32,0)*VLOOKUP($N52,'Mass Equivalents - States, Opt2'!$A$8:$AF$56,27,0))</f>
        <v>357626.47000242228</v>
      </c>
      <c r="Q52" s="51">
        <f>MIN(VLOOKUP($N52,'Mass Equivalents - States, Opt2'!$A$8:$AF$56,32,0)*VLOOKUP($N52,'Mass Equivalents - States, Opt2'!$A$8:$AF$56,31,0)*VLOOKUP($N52,'Mass Equivalents - States, Opt2'!$A$8:$AF$56,28,0),VLOOKUP($N52,'Mass Equivalents - States, Opt2'!$A$8:$AF$56,32,0)*VLOOKUP($N52,'Mass Equivalents - States, Opt2'!$A$8:$AF$56,28,0))</f>
        <v>490705.20300939796</v>
      </c>
      <c r="R52" s="51">
        <f>MIN(VLOOKUP($N52,'Mass Equivalents - States, Opt2'!$A$8:$AF$56,32,0)*VLOOKUP($N52,'Mass Equivalents - States, Opt2'!$A$8:$AF$56,31,0)*VLOOKUP($N52,'Mass Equivalents - States, Opt2'!$A$8:$AF$56,29,0),VLOOKUP($N52,'Mass Equivalents - States, Opt2'!$A$8:$AF$56,32,0)*VLOOKUP($N52,'Mass Equivalents - States, Opt2'!$A$8:$AF$56,29,0))</f>
        <v>633834.87171882938</v>
      </c>
      <c r="S52" s="48">
        <f>MIN(VLOOKUP($N52,'Mass Equivalents - States, Opt2'!$A$8:$AF$56,32,0)*VLOOKUP($N52,'Mass Equivalents - States, Opt2'!$A$8:$AF$56,31,0)*VLOOKUP($N52,'Mass Equivalents - States, Opt2'!$A$8:$AF$56,30,0),VLOOKUP($N52,'Mass Equivalents - States, Opt2'!$A$8:$AF$56,32,0)*VLOOKUP($N52,'Mass Equivalents - States, Opt2'!$A$8:$AF$56,30,0))</f>
        <v>765270.70301603805</v>
      </c>
    </row>
    <row r="53" spans="1:19" x14ac:dyDescent="0.25">
      <c r="A53" s="121" t="s">
        <v>186</v>
      </c>
      <c r="B53" s="125">
        <f>MIN(VLOOKUP($A53,'Mass Equivalents - AoIC, PR, GU'!$A$9:$AP$14,31,0)*VLOOKUP($A53,'Mass Equivalents - AoIC, PR, GU'!$A$9:$AP$14,42,0)*VLOOKUP($A53,'Mass Equivalents - AoIC, PR, GU'!$A$9:$AP$14,41,0),VLOOKUP($A53,'Mass Equivalents - AoIC, PR, GU'!$A$9:$AP$14,31,0)*VLOOKUP($A53,'Mass Equivalents - AoIC, PR, GU'!$A$9:$AP$14,42,0))</f>
        <v>225107.74726083758</v>
      </c>
      <c r="C53" s="125">
        <f>MIN(VLOOKUP($A53,'Mass Equivalents - AoIC, PR, GU'!$A$9:$AP$14,32,0)*VLOOKUP($A53,'Mass Equivalents - AoIC, PR, GU'!$A$9:$AP$14,42,0)*VLOOKUP($A53,'Mass Equivalents - AoIC, PR, GU'!$A$9:$AP$14,41,0),VLOOKUP($A53,'Mass Equivalents - AoIC, PR, GU'!$A$9:$AP$14,32,0)*VLOOKUP($A53,'Mass Equivalents - AoIC, PR, GU'!$A$9:$AP$14,42,0))</f>
        <v>367134.46945018123</v>
      </c>
      <c r="D53" s="125">
        <f>MIN(VLOOKUP($A53,'Mass Equivalents - AoIC, PR, GU'!$A$9:$AP$14,33,0)*VLOOKUP($A53,'Mass Equivalents - AoIC, PR, GU'!$A$9:$AP$14,42,0)*VLOOKUP($A53,'Mass Equivalents - AoIC, PR, GU'!$A$9:$AP$14,41,0),VLOOKUP($A53,'Mass Equivalents - AoIC, PR, GU'!$A$9:$AP$14,33,0)*VLOOKUP($A53,'Mass Equivalents - AoIC, PR, GU'!$A$9:$AP$14,42,0))</f>
        <v>538196.15394774592</v>
      </c>
      <c r="E53" s="125">
        <f>MIN(VLOOKUP($A53,'Mass Equivalents - AoIC, PR, GU'!$A$9:$AP$14,34,0)*VLOOKUP($A53,'Mass Equivalents - AoIC, PR, GU'!$A$9:$AP$14,42,0)*VLOOKUP($A53,'Mass Equivalents - AoIC, PR, GU'!$A$9:$AP$14,41,0),VLOOKUP($A53,'Mass Equivalents - AoIC, PR, GU'!$A$9:$AP$14,34,0)*VLOOKUP($A53,'Mass Equivalents - AoIC, PR, GU'!$A$9:$AP$14,42,0))</f>
        <v>735420.67658814997</v>
      </c>
      <c r="F53" s="125">
        <f>MIN(VLOOKUP($A53,'Mass Equivalents - AoIC, PR, GU'!$A$9:$AP$14,35,0)*VLOOKUP($A53,'Mass Equivalents - AoIC, PR, GU'!$A$9:$AP$14,42,0)*VLOOKUP($A53,'Mass Equivalents - AoIC, PR, GU'!$A$9:$AP$14,41,0),VLOOKUP($A53,'Mass Equivalents - AoIC, PR, GU'!$A$9:$AP$14,35,0)*VLOOKUP($A53,'Mass Equivalents - AoIC, PR, GU'!$A$9:$AP$14,42,0))</f>
        <v>955850.15140397567</v>
      </c>
      <c r="G53" s="125">
        <f>MIN(VLOOKUP($A53,'Mass Equivalents - AoIC, PR, GU'!$A$9:$AP$14,36,0)*VLOOKUP($A53,'Mass Equivalents - AoIC, PR, GU'!$A$9:$AP$14,42,0)*VLOOKUP($A53,'Mass Equivalents - AoIC, PR, GU'!$A$9:$AP$14,41,0),VLOOKUP($A53,'Mass Equivalents - AoIC, PR, GU'!$A$9:$AP$14,36,0)*VLOOKUP($A53,'Mass Equivalents - AoIC, PR, GU'!$A$9:$AP$14,42,0))</f>
        <v>1177914.7628097776</v>
      </c>
      <c r="H53" s="125">
        <f>MIN(VLOOKUP($A53,'Mass Equivalents - AoIC, PR, GU'!$A$9:$AP$14,37,0)*VLOOKUP($A53,'Mass Equivalents - AoIC, PR, GU'!$A$9:$AP$14,42,0)*VLOOKUP($A53,'Mass Equivalents - AoIC, PR, GU'!$A$9:$AP$14,41,0),VLOOKUP($A53,'Mass Equivalents - AoIC, PR, GU'!$A$9:$AP$14,37,0)*VLOOKUP($A53,'Mass Equivalents - AoIC, PR, GU'!$A$9:$AP$14,42,0))</f>
        <v>1381997.6921774433</v>
      </c>
      <c r="I53" s="125">
        <f>MIN(VLOOKUP($A53,'Mass Equivalents - AoIC, PR, GU'!$A$9:$AP$14,38,0)*VLOOKUP($A53,'Mass Equivalents - AoIC, PR, GU'!$A$9:$AP$14,42,0)*VLOOKUP($A53,'Mass Equivalents - AoIC, PR, GU'!$A$9:$AP$14,41,0),VLOOKUP($A53,'Mass Equivalents - AoIC, PR, GU'!$A$9:$AP$14,38,0)*VLOOKUP($A53,'Mass Equivalents - AoIC, PR, GU'!$A$9:$AP$14,42,0))</f>
        <v>1568543.9789044438</v>
      </c>
      <c r="J53" s="125">
        <f>MIN(VLOOKUP($A53,'Mass Equivalents - AoIC, PR, GU'!$A$9:$AP$14,39,0)*VLOOKUP($A53,'Mass Equivalents - AoIC, PR, GU'!$A$9:$AP$14,42,0)*VLOOKUP($A53,'Mass Equivalents - AoIC, PR, GU'!$A$9:$AP$14,41,0),VLOOKUP($A53,'Mass Equivalents - AoIC, PR, GU'!$A$9:$AP$14,39,0)*VLOOKUP($A53,'Mass Equivalents - AoIC, PR, GU'!$A$9:$AP$14,42,0))</f>
        <v>1737977.7907325213</v>
      </c>
      <c r="K53" s="129">
        <f>MIN(VLOOKUP($A53,'Mass Equivalents - AoIC, PR, GU'!$A$9:$AP$14,40,0)*VLOOKUP($A53,'Mass Equivalents - AoIC, PR, GU'!$A$9:$AP$14,42,0)*VLOOKUP($A53,'Mass Equivalents - AoIC, PR, GU'!$A$9:$AP$14,41,0),VLOOKUP($A53,'Mass Equivalents - AoIC, PR, GU'!$A$9:$AP$14,40,0)*VLOOKUP($A53,'Mass Equivalents - AoIC, PR, GU'!$A$9:$AP$14,42,0))</f>
        <v>1890703.088169418</v>
      </c>
      <c r="N53" s="121" t="s">
        <v>186</v>
      </c>
      <c r="O53" s="125">
        <f>MIN(VLOOKUP($N53,'Mass Equivalents - AoIC, PR, GU'!$A$32:$AF$37,26,0)*VLOOKUP($N53,'Mass Equivalents - AoIC, PR, GU'!$A$32:$AF$37,32,0)*VLOOKUP($N53,'Mass Equivalents - AoIC, PR, GU'!$A$32:$AF$37,31,0),VLOOKUP($N53,'Mass Equivalents - AoIC, PR, GU'!$A$32:$AF$37,26,0)*VLOOKUP($N53,'Mass Equivalents - AoIC, PR, GU'!$A$32:$AF$37,32,0))</f>
        <v>168987.63748962444</v>
      </c>
      <c r="P53" s="125">
        <f>MIN(VLOOKUP($N53,'Mass Equivalents - AoIC, PR, GU'!$A$32:$AF$37,27,0)*VLOOKUP($N53,'Mass Equivalents - AoIC, PR, GU'!$A$32:$AF$37,32,0)*VLOOKUP($N53,'Mass Equivalents - AoIC, PR, GU'!$A$32:$AF$37,31,0),VLOOKUP($N53,'Mass Equivalents - AoIC, PR, GU'!$A$32:$AF$37,27,0)*VLOOKUP($N53,'Mass Equivalents - AoIC, PR, GU'!$A$32:$AF$37,32,0))</f>
        <v>275836.06465462066</v>
      </c>
      <c r="Q53" s="125">
        <f>MIN(VLOOKUP($N53,'Mass Equivalents - AoIC, PR, GU'!$A$32:$AF$37,28,0)*VLOOKUP($N53,'Mass Equivalents - AoIC, PR, GU'!$A$32:$AF$37,32,0)*VLOOKUP($N53,'Mass Equivalents - AoIC, PR, GU'!$A$32:$AF$37,31,0),VLOOKUP($N53,'Mass Equivalents - AoIC, PR, GU'!$A$32:$AF$37,28,0)*VLOOKUP($N53,'Mass Equivalents - AoIC, PR, GU'!$A$32:$AF$37,32,0))</f>
        <v>404791.00878819433</v>
      </c>
      <c r="R53" s="125">
        <f>MIN(VLOOKUP($N53,'Mass Equivalents - AoIC, PR, GU'!$A$32:$AF$37,29,0)*VLOOKUP($N53,'Mass Equivalents - AoIC, PR, GU'!$A$32:$AF$37,32,0)*VLOOKUP($N53,'Mass Equivalents - AoIC, PR, GU'!$A$32:$AF$37,31,0),VLOOKUP($N53,'Mass Equivalents - AoIC, PR, GU'!$A$32:$AF$37,29,0)*VLOOKUP($N53,'Mass Equivalents - AoIC, PR, GU'!$A$32:$AF$37,32,0))</f>
        <v>553847.95095536858</v>
      </c>
      <c r="S53" s="129">
        <f>MIN(VLOOKUP($N53,'Mass Equivalents - AoIC, PR, GU'!$A$32:$AF$37,30,0)*VLOOKUP($N53,'Mass Equivalents - AoIC, PR, GU'!$A$32:$AF$37,32,0)*VLOOKUP($N53,'Mass Equivalents - AoIC, PR, GU'!$A$32:$AF$37,31,0),VLOOKUP($N53,'Mass Equivalents - AoIC, PR, GU'!$A$32:$AF$37,30,0)*VLOOKUP($N53,'Mass Equivalents - AoIC, PR, GU'!$A$32:$AF$37,32,0))</f>
        <v>711471.49673992989</v>
      </c>
    </row>
    <row r="54" spans="1:19" ht="15.75" thickBot="1" x14ac:dyDescent="0.3">
      <c r="A54" s="61" t="s">
        <v>187</v>
      </c>
      <c r="B54" s="51">
        <f>MIN(VLOOKUP($A54,'Mass Equivalents - AoIC, PR, GU'!$A$9:$AP$14,31,0)*VLOOKUP($A54,'Mass Equivalents - AoIC, PR, GU'!$A$9:$AP$14,42,0)*VLOOKUP($A54,'Mass Equivalents - AoIC, PR, GU'!$A$9:$AP$14,41,0),VLOOKUP($A54,'Mass Equivalents - AoIC, PR, GU'!$A$9:$AP$14,31,0)*VLOOKUP($A54,'Mass Equivalents - AoIC, PR, GU'!$A$9:$AP$14,42,0))</f>
        <v>19390.850477574681</v>
      </c>
      <c r="C54" s="51">
        <f>MIN(VLOOKUP($A54,'Mass Equivalents - AoIC, PR, GU'!$A$9:$AP$14,32,0)*VLOOKUP($A54,'Mass Equivalents - AoIC, PR, GU'!$A$9:$AP$14,42,0)*VLOOKUP($A54,'Mass Equivalents - AoIC, PR, GU'!$A$9:$AP$14,41,0),VLOOKUP($A54,'Mass Equivalents - AoIC, PR, GU'!$A$9:$AP$14,32,0)*VLOOKUP($A54,'Mass Equivalents - AoIC, PR, GU'!$A$9:$AP$14,42,0))</f>
        <v>31625.075942069489</v>
      </c>
      <c r="D54" s="51">
        <f>MIN(VLOOKUP($A54,'Mass Equivalents - AoIC, PR, GU'!$A$9:$AP$14,33,0)*VLOOKUP($A54,'Mass Equivalents - AoIC, PR, GU'!$A$9:$AP$14,42,0)*VLOOKUP($A54,'Mass Equivalents - AoIC, PR, GU'!$A$9:$AP$14,41,0),VLOOKUP($A54,'Mass Equivalents - AoIC, PR, GU'!$A$9:$AP$14,33,0)*VLOOKUP($A54,'Mass Equivalents - AoIC, PR, GU'!$A$9:$AP$14,42,0))</f>
        <v>46360.381976165278</v>
      </c>
      <c r="E54" s="51">
        <f>MIN(VLOOKUP($A54,'Mass Equivalents - AoIC, PR, GU'!$A$9:$AP$14,34,0)*VLOOKUP($A54,'Mass Equivalents - AoIC, PR, GU'!$A$9:$AP$14,42,0)*VLOOKUP($A54,'Mass Equivalents - AoIC, PR, GU'!$A$9:$AP$14,41,0),VLOOKUP($A54,'Mass Equivalents - AoIC, PR, GU'!$A$9:$AP$14,34,0)*VLOOKUP($A54,'Mass Equivalents - AoIC, PR, GU'!$A$9:$AP$14,42,0))</f>
        <v>63349.36292225308</v>
      </c>
      <c r="F54" s="51">
        <f>MIN(VLOOKUP($A54,'Mass Equivalents - AoIC, PR, GU'!$A$9:$AP$14,35,0)*VLOOKUP($A54,'Mass Equivalents - AoIC, PR, GU'!$A$9:$AP$14,42,0)*VLOOKUP($A54,'Mass Equivalents - AoIC, PR, GU'!$A$9:$AP$14,41,0),VLOOKUP($A54,'Mass Equivalents - AoIC, PR, GU'!$A$9:$AP$14,35,0)*VLOOKUP($A54,'Mass Equivalents - AoIC, PR, GU'!$A$9:$AP$14,42,0))</f>
        <v>82337.225574759854</v>
      </c>
      <c r="G54" s="51">
        <f>MIN(VLOOKUP($A54,'Mass Equivalents - AoIC, PR, GU'!$A$9:$AP$14,36,0)*VLOOKUP($A54,'Mass Equivalents - AoIC, PR, GU'!$A$9:$AP$14,42,0)*VLOOKUP($A54,'Mass Equivalents - AoIC, PR, GU'!$A$9:$AP$14,41,0),VLOOKUP($A54,'Mass Equivalents - AoIC, PR, GU'!$A$9:$AP$14,36,0)*VLOOKUP($A54,'Mass Equivalents - AoIC, PR, GU'!$A$9:$AP$14,42,0))</f>
        <v>101465.93939526263</v>
      </c>
      <c r="H54" s="51">
        <f>MIN(VLOOKUP($A54,'Mass Equivalents - AoIC, PR, GU'!$A$9:$AP$14,37,0)*VLOOKUP($A54,'Mass Equivalents - AoIC, PR, GU'!$A$9:$AP$14,42,0)*VLOOKUP($A54,'Mass Equivalents - AoIC, PR, GU'!$A$9:$AP$14,41,0),VLOOKUP($A54,'Mass Equivalents - AoIC, PR, GU'!$A$9:$AP$14,37,0)*VLOOKUP($A54,'Mass Equivalents - AoIC, PR, GU'!$A$9:$AP$14,42,0))</f>
        <v>119045.70560299057</v>
      </c>
      <c r="I54" s="51">
        <f>MIN(VLOOKUP($A54,'Mass Equivalents - AoIC, PR, GU'!$A$9:$AP$14,38,0)*VLOOKUP($A54,'Mass Equivalents - AoIC, PR, GU'!$A$9:$AP$14,42,0)*VLOOKUP($A54,'Mass Equivalents - AoIC, PR, GU'!$A$9:$AP$14,41,0),VLOOKUP($A54,'Mass Equivalents - AoIC, PR, GU'!$A$9:$AP$14,38,0)*VLOOKUP($A54,'Mass Equivalents - AoIC, PR, GU'!$A$9:$AP$14,42,0))</f>
        <v>135114.86002830937</v>
      </c>
      <c r="J54" s="51">
        <f>MIN(VLOOKUP($A54,'Mass Equivalents - AoIC, PR, GU'!$A$9:$AP$14,39,0)*VLOOKUP($A54,'Mass Equivalents - AoIC, PR, GU'!$A$9:$AP$14,42,0)*VLOOKUP($A54,'Mass Equivalents - AoIC, PR, GU'!$A$9:$AP$14,41,0),VLOOKUP($A54,'Mass Equivalents - AoIC, PR, GU'!$A$9:$AP$14,39,0)*VLOOKUP($A54,'Mass Equivalents - AoIC, PR, GU'!$A$9:$AP$14,42,0))</f>
        <v>149709.94061075075</v>
      </c>
      <c r="K54" s="48">
        <f>MIN(VLOOKUP($A54,'Mass Equivalents - AoIC, PR, GU'!$A$9:$AP$14,40,0)*VLOOKUP($A54,'Mass Equivalents - AoIC, PR, GU'!$A$9:$AP$14,42,0)*VLOOKUP($A54,'Mass Equivalents - AoIC, PR, GU'!$A$9:$AP$14,41,0),VLOOKUP($A54,'Mass Equivalents - AoIC, PR, GU'!$A$9:$AP$14,40,0)*VLOOKUP($A54,'Mass Equivalents - AoIC, PR, GU'!$A$9:$AP$14,42,0))</f>
        <v>162865.74463250421</v>
      </c>
      <c r="N54" s="61" t="s">
        <v>187</v>
      </c>
      <c r="O54" s="51">
        <f>MIN(VLOOKUP($N54,'Mass Equivalents - AoIC, PR, GU'!$A$32:$AF$37,26,0)*VLOOKUP($N54,'Mass Equivalents - AoIC, PR, GU'!$A$32:$AF$37,32,0)*VLOOKUP($N54,'Mass Equivalents - AoIC, PR, GU'!$A$32:$AF$37,31,0),VLOOKUP($N54,'Mass Equivalents - AoIC, PR, GU'!$A$32:$AF$37,26,0)*VLOOKUP($N54,'Mass Equivalents - AoIC, PR, GU'!$A$32:$AF$37,32,0))</f>
        <v>14556.646987910997</v>
      </c>
      <c r="P54" s="51">
        <f>MIN(VLOOKUP($N54,'Mass Equivalents - AoIC, PR, GU'!$A$32:$AF$37,27,0)*VLOOKUP($N54,'Mass Equivalents - AoIC, PR, GU'!$A$32:$AF$37,32,0)*VLOOKUP($N54,'Mass Equivalents - AoIC, PR, GU'!$A$32:$AF$37,31,0),VLOOKUP($N54,'Mass Equivalents - AoIC, PR, GU'!$A$32:$AF$37,27,0)*VLOOKUP($N54,'Mass Equivalents - AoIC, PR, GU'!$A$32:$AF$37,32,0))</f>
        <v>23760.603316076518</v>
      </c>
      <c r="Q54" s="51">
        <f>MIN(VLOOKUP($N54,'Mass Equivalents - AoIC, PR, GU'!$A$32:$AF$37,28,0)*VLOOKUP($N54,'Mass Equivalents - AoIC, PR, GU'!$A$32:$AF$37,32,0)*VLOOKUP($N54,'Mass Equivalents - AoIC, PR, GU'!$A$32:$AF$37,31,0),VLOOKUP($N54,'Mass Equivalents - AoIC, PR, GU'!$A$32:$AF$37,28,0)*VLOOKUP($N54,'Mass Equivalents - AoIC, PR, GU'!$A$32:$AF$37,32,0))</f>
        <v>34868.821804624058</v>
      </c>
      <c r="R54" s="51">
        <f>MIN(VLOOKUP($N54,'Mass Equivalents - AoIC, PR, GU'!$A$32:$AF$37,29,0)*VLOOKUP($N54,'Mass Equivalents - AoIC, PR, GU'!$A$32:$AF$37,32,0)*VLOOKUP($N54,'Mass Equivalents - AoIC, PR, GU'!$A$32:$AF$37,31,0),VLOOKUP($N54,'Mass Equivalents - AoIC, PR, GU'!$A$32:$AF$37,29,0)*VLOOKUP($N54,'Mass Equivalents - AoIC, PR, GU'!$A$32:$AF$37,32,0))</f>
        <v>47708.632576925316</v>
      </c>
      <c r="S54" s="48">
        <f>MIN(VLOOKUP($N54,'Mass Equivalents - AoIC, PR, GU'!$A$32:$AF$37,30,0)*VLOOKUP($N54,'Mass Equivalents - AoIC, PR, GU'!$A$32:$AF$37,32,0)*VLOOKUP($N54,'Mass Equivalents - AoIC, PR, GU'!$A$32:$AF$37,31,0),VLOOKUP($N54,'Mass Equivalents - AoIC, PR, GU'!$A$32:$AF$37,30,0)*VLOOKUP($N54,'Mass Equivalents - AoIC, PR, GU'!$A$32:$AF$37,32,0))</f>
        <v>61286.373215553765</v>
      </c>
    </row>
    <row r="55" spans="1:19" x14ac:dyDescent="0.25">
      <c r="A55" s="123" t="s">
        <v>188</v>
      </c>
      <c r="B55" s="125">
        <f>MIN(VLOOKUP($A55,'Mass Equivalents - AoIC, PR, GU'!$A$9:$AP$14,31,0)*VLOOKUP($A55,'Mass Equivalents - AoIC, PR, GU'!$A$9:$AP$14,42,0)*VLOOKUP($A55,'Mass Equivalents - AoIC, PR, GU'!$A$9:$AP$14,41,0),VLOOKUP($A55,'Mass Equivalents - AoIC, PR, GU'!$A$9:$AP$14,31,0)*VLOOKUP($A55,'Mass Equivalents - AoIC, PR, GU'!$A$9:$AP$14,42,0))</f>
        <v>8209.2264658419626</v>
      </c>
      <c r="C55" s="125">
        <f>MIN(VLOOKUP($A55,'Mass Equivalents - AoIC, PR, GU'!$A$9:$AP$14,32,0)*VLOOKUP($A55,'Mass Equivalents - AoIC, PR, GU'!$A$9:$AP$14,42,0)*VLOOKUP($A55,'Mass Equivalents - AoIC, PR, GU'!$A$9:$AP$14,41,0),VLOOKUP($A55,'Mass Equivalents - AoIC, PR, GU'!$A$9:$AP$14,32,0)*VLOOKUP($A55,'Mass Equivalents - AoIC, PR, GU'!$A$9:$AP$14,42,0))</f>
        <v>13336.480532847008</v>
      </c>
      <c r="D55" s="125">
        <f>MIN(VLOOKUP($A55,'Mass Equivalents - AoIC, PR, GU'!$A$9:$AP$14,33,0)*VLOOKUP($A55,'Mass Equivalents - AoIC, PR, GU'!$A$9:$AP$14,42,0)*VLOOKUP($A55,'Mass Equivalents - AoIC, PR, GU'!$A$9:$AP$14,41,0),VLOOKUP($A55,'Mass Equivalents - AoIC, PR, GU'!$A$9:$AP$14,33,0)*VLOOKUP($A55,'Mass Equivalents - AoIC, PR, GU'!$A$9:$AP$14,42,0))</f>
        <v>19476.727581601306</v>
      </c>
      <c r="E55" s="125">
        <f>MIN(VLOOKUP($A55,'Mass Equivalents - AoIC, PR, GU'!$A$9:$AP$14,34,0)*VLOOKUP($A55,'Mass Equivalents - AoIC, PR, GU'!$A$9:$AP$14,42,0)*VLOOKUP($A55,'Mass Equivalents - AoIC, PR, GU'!$A$9:$AP$14,41,0),VLOOKUP($A55,'Mass Equivalents - AoIC, PR, GU'!$A$9:$AP$14,34,0)*VLOOKUP($A55,'Mass Equivalents - AoIC, PR, GU'!$A$9:$AP$14,42,0))</f>
        <v>26517.339339415321</v>
      </c>
      <c r="F55" s="125">
        <f>MIN(VLOOKUP($A55,'Mass Equivalents - AoIC, PR, GU'!$A$9:$AP$14,35,0)*VLOOKUP($A55,'Mass Equivalents - AoIC, PR, GU'!$A$9:$AP$14,42,0)*VLOOKUP($A55,'Mass Equivalents - AoIC, PR, GU'!$A$9:$AP$14,41,0),VLOOKUP($A55,'Mass Equivalents - AoIC, PR, GU'!$A$9:$AP$14,35,0)*VLOOKUP($A55,'Mass Equivalents - AoIC, PR, GU'!$A$9:$AP$14,42,0))</f>
        <v>34345.233506037548</v>
      </c>
      <c r="G55" s="125">
        <f>MIN(VLOOKUP($A55,'Mass Equivalents - AoIC, PR, GU'!$A$9:$AP$14,36,0)*VLOOKUP($A55,'Mass Equivalents - AoIC, PR, GU'!$A$9:$AP$14,42,0)*VLOOKUP($A55,'Mass Equivalents - AoIC, PR, GU'!$A$9:$AP$14,41,0),VLOOKUP($A55,'Mass Equivalents - AoIC, PR, GU'!$A$9:$AP$14,36,0)*VLOOKUP($A55,'Mass Equivalents - AoIC, PR, GU'!$A$9:$AP$14,42,0))</f>
        <v>42164.439139994436</v>
      </c>
      <c r="H55" s="125">
        <f>MIN(VLOOKUP($A55,'Mass Equivalents - AoIC, PR, GU'!$A$9:$AP$14,37,0)*VLOOKUP($A55,'Mass Equivalents - AoIC, PR, GU'!$A$9:$AP$14,42,0)*VLOOKUP($A55,'Mass Equivalents - AoIC, PR, GU'!$A$9:$AP$14,41,0),VLOOKUP($A55,'Mass Equivalents - AoIC, PR, GU'!$A$9:$AP$14,37,0)*VLOOKUP($A55,'Mass Equivalents - AoIC, PR, GU'!$A$9:$AP$14,42,0))</f>
        <v>49260.256423175138</v>
      </c>
      <c r="I55" s="125">
        <f>MIN(VLOOKUP($A55,'Mass Equivalents - AoIC, PR, GU'!$A$9:$AP$14,38,0)*VLOOKUP($A55,'Mass Equivalents - AoIC, PR, GU'!$A$9:$AP$14,42,0)*VLOOKUP($A55,'Mass Equivalents - AoIC, PR, GU'!$A$9:$AP$14,41,0),VLOOKUP($A55,'Mass Equivalents - AoIC, PR, GU'!$A$9:$AP$14,38,0)*VLOOKUP($A55,'Mass Equivalents - AoIC, PR, GU'!$A$9:$AP$14,42,0))</f>
        <v>55665.231314362696</v>
      </c>
      <c r="J55" s="125">
        <f>MIN(VLOOKUP($A55,'Mass Equivalents - AoIC, PR, GU'!$A$9:$AP$14,39,0)*VLOOKUP($A55,'Mass Equivalents - AoIC, PR, GU'!$A$9:$AP$14,42,0)*VLOOKUP($A55,'Mass Equivalents - AoIC, PR, GU'!$A$9:$AP$14,41,0),VLOOKUP($A55,'Mass Equivalents - AoIC, PR, GU'!$A$9:$AP$14,39,0)*VLOOKUP($A55,'Mass Equivalents - AoIC, PR, GU'!$A$9:$AP$14,42,0))</f>
        <v>61410.29178523476</v>
      </c>
      <c r="K55" s="129">
        <f>MIN(VLOOKUP($A55,'Mass Equivalents - AoIC, PR, GU'!$A$9:$AP$14,40,0)*VLOOKUP($A55,'Mass Equivalents - AoIC, PR, GU'!$A$9:$AP$14,42,0)*VLOOKUP($A55,'Mass Equivalents - AoIC, PR, GU'!$A$9:$AP$14,41,0),VLOOKUP($A55,'Mass Equivalents - AoIC, PR, GU'!$A$9:$AP$14,40,0)*VLOOKUP($A55,'Mass Equivalents - AoIC, PR, GU'!$A$9:$AP$14,42,0))</f>
        <v>66524.826843582399</v>
      </c>
      <c r="N55" s="49" t="s">
        <v>188</v>
      </c>
      <c r="O55" s="50">
        <f>MIN(VLOOKUP($N55,'Mass Equivalents - AoIC, PR, GU'!$A$32:$AF$37,26,0)*VLOOKUP($N55,'Mass Equivalents - AoIC, PR, GU'!$A$32:$AF$37,32,0)*VLOOKUP($N55,'Mass Equivalents - AoIC, PR, GU'!$A$32:$AF$37,31,0),VLOOKUP($N55,'Mass Equivalents - AoIC, PR, GU'!$A$32:$AF$37,26,0)*VLOOKUP($N55,'Mass Equivalents - AoIC, PR, GU'!$A$32:$AF$37,32,0))</f>
        <v>6162.5794886991862</v>
      </c>
      <c r="P55" s="50">
        <f>MIN(VLOOKUP($N55,'Mass Equivalents - AoIC, PR, GU'!$A$32:$AF$37,27,0)*VLOOKUP($N55,'Mass Equivalents - AoIC, PR, GU'!$A$32:$AF$37,32,0)*VLOOKUP($N55,'Mass Equivalents - AoIC, PR, GU'!$A$32:$AF$37,31,0),VLOOKUP($N55,'Mass Equivalents - AoIC, PR, GU'!$A$32:$AF$37,27,0)*VLOOKUP($N55,'Mass Equivalents - AoIC, PR, GU'!$A$32:$AF$37,32,0))</f>
        <v>10019.772371460349</v>
      </c>
      <c r="Q55" s="50">
        <f>MIN(VLOOKUP($N55,'Mass Equivalents - AoIC, PR, GU'!$A$32:$AF$37,28,0)*VLOOKUP($N55,'Mass Equivalents - AoIC, PR, GU'!$A$32:$AF$37,32,0)*VLOOKUP($N55,'Mass Equivalents - AoIC, PR, GU'!$A$32:$AF$37,31,0),VLOOKUP($N55,'Mass Equivalents - AoIC, PR, GU'!$A$32:$AF$37,28,0)*VLOOKUP($N55,'Mass Equivalents - AoIC, PR, GU'!$A$32:$AF$37,32,0))</f>
        <v>14648.366417160039</v>
      </c>
      <c r="R55" s="50">
        <f>MIN(VLOOKUP($N55,'Mass Equivalents - AoIC, PR, GU'!$A$32:$AF$37,29,0)*VLOOKUP($N55,'Mass Equivalents - AoIC, PR, GU'!$A$32:$AF$37,32,0)*VLOOKUP($N55,'Mass Equivalents - AoIC, PR, GU'!$A$32:$AF$37,31,0),VLOOKUP($N55,'Mass Equivalents - AoIC, PR, GU'!$A$32:$AF$37,29,0)*VLOOKUP($N55,'Mass Equivalents - AoIC, PR, GU'!$A$32:$AF$37,32,0))</f>
        <v>19969.010200456607</v>
      </c>
      <c r="S55" s="46">
        <f>MIN(VLOOKUP($N55,'Mass Equivalents - AoIC, PR, GU'!$A$32:$AF$37,30,0)*VLOOKUP($N55,'Mass Equivalents - AoIC, PR, GU'!$A$32:$AF$37,32,0)*VLOOKUP($N55,'Mass Equivalents - AoIC, PR, GU'!$A$32:$AF$37,31,0),VLOOKUP($N55,'Mass Equivalents - AoIC, PR, GU'!$A$32:$AF$37,30,0)*VLOOKUP($N55,'Mass Equivalents - AoIC, PR, GU'!$A$32:$AF$37,32,0))</f>
        <v>25553.512178387638</v>
      </c>
    </row>
    <row r="56" spans="1:19" x14ac:dyDescent="0.25">
      <c r="A56" s="49" t="s">
        <v>189</v>
      </c>
      <c r="B56" s="50">
        <f>MIN(VLOOKUP($A56,'Mass Equivalents - AoIC, PR, GU'!$A$9:$AP$14,31,0)*VLOOKUP($A56,'Mass Equivalents - AoIC, PR, GU'!$A$9:$AP$14,42,0)*VLOOKUP($A56,'Mass Equivalents - AoIC, PR, GU'!$A$9:$AP$14,41,0),VLOOKUP($A56,'Mass Equivalents - AoIC, PR, GU'!$A$9:$AP$14,31,0)*VLOOKUP($A56,'Mass Equivalents - AoIC, PR, GU'!$A$9:$AP$14,42,0))</f>
        <v>5336.9799770519085</v>
      </c>
      <c r="C56" s="50">
        <f>MIN(VLOOKUP($A56,'Mass Equivalents - AoIC, PR, GU'!$A$9:$AP$14,32,0)*VLOOKUP($A56,'Mass Equivalents - AoIC, PR, GU'!$A$9:$AP$14,42,0)*VLOOKUP($A56,'Mass Equivalents - AoIC, PR, GU'!$A$9:$AP$14,41,0),VLOOKUP($A56,'Mass Equivalents - AoIC, PR, GU'!$A$9:$AP$14,32,0)*VLOOKUP($A56,'Mass Equivalents - AoIC, PR, GU'!$A$9:$AP$14,42,0))</f>
        <v>8678.746727370748</v>
      </c>
      <c r="D56" s="50">
        <f>MIN(VLOOKUP($A56,'Mass Equivalents - AoIC, PR, GU'!$A$9:$AP$14,33,0)*VLOOKUP($A56,'Mass Equivalents - AoIC, PR, GU'!$A$9:$AP$14,42,0)*VLOOKUP($A56,'Mass Equivalents - AoIC, PR, GU'!$A$9:$AP$14,41,0),VLOOKUP($A56,'Mass Equivalents - AoIC, PR, GU'!$A$9:$AP$14,33,0)*VLOOKUP($A56,'Mass Equivalents - AoIC, PR, GU'!$A$9:$AP$14,42,0))</f>
        <v>12686.440049766434</v>
      </c>
      <c r="E56" s="50">
        <f>MIN(VLOOKUP($A56,'Mass Equivalents - AoIC, PR, GU'!$A$9:$AP$14,34,0)*VLOOKUP($A56,'Mass Equivalents - AoIC, PR, GU'!$A$9:$AP$14,42,0)*VLOOKUP($A56,'Mass Equivalents - AoIC, PR, GU'!$A$9:$AP$14,41,0),VLOOKUP($A56,'Mass Equivalents - AoIC, PR, GU'!$A$9:$AP$14,34,0)*VLOOKUP($A56,'Mass Equivalents - AoIC, PR, GU'!$A$9:$AP$14,42,0))</f>
        <v>17288.059402291787</v>
      </c>
      <c r="F56" s="50">
        <f>MIN(VLOOKUP($A56,'Mass Equivalents - AoIC, PR, GU'!$A$9:$AP$14,35,0)*VLOOKUP($A56,'Mass Equivalents - AoIC, PR, GU'!$A$9:$AP$14,42,0)*VLOOKUP($A56,'Mass Equivalents - AoIC, PR, GU'!$A$9:$AP$14,41,0),VLOOKUP($A56,'Mass Equivalents - AoIC, PR, GU'!$A$9:$AP$14,35,0)*VLOOKUP($A56,'Mass Equivalents - AoIC, PR, GU'!$A$9:$AP$14,42,0))</f>
        <v>22410.871243154281</v>
      </c>
      <c r="G56" s="50">
        <f>MIN(VLOOKUP($A56,'Mass Equivalents - AoIC, PR, GU'!$A$9:$AP$14,36,0)*VLOOKUP($A56,'Mass Equivalents - AoIC, PR, GU'!$A$9:$AP$14,42,0)*VLOOKUP($A56,'Mass Equivalents - AoIC, PR, GU'!$A$9:$AP$14,41,0),VLOOKUP($A56,'Mass Equivalents - AoIC, PR, GU'!$A$9:$AP$14,36,0)*VLOOKUP($A56,'Mass Equivalents - AoIC, PR, GU'!$A$9:$AP$14,42,0))</f>
        <v>27538.859648573267</v>
      </c>
      <c r="H56" s="50">
        <f>MIN(VLOOKUP($A56,'Mass Equivalents - AoIC, PR, GU'!$A$9:$AP$14,37,0)*VLOOKUP($A56,'Mass Equivalents - AoIC, PR, GU'!$A$9:$AP$14,42,0)*VLOOKUP($A56,'Mass Equivalents - AoIC, PR, GU'!$A$9:$AP$14,41,0),VLOOKUP($A56,'Mass Equivalents - AoIC, PR, GU'!$A$9:$AP$14,37,0)*VLOOKUP($A56,'Mass Equivalents - AoIC, PR, GU'!$A$9:$AP$14,42,0))</f>
        <v>32207.207838137612</v>
      </c>
      <c r="I56" s="50">
        <f>MIN(VLOOKUP($A56,'Mass Equivalents - AoIC, PR, GU'!$A$9:$AP$14,38,0)*VLOOKUP($A56,'Mass Equivalents - AoIC, PR, GU'!$A$9:$AP$14,42,0)*VLOOKUP($A56,'Mass Equivalents - AoIC, PR, GU'!$A$9:$AP$14,41,0),VLOOKUP($A56,'Mass Equivalents - AoIC, PR, GU'!$A$9:$AP$14,38,0)*VLOOKUP($A56,'Mass Equivalents - AoIC, PR, GU'!$A$9:$AP$14,42,0))</f>
        <v>36434.371091159184</v>
      </c>
      <c r="J56" s="50">
        <f>MIN(VLOOKUP($A56,'Mass Equivalents - AoIC, PR, GU'!$A$9:$AP$14,39,0)*VLOOKUP($A56,'Mass Equivalents - AoIC, PR, GU'!$A$9:$AP$14,42,0)*VLOOKUP($A56,'Mass Equivalents - AoIC, PR, GU'!$A$9:$AP$14,41,0),VLOOKUP($A56,'Mass Equivalents - AoIC, PR, GU'!$A$9:$AP$14,39,0)*VLOOKUP($A56,'Mass Equivalents - AoIC, PR, GU'!$A$9:$AP$14,42,0))</f>
        <v>40237.927183421874</v>
      </c>
      <c r="K56" s="46">
        <f>MIN(VLOOKUP($A56,'Mass Equivalents - AoIC, PR, GU'!$A$9:$AP$14,40,0)*VLOOKUP($A56,'Mass Equivalents - AoIC, PR, GU'!$A$9:$AP$14,42,0)*VLOOKUP($A56,'Mass Equivalents - AoIC, PR, GU'!$A$9:$AP$14,41,0),VLOOKUP($A56,'Mass Equivalents - AoIC, PR, GU'!$A$9:$AP$14,40,0)*VLOOKUP($A56,'Mass Equivalents - AoIC, PR, GU'!$A$9:$AP$14,42,0))</f>
        <v>43634.616281661991</v>
      </c>
      <c r="N56" s="49" t="s">
        <v>189</v>
      </c>
      <c r="O56" s="50">
        <f>MIN(VLOOKUP($N56,'Mass Equivalents - AoIC, PR, GU'!$A$32:$AF$37,26,0)*VLOOKUP($N56,'Mass Equivalents - AoIC, PR, GU'!$A$32:$AF$37,32,0)*VLOOKUP($N56,'Mass Equivalents - AoIC, PR, GU'!$A$32:$AF$37,31,0),VLOOKUP($N56,'Mass Equivalents - AoIC, PR, GU'!$A$32:$AF$37,26,0)*VLOOKUP($N56,'Mass Equivalents - AoIC, PR, GU'!$A$32:$AF$37,32,0))</f>
        <v>4006.4241109610894</v>
      </c>
      <c r="P56" s="50">
        <f>MIN(VLOOKUP($N56,'Mass Equivalents - AoIC, PR, GU'!$A$32:$AF$37,27,0)*VLOOKUP($N56,'Mass Equivalents - AoIC, PR, GU'!$A$32:$AF$37,32,0)*VLOOKUP($N56,'Mass Equivalents - AoIC, PR, GU'!$A$32:$AF$37,31,0),VLOOKUP($N56,'Mass Equivalents - AoIC, PR, GU'!$A$32:$AF$37,27,0)*VLOOKUP($N56,'Mass Equivalents - AoIC, PR, GU'!$A$32:$AF$37,32,0))</f>
        <v>6520.425729219699</v>
      </c>
      <c r="Q56" s="50">
        <f>MIN(VLOOKUP($N56,'Mass Equivalents - AoIC, PR, GU'!$A$32:$AF$37,28,0)*VLOOKUP($N56,'Mass Equivalents - AoIC, PR, GU'!$A$32:$AF$37,32,0)*VLOOKUP($N56,'Mass Equivalents - AoIC, PR, GU'!$A$32:$AF$37,31,0),VLOOKUP($N56,'Mass Equivalents - AoIC, PR, GU'!$A$32:$AF$37,28,0)*VLOOKUP($N56,'Mass Equivalents - AoIC, PR, GU'!$A$32:$AF$37,32,0))</f>
        <v>9541.5129070254206</v>
      </c>
      <c r="R56" s="50">
        <f>MIN(VLOOKUP($N56,'Mass Equivalents - AoIC, PR, GU'!$A$32:$AF$37,29,0)*VLOOKUP($N56,'Mass Equivalents - AoIC, PR, GU'!$A$32:$AF$37,32,0)*VLOOKUP($N56,'Mass Equivalents - AoIC, PR, GU'!$A$32:$AF$37,31,0),VLOOKUP($N56,'Mass Equivalents - AoIC, PR, GU'!$A$32:$AF$37,29,0)*VLOOKUP($N56,'Mass Equivalents - AoIC, PR, GU'!$A$32:$AF$37,32,0))</f>
        <v>13019.067096257422</v>
      </c>
      <c r="S56" s="46">
        <f>MIN(VLOOKUP($N56,'Mass Equivalents - AoIC, PR, GU'!$A$32:$AF$37,30,0)*VLOOKUP($N56,'Mass Equivalents - AoIC, PR, GU'!$A$32:$AF$37,32,0)*VLOOKUP($N56,'Mass Equivalents - AoIC, PR, GU'!$A$32:$AF$37,31,0),VLOOKUP($N56,'Mass Equivalents - AoIC, PR, GU'!$A$32:$AF$37,30,0)*VLOOKUP($N56,'Mass Equivalents - AoIC, PR, GU'!$A$32:$AF$37,32,0))</f>
        <v>16675.885397010381</v>
      </c>
    </row>
    <row r="57" spans="1:19" ht="15.75" thickBot="1" x14ac:dyDescent="0.3">
      <c r="A57" s="61" t="s">
        <v>190</v>
      </c>
      <c r="B57" s="51">
        <f>MIN(VLOOKUP($A57,'Mass Equivalents - AoIC, PR, GU'!$A$9:$AP$14,31,0)*VLOOKUP($A57,'Mass Equivalents - AoIC, PR, GU'!$A$9:$AP$14,42,0)*VLOOKUP($A57,'Mass Equivalents - AoIC, PR, GU'!$A$9:$AP$14,41,0),VLOOKUP($A57,'Mass Equivalents - AoIC, PR, GU'!$A$9:$AP$14,31,0)*VLOOKUP($A57,'Mass Equivalents - AoIC, PR, GU'!$A$9:$AP$14,42,0))</f>
        <v>582.89158266014363</v>
      </c>
      <c r="C57" s="51">
        <f>MIN(VLOOKUP($A57,'Mass Equivalents - AoIC, PR, GU'!$A$9:$AP$14,32,0)*VLOOKUP($A57,'Mass Equivalents - AoIC, PR, GU'!$A$9:$AP$14,42,0)*VLOOKUP($A57,'Mass Equivalents - AoIC, PR, GU'!$A$9:$AP$14,41,0),VLOOKUP($A57,'Mass Equivalents - AoIC, PR, GU'!$A$9:$AP$14,32,0)*VLOOKUP($A57,'Mass Equivalents - AoIC, PR, GU'!$A$9:$AP$14,42,0))</f>
        <v>946.9494205395988</v>
      </c>
      <c r="D57" s="51">
        <f>MIN(VLOOKUP($A57,'Mass Equivalents - AoIC, PR, GU'!$A$9:$AP$14,33,0)*VLOOKUP($A57,'Mass Equivalents - AoIC, PR, GU'!$A$9:$AP$14,42,0)*VLOOKUP($A57,'Mass Equivalents - AoIC, PR, GU'!$A$9:$AP$14,41,0),VLOOKUP($A57,'Mass Equivalents - AoIC, PR, GU'!$A$9:$AP$14,33,0)*VLOOKUP($A57,'Mass Equivalents - AoIC, PR, GU'!$A$9:$AP$14,42,0))</f>
        <v>1382.9342645520103</v>
      </c>
      <c r="E57" s="51">
        <f>MIN(VLOOKUP($A57,'Mass Equivalents - AoIC, PR, GU'!$A$9:$AP$14,34,0)*VLOOKUP($A57,'Mass Equivalents - AoIC, PR, GU'!$A$9:$AP$14,42,0)*VLOOKUP($A57,'Mass Equivalents - AoIC, PR, GU'!$A$9:$AP$14,41,0),VLOOKUP($A57,'Mass Equivalents - AoIC, PR, GU'!$A$9:$AP$14,34,0)*VLOOKUP($A57,'Mass Equivalents - AoIC, PR, GU'!$A$9:$AP$14,42,0))</f>
        <v>1882.849006517521</v>
      </c>
      <c r="F57" s="51">
        <f>MIN(VLOOKUP($A57,'Mass Equivalents - AoIC, PR, GU'!$A$9:$AP$14,35,0)*VLOOKUP($A57,'Mass Equivalents - AoIC, PR, GU'!$A$9:$AP$14,42,0)*VLOOKUP($A57,'Mass Equivalents - AoIC, PR, GU'!$A$9:$AP$14,41,0),VLOOKUP($A57,'Mass Equivalents - AoIC, PR, GU'!$A$9:$AP$14,35,0)*VLOOKUP($A57,'Mass Equivalents - AoIC, PR, GU'!$A$9:$AP$14,42,0))</f>
        <v>2438.6643002804703</v>
      </c>
      <c r="G57" s="51">
        <f>MIN(VLOOKUP($A57,'Mass Equivalents - AoIC, PR, GU'!$A$9:$AP$14,36,0)*VLOOKUP($A57,'Mass Equivalents - AoIC, PR, GU'!$A$9:$AP$14,42,0)*VLOOKUP($A57,'Mass Equivalents - AoIC, PR, GU'!$A$9:$AP$14,41,0),VLOOKUP($A57,'Mass Equivalents - AoIC, PR, GU'!$A$9:$AP$14,36,0)*VLOOKUP($A57,'Mass Equivalents - AoIC, PR, GU'!$A$9:$AP$14,42,0))</f>
        <v>2993.8626695892881</v>
      </c>
      <c r="H57" s="51">
        <f>MIN(VLOOKUP($A57,'Mass Equivalents - AoIC, PR, GU'!$A$9:$AP$14,37,0)*VLOOKUP($A57,'Mass Equivalents - AoIC, PR, GU'!$A$9:$AP$14,42,0)*VLOOKUP($A57,'Mass Equivalents - AoIC, PR, GU'!$A$9:$AP$14,41,0),VLOOKUP($A57,'Mass Equivalents - AoIC, PR, GU'!$A$9:$AP$14,37,0)*VLOOKUP($A57,'Mass Equivalents - AoIC, PR, GU'!$A$9:$AP$14,42,0))</f>
        <v>3497.6972493356743</v>
      </c>
      <c r="I57" s="51">
        <f>MIN(VLOOKUP($A57,'Mass Equivalents - AoIC, PR, GU'!$A$9:$AP$14,38,0)*VLOOKUP($A57,'Mass Equivalents - AoIC, PR, GU'!$A$9:$AP$14,42,0)*VLOOKUP($A57,'Mass Equivalents - AoIC, PR, GU'!$A$9:$AP$14,41,0),VLOOKUP($A57,'Mass Equivalents - AoIC, PR, GU'!$A$9:$AP$14,38,0)*VLOOKUP($A57,'Mass Equivalents - AoIC, PR, GU'!$A$9:$AP$14,42,0))</f>
        <v>3952.4789473138271</v>
      </c>
      <c r="J57" s="51">
        <f>MIN(VLOOKUP($A57,'Mass Equivalents - AoIC, PR, GU'!$A$9:$AP$14,39,0)*VLOOKUP($A57,'Mass Equivalents - AoIC, PR, GU'!$A$9:$AP$14,42,0)*VLOOKUP($A57,'Mass Equivalents - AoIC, PR, GU'!$A$9:$AP$14,41,0),VLOOKUP($A57,'Mass Equivalents - AoIC, PR, GU'!$A$9:$AP$14,39,0)*VLOOKUP($A57,'Mass Equivalents - AoIC, PR, GU'!$A$9:$AP$14,42,0))</f>
        <v>4360.403787038832</v>
      </c>
      <c r="K57" s="48">
        <f>MIN(VLOOKUP($A57,'Mass Equivalents - AoIC, PR, GU'!$A$9:$AP$14,40,0)*VLOOKUP($A57,'Mass Equivalents - AoIC, PR, GU'!$A$9:$AP$14,42,0)*VLOOKUP($A57,'Mass Equivalents - AoIC, PR, GU'!$A$9:$AP$14,41,0),VLOOKUP($A57,'Mass Equivalents - AoIC, PR, GU'!$A$9:$AP$14,40,0)*VLOOKUP($A57,'Mass Equivalents - AoIC, PR, GU'!$A$9:$AP$14,42,0))</f>
        <v>4723.5585187465867</v>
      </c>
      <c r="N57" s="61" t="s">
        <v>190</v>
      </c>
      <c r="O57" s="51">
        <f>MIN(VLOOKUP($N57,'Mass Equivalents - AoIC, PR, GU'!$A$32:$AF$37,26,0)*VLOOKUP($N57,'Mass Equivalents - AoIC, PR, GU'!$A$32:$AF$37,32,0)*VLOOKUP($N57,'Mass Equivalents - AoIC, PR, GU'!$A$32:$AF$37,31,0),VLOOKUP($N57,'Mass Equivalents - AoIC, PR, GU'!$A$32:$AF$37,26,0)*VLOOKUP($N57,'Mass Equivalents - AoIC, PR, GU'!$A$32:$AF$37,32,0))</f>
        <v>437.5705465531201</v>
      </c>
      <c r="P57" s="51">
        <f>MIN(VLOOKUP($N57,'Mass Equivalents - AoIC, PR, GU'!$A$32:$AF$37,27,0)*VLOOKUP($N57,'Mass Equivalents - AoIC, PR, GU'!$A$32:$AF$37,32,0)*VLOOKUP($N57,'Mass Equivalents - AoIC, PR, GU'!$A$32:$AF$37,31,0),VLOOKUP($N57,'Mass Equivalents - AoIC, PR, GU'!$A$32:$AF$37,27,0)*VLOOKUP($N57,'Mass Equivalents - AoIC, PR, GU'!$A$32:$AF$37,32,0))</f>
        <v>711.44839282928581</v>
      </c>
      <c r="Q57" s="51">
        <f>MIN(VLOOKUP($N57,'Mass Equivalents - AoIC, PR, GU'!$A$32:$AF$37,28,0)*VLOOKUP($N57,'Mass Equivalents - AoIC, PR, GU'!$A$32:$AF$37,32,0)*VLOOKUP($N57,'Mass Equivalents - AoIC, PR, GU'!$A$32:$AF$37,31,0),VLOOKUP($N57,'Mass Equivalents - AoIC, PR, GU'!$A$32:$AF$37,28,0)*VLOOKUP($N57,'Mass Equivalents - AoIC, PR, GU'!$A$32:$AF$37,32,0))</f>
        <v>1040.0991518277463</v>
      </c>
      <c r="R57" s="51">
        <f>MIN(VLOOKUP($N57,'Mass Equivalents - AoIC, PR, GU'!$A$32:$AF$37,29,0)*VLOOKUP($N57,'Mass Equivalents - AoIC, PR, GU'!$A$32:$AF$37,32,0)*VLOOKUP($N57,'Mass Equivalents - AoIC, PR, GU'!$A$32:$AF$37,31,0),VLOOKUP($N57,'Mass Equivalents - AoIC, PR, GU'!$A$32:$AF$37,29,0)*VLOOKUP($N57,'Mass Equivalents - AoIC, PR, GU'!$A$32:$AF$37,32,0))</f>
        <v>1417.8885195009532</v>
      </c>
      <c r="S57" s="48">
        <f>MIN(VLOOKUP($N57,'Mass Equivalents - AoIC, PR, GU'!$A$32:$AF$37,30,0)*VLOOKUP($N57,'Mass Equivalents - AoIC, PR, GU'!$A$32:$AF$37,32,0)*VLOOKUP($N57,'Mass Equivalents - AoIC, PR, GU'!$A$32:$AF$37,31,0),VLOOKUP($N57,'Mass Equivalents - AoIC, PR, GU'!$A$32:$AF$37,30,0)*VLOOKUP($N57,'Mass Equivalents - AoIC, PR, GU'!$A$32:$AF$37,32,0))</f>
        <v>1814.4129922791642</v>
      </c>
    </row>
    <row r="59" spans="1:19" x14ac:dyDescent="0.25"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O59" s="132"/>
      <c r="P59" s="132"/>
      <c r="Q59" s="132"/>
      <c r="R59" s="132"/>
      <c r="S59" s="132"/>
    </row>
    <row r="60" spans="1:19" x14ac:dyDescent="0.25">
      <c r="O60" s="132"/>
      <c r="P60" s="132"/>
      <c r="Q60" s="132"/>
      <c r="R60" s="132"/>
      <c r="S60" s="132"/>
    </row>
  </sheetData>
  <mergeCells count="4">
    <mergeCell ref="B2:K2"/>
    <mergeCell ref="A2:A3"/>
    <mergeCell ref="N2:N3"/>
    <mergeCell ref="O2:S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C30" sqref="C30"/>
    </sheetView>
  </sheetViews>
  <sheetFormatPr defaultRowHeight="15" x14ac:dyDescent="0.25"/>
  <cols>
    <col min="1" max="1" width="16.7109375" bestFit="1" customWidth="1"/>
    <col min="2" max="2" width="20.5703125" customWidth="1"/>
    <col min="4" max="13" width="14.28515625" bestFit="1" customWidth="1"/>
  </cols>
  <sheetData>
    <row r="1" spans="1:13" ht="15.75" thickBot="1" x14ac:dyDescent="0.3"/>
    <row r="2" spans="1:13" ht="21" x14ac:dyDescent="0.35">
      <c r="D2" s="249" t="s">
        <v>144</v>
      </c>
      <c r="E2" s="250"/>
      <c r="F2" s="250"/>
      <c r="G2" s="250"/>
      <c r="H2" s="250"/>
      <c r="I2" s="250"/>
      <c r="J2" s="250"/>
      <c r="K2" s="250"/>
      <c r="L2" s="250"/>
      <c r="M2" s="251"/>
    </row>
    <row r="3" spans="1:13" ht="39" customHeight="1" thickBot="1" x14ac:dyDescent="0.3">
      <c r="A3" s="255" t="s">
        <v>212</v>
      </c>
      <c r="B3" s="256"/>
      <c r="D3" s="252">
        <v>2020</v>
      </c>
      <c r="E3" s="253">
        <v>2021</v>
      </c>
      <c r="F3" s="253">
        <v>2022</v>
      </c>
      <c r="G3" s="253">
        <v>2023</v>
      </c>
      <c r="H3" s="253">
        <v>2024</v>
      </c>
      <c r="I3" s="253">
        <v>2025</v>
      </c>
      <c r="J3" s="253">
        <v>2026</v>
      </c>
      <c r="K3" s="253">
        <v>2027</v>
      </c>
      <c r="L3" s="253">
        <v>2028</v>
      </c>
      <c r="M3" s="254">
        <v>2029</v>
      </c>
    </row>
    <row r="4" spans="1:13" x14ac:dyDescent="0.25">
      <c r="A4" s="55" t="s">
        <v>43</v>
      </c>
      <c r="B4" s="56">
        <v>39957.990000000005</v>
      </c>
      <c r="D4" s="45">
        <f>MAX(VLOOKUP($A4,'Mass Equivalents - States, Opt1'!$A$8:$AD$56,21,0)-$B4,0)</f>
        <v>21637.009999999995</v>
      </c>
      <c r="E4" s="50">
        <f>MAX(VLOOKUP($A4,'Mass Equivalents - States, Opt1'!$A$8:$AD$56,22,0)-$B4,0)</f>
        <v>28675.009999999995</v>
      </c>
      <c r="F4" s="50">
        <f>MAX(VLOOKUP($A4,'Mass Equivalents - States, Opt1'!$A$8:$AD$56,23,0)-$B4,0)</f>
        <v>36517.009999999995</v>
      </c>
      <c r="G4" s="50">
        <f>MAX(VLOOKUP($A4,'Mass Equivalents - States, Opt1'!$A$8:$AD$56,24,0)-$B4,0)</f>
        <v>45255.009999999995</v>
      </c>
      <c r="H4" s="50">
        <f>MAX(VLOOKUP($A4,'Mass Equivalents - States, Opt1'!$A$8:$AD$56,25,0)-$B4,0)</f>
        <v>54992.009999999995</v>
      </c>
      <c r="I4" s="50">
        <f>MAX(VLOOKUP($A4,'Mass Equivalents - States, Opt1'!$A$8:$AD$56,26,0)-$B4,0)</f>
        <v>65841.009999999995</v>
      </c>
      <c r="J4" s="50">
        <f>MAX(VLOOKUP($A4,'Mass Equivalents - States, Opt1'!$A$8:$AD$56,27,0)-$B4,0)</f>
        <v>77929.009999999995</v>
      </c>
      <c r="K4" s="50">
        <f>MAX(VLOOKUP($A4,'Mass Equivalents - States, Opt1'!$A$8:$AD$56,28,0)-$B4,0)</f>
        <v>91399.01</v>
      </c>
      <c r="L4" s="50">
        <f>MAX(VLOOKUP($A4,'Mass Equivalents - States, Opt1'!$A$8:$AD$56,29,0)-$B4,0)</f>
        <v>106407.01</v>
      </c>
      <c r="M4" s="46">
        <f>MAX(VLOOKUP($A4,'Mass Equivalents - States, Opt1'!$A$8:$AD$56,30,0)-$B4,0)</f>
        <v>123131.01</v>
      </c>
    </row>
    <row r="5" spans="1:13" x14ac:dyDescent="0.25">
      <c r="A5" s="57" t="s">
        <v>42</v>
      </c>
      <c r="B5" s="58">
        <v>2776554</v>
      </c>
      <c r="D5" s="45">
        <f>MAX(VLOOKUP($A5,'Mass Equivalents - States, Opt1'!$A$8:$AD$56,21,0)-$B5,0)</f>
        <v>1820328.7422880698</v>
      </c>
      <c r="E5" s="50">
        <f>MAX(VLOOKUP($A5,'Mass Equivalents - States, Opt1'!$A$8:$AD$56,22,0)-$B5,0)</f>
        <v>2437826.8872008417</v>
      </c>
      <c r="F5" s="50">
        <f>MAX(VLOOKUP($A5,'Mass Equivalents - States, Opt1'!$A$8:$AD$56,23,0)-$B5,0)</f>
        <v>3138273.408295366</v>
      </c>
      <c r="G5" s="50">
        <f>MAX(VLOOKUP($A5,'Mass Equivalents - States, Opt1'!$A$8:$AD$56,24,0)-$B5,0)</f>
        <v>3932810.7408451298</v>
      </c>
      <c r="H5" s="50">
        <f>MAX(VLOOKUP($A5,'Mass Equivalents - States, Opt1'!$A$8:$AD$56,25,0)-$B5,0)</f>
        <v>4834078.0807540147</v>
      </c>
      <c r="I5" s="50">
        <f>MAX(VLOOKUP($A5,'Mass Equivalents - States, Opt1'!$A$8:$AD$56,26,0)-$B5,0)</f>
        <v>5856412.4440490995</v>
      </c>
      <c r="J5" s="50">
        <f>MAX(VLOOKUP($A5,'Mass Equivalents - States, Opt1'!$A$8:$AD$56,27,0)-$B5,0)</f>
        <v>7016076.7346464135</v>
      </c>
      <c r="K5" s="50">
        <f>MAX(VLOOKUP($A5,'Mass Equivalents - States, Opt1'!$A$8:$AD$56,28,0)-$B5,0)</f>
        <v>8331518.4484044053</v>
      </c>
      <c r="L5" s="50">
        <f>MAX(VLOOKUP($A5,'Mass Equivalents - States, Opt1'!$A$8:$AD$56,29,0)-$B5,0)</f>
        <v>9823663.1288302243</v>
      </c>
      <c r="M5" s="46">
        <f>MAX(VLOOKUP($A5,'Mass Equivalents - States, Opt1'!$A$8:$AD$56,30,0)-$B5,0)</f>
        <v>11516247.242619921</v>
      </c>
    </row>
    <row r="6" spans="1:13" x14ac:dyDescent="0.25">
      <c r="A6" s="57" t="s">
        <v>45</v>
      </c>
      <c r="B6" s="58">
        <v>1660370.07</v>
      </c>
      <c r="D6" s="45">
        <f>MAX(VLOOKUP($A6,'Mass Equivalents - States, Opt1'!$A$8:$AD$56,21,0)-$B6,0)</f>
        <v>627858.95133970608</v>
      </c>
      <c r="E6" s="50">
        <f>MAX(VLOOKUP($A6,'Mass Equivalents - States, Opt1'!$A$8:$AD$56,22,0)-$B6,0)</f>
        <v>818896.00466876733</v>
      </c>
      <c r="F6" s="50">
        <f>MAX(VLOOKUP($A6,'Mass Equivalents - States, Opt1'!$A$8:$AD$56,23,0)-$B6,0)</f>
        <v>1025882.1415048998</v>
      </c>
      <c r="G6" s="50">
        <f>MAX(VLOOKUP($A6,'Mass Equivalents - States, Opt1'!$A$8:$AD$56,24,0)-$B6,0)</f>
        <v>1250148.9007317012</v>
      </c>
      <c r="H6" s="50">
        <f>MAX(VLOOKUP($A6,'Mass Equivalents - States, Opt1'!$A$8:$AD$56,25,0)-$B6,0)</f>
        <v>1493138.9872316013</v>
      </c>
      <c r="I6" s="50">
        <f>MAX(VLOOKUP($A6,'Mass Equivalents - States, Opt1'!$A$8:$AD$56,26,0)-$B6,0)</f>
        <v>1756415.5527859174</v>
      </c>
      <c r="J6" s="50">
        <f>MAX(VLOOKUP($A6,'Mass Equivalents - States, Opt1'!$A$8:$AD$56,27,0)-$B6,0)</f>
        <v>2041672.2518080997</v>
      </c>
      <c r="K6" s="50">
        <f>MAX(VLOOKUP($A6,'Mass Equivalents - States, Opt1'!$A$8:$AD$56,28,0)-$B6,0)</f>
        <v>2350744.136598561</v>
      </c>
      <c r="L6" s="50">
        <f>MAX(VLOOKUP($A6,'Mass Equivalents - States, Opt1'!$A$8:$AD$56,29,0)-$B6,0)</f>
        <v>2685619.4622101076</v>
      </c>
      <c r="M6" s="46">
        <f>MAX(VLOOKUP($A6,'Mass Equivalents - States, Opt1'!$A$8:$AD$56,30,0)-$B6,0)</f>
        <v>3048452.4768645046</v>
      </c>
    </row>
    <row r="7" spans="1:13" x14ac:dyDescent="0.25">
      <c r="A7" s="57" t="s">
        <v>44</v>
      </c>
      <c r="B7" s="58">
        <v>1697652.48</v>
      </c>
      <c r="D7" s="45">
        <f>MAX(VLOOKUP($A7,'Mass Equivalents - States, Opt1'!$A$8:$AD$56,21,0)-$B7,0)</f>
        <v>453277.31621484272</v>
      </c>
      <c r="E7" s="50">
        <f>MAX(VLOOKUP($A7,'Mass Equivalents - States, Opt1'!$A$8:$AD$56,22,0)-$B7,0)</f>
        <v>584373.56441996386</v>
      </c>
      <c r="F7" s="50">
        <f>MAX(VLOOKUP($A7,'Mass Equivalents - States, Opt1'!$A$8:$AD$56,23,0)-$B7,0)</f>
        <v>723459.9508079784</v>
      </c>
      <c r="G7" s="50">
        <f>MAX(VLOOKUP($A7,'Mass Equivalents - States, Opt1'!$A$8:$AD$56,24,0)-$B7,0)</f>
        <v>871023.46344342502</v>
      </c>
      <c r="H7" s="50">
        <f>MAX(VLOOKUP($A7,'Mass Equivalents - States, Opt1'!$A$8:$AD$56,25,0)-$B7,0)</f>
        <v>1027580.7716516135</v>
      </c>
      <c r="I7" s="50">
        <f>MAX(VLOOKUP($A7,'Mass Equivalents - States, Opt1'!$A$8:$AD$56,26,0)-$B7,0)</f>
        <v>1193680.0350511358</v>
      </c>
      <c r="J7" s="50">
        <f>MAX(VLOOKUP($A7,'Mass Equivalents - States, Opt1'!$A$8:$AD$56,27,0)-$B7,0)</f>
        <v>1369902.8228444485</v>
      </c>
      <c r="K7" s="50">
        <f>MAX(VLOOKUP($A7,'Mass Equivalents - States, Opt1'!$A$8:$AD$56,28,0)-$B7,0)</f>
        <v>1556866.1500866101</v>
      </c>
      <c r="L7" s="50">
        <f>MAX(VLOOKUP($A7,'Mass Equivalents - States, Opt1'!$A$8:$AD$56,29,0)-$B7,0)</f>
        <v>1755224.6380618308</v>
      </c>
      <c r="M7" s="46">
        <f>MAX(VLOOKUP($A7,'Mass Equivalents - States, Opt1'!$A$8:$AD$56,30,0)-$B7,0)</f>
        <v>1965672.806332035</v>
      </c>
    </row>
    <row r="8" spans="1:13" x14ac:dyDescent="0.25">
      <c r="A8" s="57" t="s">
        <v>46</v>
      </c>
      <c r="B8" s="58">
        <v>29966845.640000001</v>
      </c>
      <c r="D8" s="45">
        <f>MAX(VLOOKUP($A8,'Mass Equivalents - States, Opt1'!$A$8:$AD$56,21,0)-$B8,0)</f>
        <v>8001220.230375804</v>
      </c>
      <c r="E8" s="50">
        <f>MAX(VLOOKUP($A8,'Mass Equivalents - States, Opt1'!$A$8:$AD$56,22,0)-$B8,0)</f>
        <v>10315322.250799909</v>
      </c>
      <c r="F8" s="50">
        <f>MAX(VLOOKUP($A8,'Mass Equivalents - States, Opt1'!$A$8:$AD$56,23,0)-$B8,0)</f>
        <v>11183858.7439375</v>
      </c>
      <c r="G8" s="50">
        <f>MAX(VLOOKUP($A8,'Mass Equivalents - States, Opt1'!$A$8:$AD$56,24,0)-$B8,0)</f>
        <v>11183858.7439375</v>
      </c>
      <c r="H8" s="50">
        <f>MAX(VLOOKUP($A8,'Mass Equivalents - States, Opt1'!$A$8:$AD$56,25,0)-$B8,0)</f>
        <v>11183858.7439375</v>
      </c>
      <c r="I8" s="50">
        <f>MAX(VLOOKUP($A8,'Mass Equivalents - States, Opt1'!$A$8:$AD$56,26,0)-$B8,0)</f>
        <v>11183858.7439375</v>
      </c>
      <c r="J8" s="50">
        <f>MAX(VLOOKUP($A8,'Mass Equivalents - States, Opt1'!$A$8:$AD$56,27,0)-$B8,0)</f>
        <v>11183858.7439375</v>
      </c>
      <c r="K8" s="50">
        <f>MAX(VLOOKUP($A8,'Mass Equivalents - States, Opt1'!$A$8:$AD$56,28,0)-$B8,0)</f>
        <v>11183858.7439375</v>
      </c>
      <c r="L8" s="50">
        <f>MAX(VLOOKUP($A8,'Mass Equivalents - States, Opt1'!$A$8:$AD$56,29,0)-$B8,0)</f>
        <v>11183858.7439375</v>
      </c>
      <c r="M8" s="46">
        <f>MAX(VLOOKUP($A8,'Mass Equivalents - States, Opt1'!$A$8:$AD$56,30,0)-$B8,0)</f>
        <v>11183858.7439375</v>
      </c>
    </row>
    <row r="9" spans="1:13" x14ac:dyDescent="0.25">
      <c r="A9" s="57" t="s">
        <v>47</v>
      </c>
      <c r="B9" s="58">
        <v>6192081.7999999998</v>
      </c>
      <c r="D9" s="45">
        <f>MAX(VLOOKUP($A9,'Mass Equivalents - States, Opt1'!$A$8:$AD$56,21,0)-$B9,0)</f>
        <v>1653300.8098847019</v>
      </c>
      <c r="E9" s="50">
        <f>MAX(VLOOKUP($A9,'Mass Equivalents - States, Opt1'!$A$8:$AD$56,22,0)-$B9,0)</f>
        <v>2131466.2189554758</v>
      </c>
      <c r="F9" s="50">
        <f>MAX(VLOOKUP($A9,'Mass Equivalents - States, Opt1'!$A$8:$AD$56,23,0)-$B9,0)</f>
        <v>2638775.1599355461</v>
      </c>
      <c r="G9" s="50">
        <f>MAX(VLOOKUP($A9,'Mass Equivalents - States, Opt1'!$A$8:$AD$56,24,0)-$B9,0)</f>
        <v>3177003.891491971</v>
      </c>
      <c r="H9" s="50">
        <f>MAX(VLOOKUP($A9,'Mass Equivalents - States, Opt1'!$A$8:$AD$56,25,0)-$B9,0)</f>
        <v>3748036.9328438239</v>
      </c>
      <c r="I9" s="50">
        <f>MAX(VLOOKUP($A9,'Mass Equivalents - States, Opt1'!$A$8:$AD$56,26,0)-$B9,0)</f>
        <v>4353873.6620957302</v>
      </c>
      <c r="J9" s="50">
        <f>MAX(VLOOKUP($A9,'Mass Equivalents - States, Opt1'!$A$8:$AD$56,27,0)-$B9,0)</f>
        <v>4647737.8039374994</v>
      </c>
      <c r="K9" s="50">
        <f>MAX(VLOOKUP($A9,'Mass Equivalents - States, Opt1'!$A$8:$AD$56,28,0)-$B9,0)</f>
        <v>4647737.8039374994</v>
      </c>
      <c r="L9" s="50">
        <f>MAX(VLOOKUP($A9,'Mass Equivalents - States, Opt1'!$A$8:$AD$56,29,0)-$B9,0)</f>
        <v>4647737.8039374994</v>
      </c>
      <c r="M9" s="46">
        <f>MAX(VLOOKUP($A9,'Mass Equivalents - States, Opt1'!$A$8:$AD$56,30,0)-$B9,0)</f>
        <v>4647737.8039374994</v>
      </c>
    </row>
    <row r="10" spans="1:13" x14ac:dyDescent="0.25">
      <c r="A10" s="57" t="s">
        <v>48</v>
      </c>
      <c r="B10" s="58">
        <v>666524.91</v>
      </c>
      <c r="D10" s="45">
        <f>MAX(VLOOKUP($A10,'Mass Equivalents - States, Opt1'!$A$8:$AD$56,21,0)-$B10,0)</f>
        <v>404582.79305672378</v>
      </c>
      <c r="E10" s="50">
        <f>MAX(VLOOKUP($A10,'Mass Equivalents - States, Opt1'!$A$8:$AD$56,22,0)-$B10,0)</f>
        <v>539447.38847900985</v>
      </c>
      <c r="F10" s="50">
        <f>MAX(VLOOKUP($A10,'Mass Equivalents - States, Opt1'!$A$8:$AD$56,23,0)-$B10,0)</f>
        <v>691292.96447543486</v>
      </c>
      <c r="G10" s="50">
        <f>MAX(VLOOKUP($A10,'Mass Equivalents - States, Opt1'!$A$8:$AD$56,24,0)-$B10,0)</f>
        <v>862257.61889411381</v>
      </c>
      <c r="H10" s="50">
        <f>MAX(VLOOKUP($A10,'Mass Equivalents - States, Opt1'!$A$8:$AD$56,25,0)-$B10,0)</f>
        <v>1054748.6603268026</v>
      </c>
      <c r="I10" s="50">
        <f>MAX(VLOOKUP($A10,'Mass Equivalents - States, Opt1'!$A$8:$AD$56,26,0)-$B10,0)</f>
        <v>1271476.5047916691</v>
      </c>
      <c r="J10" s="50">
        <f>MAX(VLOOKUP($A10,'Mass Equivalents - States, Opt1'!$A$8:$AD$56,27,0)-$B10,0)</f>
        <v>1515492.8403924732</v>
      </c>
      <c r="K10" s="50">
        <f>MAX(VLOOKUP($A10,'Mass Equivalents - States, Opt1'!$A$8:$AD$56,28,0)-$B10,0)</f>
        <v>1790233.5973407435</v>
      </c>
      <c r="L10" s="50">
        <f>MAX(VLOOKUP($A10,'Mass Equivalents - States, Opt1'!$A$8:$AD$56,29,0)-$B10,0)</f>
        <v>2099567.3283905913</v>
      </c>
      <c r="M10" s="46">
        <f>MAX(VLOOKUP($A10,'Mass Equivalents - States, Opt1'!$A$8:$AD$56,30,0)-$B10,0)</f>
        <v>2447849.6809184179</v>
      </c>
    </row>
    <row r="11" spans="1:13" x14ac:dyDescent="0.25">
      <c r="A11" s="57" t="s">
        <v>49</v>
      </c>
      <c r="B11" s="58">
        <v>131050.62</v>
      </c>
      <c r="D11" s="45">
        <f>MAX(VLOOKUP($A11,'Mass Equivalents - States, Opt1'!$A$8:$AD$56,21,0)-$B11,0)</f>
        <v>116706.01915112717</v>
      </c>
      <c r="E11" s="50">
        <f>MAX(VLOOKUP($A11,'Mass Equivalents - States, Opt1'!$A$8:$AD$56,22,0)-$B11,0)</f>
        <v>159466.58444475126</v>
      </c>
      <c r="F11" s="50">
        <f>MAX(VLOOKUP($A11,'Mass Equivalents - States, Opt1'!$A$8:$AD$56,23,0)-$B11,0)</f>
        <v>209607.23832245945</v>
      </c>
      <c r="G11" s="50">
        <f>MAX(VLOOKUP($A11,'Mass Equivalents - States, Opt1'!$A$8:$AD$56,24,0)-$B11,0)</f>
        <v>268401.71762881707</v>
      </c>
      <c r="H11" s="50">
        <f>MAX(VLOOKUP($A11,'Mass Equivalents - States, Opt1'!$A$8:$AD$56,25,0)-$B11,0)</f>
        <v>337343.59471994441</v>
      </c>
      <c r="I11" s="50">
        <f>MAX(VLOOKUP($A11,'Mass Equivalents - States, Opt1'!$A$8:$AD$56,26,0)-$B11,0)</f>
        <v>418184.21909356909</v>
      </c>
      <c r="J11" s="50">
        <f>MAX(VLOOKUP($A11,'Mass Equivalents - States, Opt1'!$A$8:$AD$56,27,0)-$B11,0)</f>
        <v>512977.2074028264</v>
      </c>
      <c r="K11" s="50">
        <f>MAX(VLOOKUP($A11,'Mass Equivalents - States, Opt1'!$A$8:$AD$56,28,0)-$B11,0)</f>
        <v>624130.61204588471</v>
      </c>
      <c r="L11" s="50">
        <f>MAX(VLOOKUP($A11,'Mass Equivalents - States, Opt1'!$A$8:$AD$56,29,0)-$B11,0)</f>
        <v>754468.09358445206</v>
      </c>
      <c r="M11" s="46">
        <f>MAX(VLOOKUP($A11,'Mass Equivalents - States, Opt1'!$A$8:$AD$56,30,0)-$B11,0)</f>
        <v>907300.65097096388</v>
      </c>
    </row>
    <row r="12" spans="1:13" x14ac:dyDescent="0.25">
      <c r="A12" s="57" t="s">
        <v>50</v>
      </c>
      <c r="B12" s="58">
        <v>4523797.99</v>
      </c>
      <c r="D12" s="45">
        <f>MAX(VLOOKUP($A12,'Mass Equivalents - States, Opt1'!$A$8:$AD$56,21,0)-$B12,0)</f>
        <v>2965834.4500060137</v>
      </c>
      <c r="E12" s="50">
        <f>MAX(VLOOKUP($A12,'Mass Equivalents - States, Opt1'!$A$8:$AD$56,22,0)-$B12,0)</f>
        <v>3971914.9608785287</v>
      </c>
      <c r="F12" s="50">
        <f>MAX(VLOOKUP($A12,'Mass Equivalents - States, Opt1'!$A$8:$AD$56,23,0)-$B12,0)</f>
        <v>5113142.0229957793</v>
      </c>
      <c r="G12" s="50">
        <f>MAX(VLOOKUP($A12,'Mass Equivalents - States, Opt1'!$A$8:$AD$56,24,0)-$B12,0)</f>
        <v>6407669.8398394585</v>
      </c>
      <c r="H12" s="50">
        <f>MAX(VLOOKUP($A12,'Mass Equivalents - States, Opt1'!$A$8:$AD$56,25,0)-$B12,0)</f>
        <v>7876091.264646057</v>
      </c>
      <c r="I12" s="50">
        <f>MAX(VLOOKUP($A12,'Mass Equivalents - States, Opt1'!$A$8:$AD$56,26,0)-$B12,0)</f>
        <v>9541765.3836375233</v>
      </c>
      <c r="J12" s="50">
        <f>MAX(VLOOKUP($A12,'Mass Equivalents - States, Opt1'!$A$8:$AD$56,27,0)-$B12,0)</f>
        <v>11431189.103427919</v>
      </c>
      <c r="K12" s="50">
        <f>MAX(VLOOKUP($A12,'Mass Equivalents - States, Opt1'!$A$8:$AD$56,28,0)-$B12,0)</f>
        <v>13574418.653676378</v>
      </c>
      <c r="L12" s="50">
        <f>MAX(VLOOKUP($A12,'Mass Equivalents - States, Opt1'!$A$8:$AD$56,29,0)-$B12,0)</f>
        <v>16005547.710089294</v>
      </c>
      <c r="M12" s="46">
        <f>MAX(VLOOKUP($A12,'Mass Equivalents - States, Opt1'!$A$8:$AD$56,30,0)-$B12,0)</f>
        <v>17585815.608999997</v>
      </c>
    </row>
    <row r="13" spans="1:13" x14ac:dyDescent="0.25">
      <c r="A13" s="57" t="s">
        <v>51</v>
      </c>
      <c r="B13" s="58">
        <v>3278536.21</v>
      </c>
      <c r="D13" s="45">
        <f>MAX(VLOOKUP($A13,'Mass Equivalents - States, Opt1'!$A$8:$AD$56,21,0)-$B13,0)</f>
        <v>2149431.8841611557</v>
      </c>
      <c r="E13" s="50">
        <f>MAX(VLOOKUP($A13,'Mass Equivalents - States, Opt1'!$A$8:$AD$56,22,0)-$B13,0)</f>
        <v>2878569.5230128942</v>
      </c>
      <c r="F13" s="50">
        <f>MAX(VLOOKUP($A13,'Mass Equivalents - States, Opt1'!$A$8:$AD$56,23,0)-$B13,0)</f>
        <v>3705652.044216129</v>
      </c>
      <c r="G13" s="50">
        <f>MAX(VLOOKUP($A13,'Mass Equivalents - States, Opt1'!$A$8:$AD$56,24,0)-$B13,0)</f>
        <v>4643836.3600843642</v>
      </c>
      <c r="H13" s="50">
        <f>MAX(VLOOKUP($A13,'Mass Equivalents - States, Opt1'!$A$8:$AD$56,25,0)-$B13,0)</f>
        <v>5708046.7477741623</v>
      </c>
      <c r="I13" s="50">
        <f>MAX(VLOOKUP($A13,'Mass Equivalents - States, Opt1'!$A$8:$AD$56,26,0)-$B13,0)</f>
        <v>6915212.2589762593</v>
      </c>
      <c r="J13" s="50">
        <f>MAX(VLOOKUP($A13,'Mass Equivalents - States, Opt1'!$A$8:$AD$56,27,0)-$B13,0)</f>
        <v>8284536.020792977</v>
      </c>
      <c r="K13" s="50">
        <f>MAX(VLOOKUP($A13,'Mass Equivalents - States, Opt1'!$A$8:$AD$56,28,0)-$B13,0)</f>
        <v>8952100.1750000007</v>
      </c>
      <c r="L13" s="50">
        <f>MAX(VLOOKUP($A13,'Mass Equivalents - States, Opt1'!$A$8:$AD$56,29,0)-$B13,0)</f>
        <v>8952100.1750000007</v>
      </c>
      <c r="M13" s="46">
        <f>MAX(VLOOKUP($A13,'Mass Equivalents - States, Opt1'!$A$8:$AD$56,30,0)-$B13,0)</f>
        <v>8952100.1750000007</v>
      </c>
    </row>
    <row r="14" spans="1:13" x14ac:dyDescent="0.25">
      <c r="A14" s="57" t="s">
        <v>52</v>
      </c>
      <c r="B14" s="58">
        <v>924815.1</v>
      </c>
      <c r="D14" s="45">
        <f>MAX(VLOOKUP($A14,'Mass Equivalents - States, Opt1'!$A$8:$AD$56,21,0)-$B14,0)</f>
        <v>122111.76799999992</v>
      </c>
      <c r="E14" s="50">
        <f>MAX(VLOOKUP($A14,'Mass Equivalents - States, Opt1'!$A$8:$AD$56,22,0)-$B14,0)</f>
        <v>122111.76799999992</v>
      </c>
      <c r="F14" s="50">
        <f>MAX(VLOOKUP($A14,'Mass Equivalents - States, Opt1'!$A$8:$AD$56,23,0)-$B14,0)</f>
        <v>122111.76799999992</v>
      </c>
      <c r="G14" s="50">
        <f>MAX(VLOOKUP($A14,'Mass Equivalents - States, Opt1'!$A$8:$AD$56,24,0)-$B14,0)</f>
        <v>122111.76799999992</v>
      </c>
      <c r="H14" s="50">
        <f>MAX(VLOOKUP($A14,'Mass Equivalents - States, Opt1'!$A$8:$AD$56,25,0)-$B14,0)</f>
        <v>122111.76799999992</v>
      </c>
      <c r="I14" s="50">
        <f>MAX(VLOOKUP($A14,'Mass Equivalents - States, Opt1'!$A$8:$AD$56,26,0)-$B14,0)</f>
        <v>122111.76799999992</v>
      </c>
      <c r="J14" s="50">
        <f>MAX(VLOOKUP($A14,'Mass Equivalents - States, Opt1'!$A$8:$AD$56,27,0)-$B14,0)</f>
        <v>122111.76799999992</v>
      </c>
      <c r="K14" s="50">
        <f>MAX(VLOOKUP($A14,'Mass Equivalents - States, Opt1'!$A$8:$AD$56,28,0)-$B14,0)</f>
        <v>122111.76799999992</v>
      </c>
      <c r="L14" s="50">
        <f>MAX(VLOOKUP($A14,'Mass Equivalents - States, Opt1'!$A$8:$AD$56,29,0)-$B14,0)</f>
        <v>122111.76799999992</v>
      </c>
      <c r="M14" s="46">
        <f>MAX(VLOOKUP($A14,'Mass Equivalents - States, Opt1'!$A$8:$AD$56,30,0)-$B14,0)</f>
        <v>122111.76799999992</v>
      </c>
    </row>
    <row r="15" spans="1:13" x14ac:dyDescent="0.25">
      <c r="A15" s="57" t="s">
        <v>56</v>
      </c>
      <c r="B15" s="58">
        <v>14183424.140000001</v>
      </c>
      <c r="D15" s="45">
        <f>MAX(VLOOKUP($A15,'Mass Equivalents - States, Opt1'!$A$8:$AD$56,21,0)-$B15,0)</f>
        <v>0</v>
      </c>
      <c r="E15" s="50">
        <f>MAX(VLOOKUP($A15,'Mass Equivalents - States, Opt1'!$A$8:$AD$56,22,0)-$B15,0)</f>
        <v>0</v>
      </c>
      <c r="F15" s="50">
        <f>MAX(VLOOKUP($A15,'Mass Equivalents - States, Opt1'!$A$8:$AD$56,23,0)-$B15,0)</f>
        <v>0</v>
      </c>
      <c r="G15" s="50">
        <f>MAX(VLOOKUP($A15,'Mass Equivalents - States, Opt1'!$A$8:$AD$56,24,0)-$B15,0)</f>
        <v>0</v>
      </c>
      <c r="H15" s="50">
        <f>MAX(VLOOKUP($A15,'Mass Equivalents - States, Opt1'!$A$8:$AD$56,25,0)-$B15,0)</f>
        <v>0</v>
      </c>
      <c r="I15" s="50">
        <f>MAX(VLOOKUP($A15,'Mass Equivalents - States, Opt1'!$A$8:$AD$56,26,0)-$B15,0)</f>
        <v>0</v>
      </c>
      <c r="J15" s="50">
        <f>MAX(VLOOKUP($A15,'Mass Equivalents - States, Opt1'!$A$8:$AD$56,27,0)-$B15,0)</f>
        <v>0</v>
      </c>
      <c r="K15" s="50">
        <f>MAX(VLOOKUP($A15,'Mass Equivalents - States, Opt1'!$A$8:$AD$56,28,0)-$B15,0)</f>
        <v>0</v>
      </c>
      <c r="L15" s="50">
        <f>MAX(VLOOKUP($A15,'Mass Equivalents - States, Opt1'!$A$8:$AD$56,29,0)-$B15,0)</f>
        <v>0</v>
      </c>
      <c r="M15" s="46">
        <f>MAX(VLOOKUP($A15,'Mass Equivalents - States, Opt1'!$A$8:$AD$56,30,0)-$B15,0)</f>
        <v>0</v>
      </c>
    </row>
    <row r="16" spans="1:13" x14ac:dyDescent="0.25">
      <c r="A16" s="57" t="s">
        <v>53</v>
      </c>
      <c r="B16" s="58">
        <v>2514502.1700000004</v>
      </c>
      <c r="D16" s="45">
        <f>MAX(VLOOKUP($A16,'Mass Equivalents - States, Opt1'!$A$8:$AD$56,21,0)-$B16,0)</f>
        <v>671378.15816933196</v>
      </c>
      <c r="E16" s="50">
        <f>MAX(VLOOKUP($A16,'Mass Equivalents - States, Opt1'!$A$8:$AD$56,22,0)-$B16,0)</f>
        <v>682185.00018749945</v>
      </c>
      <c r="F16" s="50">
        <f>MAX(VLOOKUP($A16,'Mass Equivalents - States, Opt1'!$A$8:$AD$56,23,0)-$B16,0)</f>
        <v>682185.00018749945</v>
      </c>
      <c r="G16" s="50">
        <f>MAX(VLOOKUP($A16,'Mass Equivalents - States, Opt1'!$A$8:$AD$56,24,0)-$B16,0)</f>
        <v>682185.00018749945</v>
      </c>
      <c r="H16" s="50">
        <f>MAX(VLOOKUP($A16,'Mass Equivalents - States, Opt1'!$A$8:$AD$56,25,0)-$B16,0)</f>
        <v>682185.00018749945</v>
      </c>
      <c r="I16" s="50">
        <f>MAX(VLOOKUP($A16,'Mass Equivalents - States, Opt1'!$A$8:$AD$56,26,0)-$B16,0)</f>
        <v>682185.00018749945</v>
      </c>
      <c r="J16" s="50">
        <f>MAX(VLOOKUP($A16,'Mass Equivalents - States, Opt1'!$A$8:$AD$56,27,0)-$B16,0)</f>
        <v>682185.00018749945</v>
      </c>
      <c r="K16" s="50">
        <f>MAX(VLOOKUP($A16,'Mass Equivalents - States, Opt1'!$A$8:$AD$56,28,0)-$B16,0)</f>
        <v>682185.00018749945</v>
      </c>
      <c r="L16" s="50">
        <f>MAX(VLOOKUP($A16,'Mass Equivalents - States, Opt1'!$A$8:$AD$56,29,0)-$B16,0)</f>
        <v>682185.00018749945</v>
      </c>
      <c r="M16" s="46">
        <f>MAX(VLOOKUP($A16,'Mass Equivalents - States, Opt1'!$A$8:$AD$56,30,0)-$B16,0)</f>
        <v>682185.00018749945</v>
      </c>
    </row>
    <row r="17" spans="1:13" x14ac:dyDescent="0.25">
      <c r="A17" s="57" t="s">
        <v>54</v>
      </c>
      <c r="B17" s="58">
        <v>8372659.9000000004</v>
      </c>
      <c r="D17" s="45">
        <f>MAX(VLOOKUP($A17,'Mass Equivalents - States, Opt1'!$A$8:$AD$56,21,0)-$B17,0)</f>
        <v>2190288.8740620334</v>
      </c>
      <c r="E17" s="50">
        <f>MAX(VLOOKUP($A17,'Mass Equivalents - States, Opt1'!$A$8:$AD$56,22,0)-$B17,0)</f>
        <v>2822121.1626018044</v>
      </c>
      <c r="F17" s="50">
        <f>MAX(VLOOKUP($A17,'Mass Equivalents - States, Opt1'!$A$8:$AD$56,23,0)-$B17,0)</f>
        <v>3491747.0681873839</v>
      </c>
      <c r="G17" s="50">
        <f>MAX(VLOOKUP($A17,'Mass Equivalents - States, Opt1'!$A$8:$AD$56,24,0)-$B17,0)</f>
        <v>4201427.2500400767</v>
      </c>
      <c r="H17" s="50">
        <f>MAX(VLOOKUP($A17,'Mass Equivalents - States, Opt1'!$A$8:$AD$56,25,0)-$B17,0)</f>
        <v>4953557.5907473117</v>
      </c>
      <c r="I17" s="50">
        <f>MAX(VLOOKUP($A17,'Mass Equivalents - States, Opt1'!$A$8:$AD$56,26,0)-$B17,0)</f>
        <v>5750677.2847699933</v>
      </c>
      <c r="J17" s="50">
        <f>MAX(VLOOKUP($A17,'Mass Equivalents - States, Opt1'!$A$8:$AD$56,27,0)-$B17,0)</f>
        <v>6595477.4107712153</v>
      </c>
      <c r="K17" s="50">
        <f>MAX(VLOOKUP($A17,'Mass Equivalents - States, Opt1'!$A$8:$AD$56,28,0)-$B17,0)</f>
        <v>7490810.0167065207</v>
      </c>
      <c r="L17" s="50">
        <f>MAX(VLOOKUP($A17,'Mass Equivalents - States, Opt1'!$A$8:$AD$56,29,0)-$B17,0)</f>
        <v>8439697.7483470161</v>
      </c>
      <c r="M17" s="46">
        <f>MAX(VLOOKUP($A17,'Mass Equivalents - States, Opt1'!$A$8:$AD$56,30,0)-$B17,0)</f>
        <v>9445344.053741267</v>
      </c>
    </row>
    <row r="18" spans="1:13" x14ac:dyDescent="0.25">
      <c r="A18" s="57" t="s">
        <v>55</v>
      </c>
      <c r="B18" s="58">
        <v>3546367.4000000004</v>
      </c>
      <c r="D18" s="45">
        <f>MAX(VLOOKUP($A18,'Mass Equivalents - States, Opt1'!$A$8:$AD$56,21,0)-$B18,0)</f>
        <v>927730.15413612034</v>
      </c>
      <c r="E18" s="50">
        <f>MAX(VLOOKUP($A18,'Mass Equivalents - States, Opt1'!$A$8:$AD$56,22,0)-$B18,0)</f>
        <v>1195352.3264334612</v>
      </c>
      <c r="F18" s="50">
        <f>MAX(VLOOKUP($A18,'Mass Equivalents - States, Opt1'!$A$8:$AD$56,23,0)-$B18,0)</f>
        <v>1478982.5598511808</v>
      </c>
      <c r="G18" s="50">
        <f>MAX(VLOOKUP($A18,'Mass Equivalents - States, Opt1'!$A$8:$AD$56,24,0)-$B18,0)</f>
        <v>1779578.3909739126</v>
      </c>
      <c r="H18" s="50">
        <f>MAX(VLOOKUP($A18,'Mass Equivalents - States, Opt1'!$A$8:$AD$56,25,0)-$B18,0)</f>
        <v>2098154.6322989697</v>
      </c>
      <c r="I18" s="50">
        <f>MAX(VLOOKUP($A18,'Mass Equivalents - States, Opt1'!$A$8:$AD$56,26,0)-$B18,0)</f>
        <v>2435786.7982466174</v>
      </c>
      <c r="J18" s="50">
        <f>MAX(VLOOKUP($A18,'Mass Equivalents - States, Opt1'!$A$8:$AD$56,27,0)-$B18,0)</f>
        <v>2793614.7361002294</v>
      </c>
      <c r="K18" s="50">
        <f>MAX(VLOOKUP($A18,'Mass Equivalents - States, Opt1'!$A$8:$AD$56,28,0)-$B18,0)</f>
        <v>3172846.4741344014</v>
      </c>
      <c r="L18" s="50">
        <f>MAX(VLOOKUP($A18,'Mass Equivalents - States, Opt1'!$A$8:$AD$56,29,0)-$B18,0)</f>
        <v>3574762.2999223098</v>
      </c>
      <c r="M18" s="46">
        <f>MAX(VLOOKUP($A18,'Mass Equivalents - States, Opt1'!$A$8:$AD$56,30,0)-$B18,0)</f>
        <v>4000719.0825906964</v>
      </c>
    </row>
    <row r="19" spans="1:13" x14ac:dyDescent="0.25">
      <c r="A19" s="57" t="s">
        <v>57</v>
      </c>
      <c r="B19" s="58">
        <v>5252653.3499999996</v>
      </c>
      <c r="D19" s="45">
        <f>MAX(VLOOKUP($A19,'Mass Equivalents - States, Opt1'!$A$8:$AD$56,21,0)-$B19,0)</f>
        <v>1986259.2585049383</v>
      </c>
      <c r="E19" s="50">
        <f>MAX(VLOOKUP($A19,'Mass Equivalents - States, Opt1'!$A$8:$AD$56,22,0)-$B19,0)</f>
        <v>2590613.3337039826</v>
      </c>
      <c r="F19" s="50">
        <f>MAX(VLOOKUP($A19,'Mass Equivalents - States, Opt1'!$A$8:$AD$56,23,0)-$B19,0)</f>
        <v>3245423.0322767049</v>
      </c>
      <c r="G19" s="50">
        <f>MAX(VLOOKUP($A19,'Mass Equivalents - States, Opt1'!$A$8:$AD$56,24,0)-$B19,0)</f>
        <v>3632284.8040000014</v>
      </c>
      <c r="H19" s="50">
        <f>MAX(VLOOKUP($A19,'Mass Equivalents - States, Opt1'!$A$8:$AD$56,25,0)-$B19,0)</f>
        <v>3632284.8040000014</v>
      </c>
      <c r="I19" s="50">
        <f>MAX(VLOOKUP($A19,'Mass Equivalents - States, Opt1'!$A$8:$AD$56,26,0)-$B19,0)</f>
        <v>3632284.8040000014</v>
      </c>
      <c r="J19" s="50">
        <f>MAX(VLOOKUP($A19,'Mass Equivalents - States, Opt1'!$A$8:$AD$56,27,0)-$B19,0)</f>
        <v>3632284.8040000014</v>
      </c>
      <c r="K19" s="50">
        <f>MAX(VLOOKUP($A19,'Mass Equivalents - States, Opt1'!$A$8:$AD$56,28,0)-$B19,0)</f>
        <v>3632284.8040000014</v>
      </c>
      <c r="L19" s="50">
        <f>MAX(VLOOKUP($A19,'Mass Equivalents - States, Opt1'!$A$8:$AD$56,29,0)-$B19,0)</f>
        <v>3632284.8040000014</v>
      </c>
      <c r="M19" s="46">
        <f>MAX(VLOOKUP($A19,'Mass Equivalents - States, Opt1'!$A$8:$AD$56,30,0)-$B19,0)</f>
        <v>3632284.8040000014</v>
      </c>
    </row>
    <row r="20" spans="1:13" x14ac:dyDescent="0.25">
      <c r="A20" s="57" t="s">
        <v>58</v>
      </c>
      <c r="B20" s="58">
        <v>332879.45</v>
      </c>
      <c r="D20" s="45">
        <f>MAX(VLOOKUP($A20,'Mass Equivalents - States, Opt1'!$A$8:$AD$56,21,0)-$B20,0)</f>
        <v>218238.15800162515</v>
      </c>
      <c r="E20" s="50">
        <f>MAX(VLOOKUP($A20,'Mass Equivalents - States, Opt1'!$A$8:$AD$56,22,0)-$B20,0)</f>
        <v>292269.65274459933</v>
      </c>
      <c r="F20" s="50">
        <f>MAX(VLOOKUP($A20,'Mass Equivalents - States, Opt1'!$A$8:$AD$56,23,0)-$B20,0)</f>
        <v>376245.78023801692</v>
      </c>
      <c r="G20" s="50">
        <f>MAX(VLOOKUP($A20,'Mass Equivalents - States, Opt1'!$A$8:$AD$56,24,0)-$B20,0)</f>
        <v>471502.40058958676</v>
      </c>
      <c r="H20" s="50">
        <f>MAX(VLOOKUP($A20,'Mass Equivalents - States, Opt1'!$A$8:$AD$56,25,0)-$B20,0)</f>
        <v>579554.81967159733</v>
      </c>
      <c r="I20" s="50">
        <f>MAX(VLOOKUP($A20,'Mass Equivalents - States, Opt1'!$A$8:$AD$56,26,0)-$B20,0)</f>
        <v>702121.89402699168</v>
      </c>
      <c r="J20" s="50">
        <f>MAX(VLOOKUP($A20,'Mass Equivalents - States, Opt1'!$A$8:$AD$56,27,0)-$B20,0)</f>
        <v>841153.37378163519</v>
      </c>
      <c r="K20" s="50">
        <f>MAX(VLOOKUP($A20,'Mass Equivalents - States, Opt1'!$A$8:$AD$56,28,0)-$B20,0)</f>
        <v>998860.91852336098</v>
      </c>
      <c r="L20" s="50">
        <f>MAX(VLOOKUP($A20,'Mass Equivalents - States, Opt1'!$A$8:$AD$56,29,0)-$B20,0)</f>
        <v>1177753.279536535</v>
      </c>
      <c r="M20" s="46">
        <f>MAX(VLOOKUP($A20,'Mass Equivalents - States, Opt1'!$A$8:$AD$56,30,0)-$B20,0)</f>
        <v>1380676.2080576627</v>
      </c>
    </row>
    <row r="21" spans="1:13" x14ac:dyDescent="0.25">
      <c r="A21" s="57" t="s">
        <v>59</v>
      </c>
      <c r="B21" s="58">
        <v>2430042.23</v>
      </c>
      <c r="D21" s="45">
        <f>MAX(VLOOKUP($A21,'Mass Equivalents - States, Opt1'!$A$8:$AD$56,21,0)-$B21,0)</f>
        <v>918905.84744098643</v>
      </c>
      <c r="E21" s="50">
        <f>MAX(VLOOKUP($A21,'Mass Equivalents - States, Opt1'!$A$8:$AD$56,22,0)-$B21,0)</f>
        <v>1198499.0028899889</v>
      </c>
      <c r="F21" s="50">
        <f>MAX(VLOOKUP($A21,'Mass Equivalents - States, Opt1'!$A$8:$AD$56,23,0)-$B21,0)</f>
        <v>1501434.5126443659</v>
      </c>
      <c r="G21" s="50">
        <f>MAX(VLOOKUP($A21,'Mass Equivalents - States, Opt1'!$A$8:$AD$56,24,0)-$B21,0)</f>
        <v>1829661.1565433186</v>
      </c>
      <c r="H21" s="50">
        <f>MAX(VLOOKUP($A21,'Mass Equivalents - States, Opt1'!$A$8:$AD$56,25,0)-$B21,0)</f>
        <v>2185290.4119334198</v>
      </c>
      <c r="I21" s="50">
        <f>MAX(VLOOKUP($A21,'Mass Equivalents - States, Opt1'!$A$8:$AD$56,26,0)-$B21,0)</f>
        <v>2570610.0367724481</v>
      </c>
      <c r="J21" s="50">
        <f>MAX(VLOOKUP($A21,'Mass Equivalents - States, Opt1'!$A$8:$AD$56,27,0)-$B21,0)</f>
        <v>2988098.7867438947</v>
      </c>
      <c r="K21" s="50">
        <f>MAX(VLOOKUP($A21,'Mass Equivalents - States, Opt1'!$A$8:$AD$56,28,0)-$B21,0)</f>
        <v>3440442.3610571302</v>
      </c>
      <c r="L21" s="50">
        <f>MAX(VLOOKUP($A21,'Mass Equivalents - States, Opt1'!$A$8:$AD$56,29,0)-$B21,0)</f>
        <v>3930550.6795123401</v>
      </c>
      <c r="M21" s="46">
        <f>MAX(VLOOKUP($A21,'Mass Equivalents - States, Opt1'!$A$8:$AD$56,30,0)-$B21,0)</f>
        <v>4461576.6019733455</v>
      </c>
    </row>
    <row r="22" spans="1:13" x14ac:dyDescent="0.25">
      <c r="A22" s="57" t="s">
        <v>62</v>
      </c>
      <c r="B22" s="58">
        <v>1843418.9900000002</v>
      </c>
      <c r="D22" s="45">
        <f>MAX(VLOOKUP($A22,'Mass Equivalents - States, Opt1'!$A$8:$AD$56,21,0)-$B22,0)</f>
        <v>1118961.3359656809</v>
      </c>
      <c r="E22" s="50">
        <f>MAX(VLOOKUP($A22,'Mass Equivalents - States, Opt1'!$A$8:$AD$56,22,0)-$B22,0)</f>
        <v>1491958.5826553944</v>
      </c>
      <c r="F22" s="50">
        <f>MAX(VLOOKUP($A22,'Mass Equivalents - States, Opt1'!$A$8:$AD$56,23,0)-$B22,0)</f>
        <v>1911920.408747233</v>
      </c>
      <c r="G22" s="50">
        <f>MAX(VLOOKUP($A22,'Mass Equivalents - States, Opt1'!$A$8:$AD$56,24,0)-$B22,0)</f>
        <v>2384760.1868947297</v>
      </c>
      <c r="H22" s="50">
        <f>MAX(VLOOKUP($A22,'Mass Equivalents - States, Opt1'!$A$8:$AD$56,25,0)-$B22,0)</f>
        <v>2917135.8503667749</v>
      </c>
      <c r="I22" s="50">
        <f>MAX(VLOOKUP($A22,'Mass Equivalents - States, Opt1'!$A$8:$AD$56,26,0)-$B22,0)</f>
        <v>3516543.6416649297</v>
      </c>
      <c r="J22" s="50">
        <f>MAX(VLOOKUP($A22,'Mass Equivalents - States, Opt1'!$A$8:$AD$56,27,0)-$B22,0)</f>
        <v>4191423.6651538284</v>
      </c>
      <c r="K22" s="50">
        <f>MAX(VLOOKUP($A22,'Mass Equivalents - States, Opt1'!$A$8:$AD$56,28,0)-$B22,0)</f>
        <v>4951278.7299636593</v>
      </c>
      <c r="L22" s="50">
        <f>MAX(VLOOKUP($A22,'Mass Equivalents - States, Opt1'!$A$8:$AD$56,29,0)-$B22,0)</f>
        <v>5806808.1565605467</v>
      </c>
      <c r="M22" s="46">
        <f>MAX(VLOOKUP($A22,'Mass Equivalents - States, Opt1'!$A$8:$AD$56,30,0)-$B22,0)</f>
        <v>6770058.4310801756</v>
      </c>
    </row>
    <row r="23" spans="1:13" x14ac:dyDescent="0.25">
      <c r="A23" s="57" t="s">
        <v>61</v>
      </c>
      <c r="B23" s="58">
        <v>898152.46</v>
      </c>
      <c r="D23" s="45">
        <f>MAX(VLOOKUP($A23,'Mass Equivalents - States, Opt1'!$A$8:$AD$56,21,0)-$B23,0)</f>
        <v>799842.06253577466</v>
      </c>
      <c r="E23" s="50">
        <f>MAX(VLOOKUP($A23,'Mass Equivalents - States, Opt1'!$A$8:$AD$56,22,0)-$B23,0)</f>
        <v>1092900.629595275</v>
      </c>
      <c r="F23" s="50">
        <f>MAX(VLOOKUP($A23,'Mass Equivalents - States, Opt1'!$A$8:$AD$56,23,0)-$B23,0)</f>
        <v>1436538.4668391752</v>
      </c>
      <c r="G23" s="50">
        <f>MAX(VLOOKUP($A23,'Mass Equivalents - States, Opt1'!$A$8:$AD$56,24,0)-$B23,0)</f>
        <v>1839485.1009216714</v>
      </c>
      <c r="H23" s="50">
        <f>MAX(VLOOKUP($A23,'Mass Equivalents - States, Opt1'!$A$8:$AD$56,25,0)-$B23,0)</f>
        <v>2311976.6962030497</v>
      </c>
      <c r="I23" s="50">
        <f>MAX(VLOOKUP($A23,'Mass Equivalents - States, Opt1'!$A$8:$AD$56,26,0)-$B23,0)</f>
        <v>2866016.0868530674</v>
      </c>
      <c r="J23" s="50">
        <f>MAX(VLOOKUP($A23,'Mass Equivalents - States, Opt1'!$A$8:$AD$56,27,0)-$B23,0)</f>
        <v>3515677.6881542346</v>
      </c>
      <c r="K23" s="50">
        <f>MAX(VLOOKUP($A23,'Mass Equivalents - States, Opt1'!$A$8:$AD$56,28,0)-$B23,0)</f>
        <v>4277465.0327508356</v>
      </c>
      <c r="L23" s="50">
        <f>MAX(VLOOKUP($A23,'Mass Equivalents - States, Opt1'!$A$8:$AD$56,29,0)-$B23,0)</f>
        <v>5083916.1157632507</v>
      </c>
      <c r="M23" s="46">
        <f>MAX(VLOOKUP($A23,'Mass Equivalents - States, Opt1'!$A$8:$AD$56,30,0)-$B23,0)</f>
        <v>5083916.1157632507</v>
      </c>
    </row>
    <row r="24" spans="1:13" x14ac:dyDescent="0.25">
      <c r="A24" s="57" t="s">
        <v>60</v>
      </c>
      <c r="B24" s="58">
        <v>4098795.34</v>
      </c>
      <c r="D24" s="45">
        <f>MAX(VLOOKUP($A24,'Mass Equivalents - States, Opt1'!$A$8:$AD$56,21,0)-$B24,0)</f>
        <v>0</v>
      </c>
      <c r="E24" s="50">
        <f>MAX(VLOOKUP($A24,'Mass Equivalents - States, Opt1'!$A$8:$AD$56,22,0)-$B24,0)</f>
        <v>0</v>
      </c>
      <c r="F24" s="50">
        <f>MAX(VLOOKUP($A24,'Mass Equivalents - States, Opt1'!$A$8:$AD$56,23,0)-$B24,0)</f>
        <v>0</v>
      </c>
      <c r="G24" s="50">
        <f>MAX(VLOOKUP($A24,'Mass Equivalents - States, Opt1'!$A$8:$AD$56,24,0)-$B24,0)</f>
        <v>0</v>
      </c>
      <c r="H24" s="50">
        <f>MAX(VLOOKUP($A24,'Mass Equivalents - States, Opt1'!$A$8:$AD$56,25,0)-$B24,0)</f>
        <v>0</v>
      </c>
      <c r="I24" s="50">
        <f>MAX(VLOOKUP($A24,'Mass Equivalents - States, Opt1'!$A$8:$AD$56,26,0)-$B24,0)</f>
        <v>0</v>
      </c>
      <c r="J24" s="50">
        <f>MAX(VLOOKUP($A24,'Mass Equivalents - States, Opt1'!$A$8:$AD$56,27,0)-$B24,0)</f>
        <v>0</v>
      </c>
      <c r="K24" s="50">
        <f>MAX(VLOOKUP($A24,'Mass Equivalents - States, Opt1'!$A$8:$AD$56,28,0)-$B24,0)</f>
        <v>0</v>
      </c>
      <c r="L24" s="50">
        <f>MAX(VLOOKUP($A24,'Mass Equivalents - States, Opt1'!$A$8:$AD$56,29,0)-$B24,0)</f>
        <v>0</v>
      </c>
      <c r="M24" s="46">
        <f>MAX(VLOOKUP($A24,'Mass Equivalents - States, Opt1'!$A$8:$AD$56,30,0)-$B24,0)</f>
        <v>0</v>
      </c>
    </row>
    <row r="25" spans="1:13" x14ac:dyDescent="0.25">
      <c r="A25" s="57" t="s">
        <v>63</v>
      </c>
      <c r="B25" s="58">
        <v>3785439.13</v>
      </c>
      <c r="D25" s="45">
        <f>MAX(VLOOKUP($A25,'Mass Equivalents - States, Opt1'!$A$8:$AD$56,21,0)-$B25,0)</f>
        <v>990271.34852068592</v>
      </c>
      <c r="E25" s="50">
        <f>MAX(VLOOKUP($A25,'Mass Equivalents - States, Opt1'!$A$8:$AD$56,22,0)-$B25,0)</f>
        <v>1275934.7693692856</v>
      </c>
      <c r="F25" s="50">
        <f>MAX(VLOOKUP($A25,'Mass Equivalents - States, Opt1'!$A$8:$AD$56,23,0)-$B25,0)</f>
        <v>1578685.4048591303</v>
      </c>
      <c r="G25" s="50">
        <f>MAX(VLOOKUP($A25,'Mass Equivalents - States, Opt1'!$A$8:$AD$56,24,0)-$B25,0)</f>
        <v>1899545.3421140406</v>
      </c>
      <c r="H25" s="50">
        <f>MAX(VLOOKUP($A25,'Mass Equivalents - States, Opt1'!$A$8:$AD$56,25,0)-$B25,0)</f>
        <v>2239597.8053191202</v>
      </c>
      <c r="I25" s="50">
        <f>MAX(VLOOKUP($A25,'Mass Equivalents - States, Opt1'!$A$8:$AD$56,26,0)-$B25,0)</f>
        <v>2599990.812689106</v>
      </c>
      <c r="J25" s="50">
        <f>MAX(VLOOKUP($A25,'Mass Equivalents - States, Opt1'!$A$8:$AD$56,27,0)-$B25,0)</f>
        <v>2981941.0521815708</v>
      </c>
      <c r="K25" s="50">
        <f>MAX(VLOOKUP($A25,'Mass Equivalents - States, Opt1'!$A$8:$AD$56,28,0)-$B25,0)</f>
        <v>3386737.9890393997</v>
      </c>
      <c r="L25" s="50">
        <f>MAX(VLOOKUP($A25,'Mass Equivalents - States, Opt1'!$A$8:$AD$56,29,0)-$B25,0)</f>
        <v>3815748.2190296175</v>
      </c>
      <c r="M25" s="46">
        <f>MAX(VLOOKUP($A25,'Mass Equivalents - States, Opt1'!$A$8:$AD$56,30,0)-$B25,0)</f>
        <v>4270420.0820751144</v>
      </c>
    </row>
    <row r="26" spans="1:13" x14ac:dyDescent="0.25">
      <c r="A26" s="57" t="s">
        <v>64</v>
      </c>
      <c r="B26" s="58">
        <v>9453870.5099999998</v>
      </c>
      <c r="D26" s="45">
        <f>MAX(VLOOKUP($A26,'Mass Equivalents - States, Opt1'!$A$8:$AD$56,21,0)-$B26,0)</f>
        <v>0</v>
      </c>
      <c r="E26" s="50">
        <f>MAX(VLOOKUP($A26,'Mass Equivalents - States, Opt1'!$A$8:$AD$56,22,0)-$B26,0)</f>
        <v>0</v>
      </c>
      <c r="F26" s="50">
        <f>MAX(VLOOKUP($A26,'Mass Equivalents - States, Opt1'!$A$8:$AD$56,23,0)-$B26,0)</f>
        <v>0</v>
      </c>
      <c r="G26" s="50">
        <f>MAX(VLOOKUP($A26,'Mass Equivalents - States, Opt1'!$A$8:$AD$56,24,0)-$B26,0)</f>
        <v>0</v>
      </c>
      <c r="H26" s="50">
        <f>MAX(VLOOKUP($A26,'Mass Equivalents - States, Opt1'!$A$8:$AD$56,25,0)-$B26,0)</f>
        <v>0</v>
      </c>
      <c r="I26" s="50">
        <f>MAX(VLOOKUP($A26,'Mass Equivalents - States, Opt1'!$A$8:$AD$56,26,0)-$B26,0)</f>
        <v>0</v>
      </c>
      <c r="J26" s="50">
        <f>MAX(VLOOKUP($A26,'Mass Equivalents - States, Opt1'!$A$8:$AD$56,27,0)-$B26,0)</f>
        <v>0</v>
      </c>
      <c r="K26" s="50">
        <f>MAX(VLOOKUP($A26,'Mass Equivalents - States, Opt1'!$A$8:$AD$56,28,0)-$B26,0)</f>
        <v>0</v>
      </c>
      <c r="L26" s="50">
        <f>MAX(VLOOKUP($A26,'Mass Equivalents - States, Opt1'!$A$8:$AD$56,29,0)-$B26,0)</f>
        <v>0</v>
      </c>
      <c r="M26" s="46">
        <f>MAX(VLOOKUP($A26,'Mass Equivalents - States, Opt1'!$A$8:$AD$56,30,0)-$B26,0)</f>
        <v>0</v>
      </c>
    </row>
    <row r="27" spans="1:13" x14ac:dyDescent="0.25">
      <c r="A27" s="57" t="s">
        <v>66</v>
      </c>
      <c r="B27" s="58">
        <v>1298578.8999999999</v>
      </c>
      <c r="D27" s="45">
        <f>MAX(VLOOKUP($A27,'Mass Equivalents - States, Opt1'!$A$8:$AD$56,21,0)-$B27,0)</f>
        <v>339708.40219626203</v>
      </c>
      <c r="E27" s="50">
        <f>MAX(VLOOKUP($A27,'Mass Equivalents - States, Opt1'!$A$8:$AD$56,22,0)-$B27,0)</f>
        <v>437704.03178542736</v>
      </c>
      <c r="F27" s="50">
        <f>MAX(VLOOKUP($A27,'Mass Equivalents - States, Opt1'!$A$8:$AD$56,23,0)-$B27,0)</f>
        <v>541561.35816349112</v>
      </c>
      <c r="G27" s="50">
        <f>MAX(VLOOKUP($A27,'Mass Equivalents - States, Opt1'!$A$8:$AD$56,24,0)-$B27,0)</f>
        <v>651631.00399994408</v>
      </c>
      <c r="H27" s="50">
        <f>MAX(VLOOKUP($A27,'Mass Equivalents - States, Opt1'!$A$8:$AD$56,25,0)-$B27,0)</f>
        <v>768284.56477484503</v>
      </c>
      <c r="I27" s="50">
        <f>MAX(VLOOKUP($A27,'Mass Equivalents - States, Opt1'!$A$8:$AD$56,26,0)-$B27,0)</f>
        <v>891915.8632863625</v>
      </c>
      <c r="J27" s="50">
        <f>MAX(VLOOKUP($A27,'Mass Equivalents - States, Opt1'!$A$8:$AD$56,27,0)-$B27,0)</f>
        <v>1022942.2791978135</v>
      </c>
      <c r="K27" s="50">
        <f>MAX(VLOOKUP($A27,'Mass Equivalents - States, Opt1'!$A$8:$AD$56,28,0)-$B27,0)</f>
        <v>1161806.1581127569</v>
      </c>
      <c r="L27" s="50">
        <f>MAX(VLOOKUP($A27,'Mass Equivalents - States, Opt1'!$A$8:$AD$56,29,0)-$B27,0)</f>
        <v>1308976.3049351797</v>
      </c>
      <c r="M27" s="46">
        <f>MAX(VLOOKUP($A27,'Mass Equivalents - States, Opt1'!$A$8:$AD$56,30,0)-$B27,0)</f>
        <v>1464949.5665563676</v>
      </c>
    </row>
    <row r="28" spans="1:13" x14ac:dyDescent="0.25">
      <c r="A28" s="57" t="s">
        <v>65</v>
      </c>
      <c r="B28" s="58">
        <v>1509189.94</v>
      </c>
      <c r="D28" s="45">
        <f>MAX(VLOOKUP($A28,'Mass Equivalents - States, Opt1'!$A$8:$AD$56,21,0)-$B28,0)</f>
        <v>989435.7629471668</v>
      </c>
      <c r="E28" s="50">
        <f>MAX(VLOOKUP($A28,'Mass Equivalents - States, Opt1'!$A$8:$AD$56,22,0)-$B28,0)</f>
        <v>1325075.5481885192</v>
      </c>
      <c r="F28" s="50">
        <f>MAX(VLOOKUP($A28,'Mass Equivalents - States, Opt1'!$A$8:$AD$56,23,0)-$B28,0)</f>
        <v>1705801.7444533329</v>
      </c>
      <c r="G28" s="50">
        <f>MAX(VLOOKUP($A28,'Mass Equivalents - States, Opt1'!$A$8:$AD$56,24,0)-$B28,0)</f>
        <v>2137670.7984096175</v>
      </c>
      <c r="H28" s="50">
        <f>MAX(VLOOKUP($A28,'Mass Equivalents - States, Opt1'!$A$8:$AD$56,25,0)-$B28,0)</f>
        <v>2627552.7177387751</v>
      </c>
      <c r="I28" s="50">
        <f>MAX(VLOOKUP($A28,'Mass Equivalents - States, Opt1'!$A$8:$AD$56,26,0)-$B28,0)</f>
        <v>3183240.356589396</v>
      </c>
      <c r="J28" s="50">
        <f>MAX(VLOOKUP($A28,'Mass Equivalents - States, Opt1'!$A$8:$AD$56,27,0)-$B28,0)</f>
        <v>3813573.3813195839</v>
      </c>
      <c r="K28" s="50">
        <f>MAX(VLOOKUP($A28,'Mass Equivalents - States, Opt1'!$A$8:$AD$56,28,0)-$B28,0)</f>
        <v>3949239.5610000002</v>
      </c>
      <c r="L28" s="50">
        <f>MAX(VLOOKUP($A28,'Mass Equivalents - States, Opt1'!$A$8:$AD$56,29,0)-$B28,0)</f>
        <v>3949239.5610000002</v>
      </c>
      <c r="M28" s="46">
        <f>MAX(VLOOKUP($A28,'Mass Equivalents - States, Opt1'!$A$8:$AD$56,30,0)-$B28,0)</f>
        <v>3949239.5610000002</v>
      </c>
    </row>
    <row r="29" spans="1:13" x14ac:dyDescent="0.25">
      <c r="A29" s="57" t="s">
        <v>67</v>
      </c>
      <c r="B29" s="58">
        <v>1261752.22</v>
      </c>
      <c r="D29" s="45">
        <f>MAX(VLOOKUP($A29,'Mass Equivalents - States, Opt1'!$A$8:$AD$56,21,0)-$B29,0)</f>
        <v>336890.89301110664</v>
      </c>
      <c r="E29" s="50">
        <f>MAX(VLOOKUP($A29,'Mass Equivalents - States, Opt1'!$A$8:$AD$56,22,0)-$B29,0)</f>
        <v>434326.01837108773</v>
      </c>
      <c r="F29" s="50">
        <f>MAX(VLOOKUP($A29,'Mass Equivalents - States, Opt1'!$A$8:$AD$56,23,0)-$B29,0)</f>
        <v>537699.68221826968</v>
      </c>
      <c r="G29" s="50">
        <f>MAX(VLOOKUP($A29,'Mass Equivalents - States, Opt1'!$A$8:$AD$56,24,0)-$B29,0)</f>
        <v>647373.83040363481</v>
      </c>
      <c r="H29" s="50">
        <f>MAX(VLOOKUP($A29,'Mass Equivalents - States, Opt1'!$A$8:$AD$56,25,0)-$B29,0)</f>
        <v>763732.4688859384</v>
      </c>
      <c r="I29" s="50">
        <f>MAX(VLOOKUP($A29,'Mass Equivalents - States, Opt1'!$A$8:$AD$56,26,0)-$B29,0)</f>
        <v>887183.00826530042</v>
      </c>
      <c r="J29" s="50">
        <f>MAX(VLOOKUP($A29,'Mass Equivalents - States, Opt1'!$A$8:$AD$56,27,0)-$B29,0)</f>
        <v>1018157.6902642928</v>
      </c>
      <c r="K29" s="50">
        <f>MAX(VLOOKUP($A29,'Mass Equivalents - States, Opt1'!$A$8:$AD$56,28,0)-$B29,0)</f>
        <v>1157115.1011511099</v>
      </c>
      <c r="L29" s="50">
        <f>MAX(VLOOKUP($A29,'Mass Equivalents - States, Opt1'!$A$8:$AD$56,29,0)-$B29,0)</f>
        <v>1304541.7774038243</v>
      </c>
      <c r="M29" s="46">
        <f>MAX(VLOOKUP($A29,'Mass Equivalents - States, Opt1'!$A$8:$AD$56,30,0)-$B29,0)</f>
        <v>1460953.9092376984</v>
      </c>
    </row>
    <row r="30" spans="1:13" x14ac:dyDescent="0.25">
      <c r="A30" s="57" t="s">
        <v>74</v>
      </c>
      <c r="B30" s="58">
        <v>2703919.3200000003</v>
      </c>
      <c r="D30" s="45">
        <f>MAX(VLOOKUP($A30,'Mass Equivalents - States, Opt1'!$A$8:$AD$56,21,0)-$B30,0)</f>
        <v>1772708.9244524017</v>
      </c>
      <c r="E30" s="50">
        <f>MAX(VLOOKUP($A30,'Mass Equivalents - States, Opt1'!$A$8:$AD$56,22,0)-$B30,0)</f>
        <v>2374053.3118094653</v>
      </c>
      <c r="F30" s="50">
        <f>MAX(VLOOKUP($A30,'Mass Equivalents - States, Opt1'!$A$8:$AD$56,23,0)-$B30,0)</f>
        <v>3056176.1450099982</v>
      </c>
      <c r="G30" s="50">
        <f>MAX(VLOOKUP($A30,'Mass Equivalents - States, Opt1'!$A$8:$AD$56,24,0)-$B30,0)</f>
        <v>3829928.373110937</v>
      </c>
      <c r="H30" s="50">
        <f>MAX(VLOOKUP($A30,'Mass Equivalents - States, Opt1'!$A$8:$AD$56,25,0)-$B30,0)</f>
        <v>4707618.5505267708</v>
      </c>
      <c r="I30" s="50">
        <f>MAX(VLOOKUP($A30,'Mass Equivalents - States, Opt1'!$A$8:$AD$56,26,0)-$B30,0)</f>
        <v>5703208.6368040331</v>
      </c>
      <c r="J30" s="50">
        <f>MAX(VLOOKUP($A30,'Mass Equivalents - States, Opt1'!$A$8:$AD$56,27,0)-$B30,0)</f>
        <v>6832536.0981320571</v>
      </c>
      <c r="K30" s="50">
        <f>MAX(VLOOKUP($A30,'Mass Equivalents - States, Opt1'!$A$8:$AD$56,28,0)-$B30,0)</f>
        <v>8113565.8436958548</v>
      </c>
      <c r="L30" s="50">
        <f>MAX(VLOOKUP($A30,'Mass Equivalents - States, Opt1'!$A$8:$AD$56,29,0)-$B30,0)</f>
        <v>8964256.9910000004</v>
      </c>
      <c r="M30" s="46">
        <f>MAX(VLOOKUP($A30,'Mass Equivalents - States, Opt1'!$A$8:$AD$56,30,0)-$B30,0)</f>
        <v>8964256.9910000004</v>
      </c>
    </row>
    <row r="31" spans="1:13" x14ac:dyDescent="0.25">
      <c r="A31" s="57" t="s">
        <v>75</v>
      </c>
      <c r="B31" s="58">
        <v>5280052</v>
      </c>
      <c r="D31" s="45">
        <f>MAX(VLOOKUP($A31,'Mass Equivalents - States, Opt1'!$A$8:$AD$56,21,0)-$B31,0)</f>
        <v>179904.51010040008</v>
      </c>
      <c r="E31" s="50">
        <f>MAX(VLOOKUP($A31,'Mass Equivalents - States, Opt1'!$A$8:$AD$56,22,0)-$B31,0)</f>
        <v>179904.51010040008</v>
      </c>
      <c r="F31" s="50">
        <f>MAX(VLOOKUP($A31,'Mass Equivalents - States, Opt1'!$A$8:$AD$56,23,0)-$B31,0)</f>
        <v>179904.51010040008</v>
      </c>
      <c r="G31" s="50">
        <f>MAX(VLOOKUP($A31,'Mass Equivalents - States, Opt1'!$A$8:$AD$56,24,0)-$B31,0)</f>
        <v>179904.51010040008</v>
      </c>
      <c r="H31" s="50">
        <f>MAX(VLOOKUP($A31,'Mass Equivalents - States, Opt1'!$A$8:$AD$56,25,0)-$B31,0)</f>
        <v>179904.51010040008</v>
      </c>
      <c r="I31" s="50">
        <f>MAX(VLOOKUP($A31,'Mass Equivalents - States, Opt1'!$A$8:$AD$56,26,0)-$B31,0)</f>
        <v>179904.51010040008</v>
      </c>
      <c r="J31" s="50">
        <f>MAX(VLOOKUP($A31,'Mass Equivalents - States, Opt1'!$A$8:$AD$56,27,0)-$B31,0)</f>
        <v>179904.51010040008</v>
      </c>
      <c r="K31" s="50">
        <f>MAX(VLOOKUP($A31,'Mass Equivalents - States, Opt1'!$A$8:$AD$56,28,0)-$B31,0)</f>
        <v>179904.51010040008</v>
      </c>
      <c r="L31" s="50">
        <f>MAX(VLOOKUP($A31,'Mass Equivalents - States, Opt1'!$A$8:$AD$56,29,0)-$B31,0)</f>
        <v>179904.51010040008</v>
      </c>
      <c r="M31" s="46">
        <f>MAX(VLOOKUP($A31,'Mass Equivalents - States, Opt1'!$A$8:$AD$56,30,0)-$B31,0)</f>
        <v>179904.51010040008</v>
      </c>
    </row>
    <row r="32" spans="1:13" x14ac:dyDescent="0.25">
      <c r="A32" s="57" t="s">
        <v>68</v>
      </c>
      <c r="B32" s="58">
        <v>1346761.78</v>
      </c>
      <c r="D32" s="45">
        <f>MAX(VLOOKUP($A32,'Mass Equivalents - States, Opt1'!$A$8:$AD$56,21,0)-$B32,0)</f>
        <v>509269.86349205603</v>
      </c>
      <c r="E32" s="50">
        <f>MAX(VLOOKUP($A32,'Mass Equivalents - States, Opt1'!$A$8:$AD$56,22,0)-$B32,0)</f>
        <v>664224.11533989967</v>
      </c>
      <c r="F32" s="50">
        <f>MAX(VLOOKUP($A32,'Mass Equivalents - States, Opt1'!$A$8:$AD$56,23,0)-$B32,0)</f>
        <v>832115.01094051334</v>
      </c>
      <c r="G32" s="50">
        <f>MAX(VLOOKUP($A32,'Mass Equivalents - States, Opt1'!$A$8:$AD$56,24,0)-$B32,0)</f>
        <v>1014022.5900449224</v>
      </c>
      <c r="H32" s="50">
        <f>MAX(VLOOKUP($A32,'Mass Equivalents - States, Opt1'!$A$8:$AD$56,25,0)-$B32,0)</f>
        <v>1211117.0615304026</v>
      </c>
      <c r="I32" s="50">
        <f>MAX(VLOOKUP($A32,'Mass Equivalents - States, Opt1'!$A$8:$AD$56,26,0)-$B32,0)</f>
        <v>1424666.3313375951</v>
      </c>
      <c r="J32" s="50">
        <f>MAX(VLOOKUP($A32,'Mass Equivalents - States, Opt1'!$A$8:$AD$56,27,0)-$B32,0)</f>
        <v>1656044.1588914481</v>
      </c>
      <c r="K32" s="50">
        <f>MAX(VLOOKUP($A32,'Mass Equivalents - States, Opt1'!$A$8:$AD$56,28,0)-$B32,0)</f>
        <v>1906738.9944761179</v>
      </c>
      <c r="L32" s="50">
        <f>MAX(VLOOKUP($A32,'Mass Equivalents - States, Opt1'!$A$8:$AD$56,29,0)-$B32,0)</f>
        <v>2178363.5544145452</v>
      </c>
      <c r="M32" s="46">
        <f>MAX(VLOOKUP($A32,'Mass Equivalents - States, Opt1'!$A$8:$AD$56,30,0)-$B32,0)</f>
        <v>2472665.1956496956</v>
      </c>
    </row>
    <row r="33" spans="1:13" x14ac:dyDescent="0.25">
      <c r="A33" s="57" t="s">
        <v>70</v>
      </c>
      <c r="B33" s="58">
        <v>1381285.06</v>
      </c>
      <c r="D33" s="45">
        <f>MAX(VLOOKUP($A33,'Mass Equivalents - States, Opt1'!$A$8:$AD$56,21,0)-$B33,0)</f>
        <v>838444.53402697947</v>
      </c>
      <c r="E33" s="50">
        <f>MAX(VLOOKUP($A33,'Mass Equivalents - States, Opt1'!$A$8:$AD$56,22,0)-$B33,0)</f>
        <v>1117933.6393625145</v>
      </c>
      <c r="F33" s="50">
        <f>MAX(VLOOKUP($A33,'Mass Equivalents - States, Opt1'!$A$8:$AD$56,23,0)-$B33,0)</f>
        <v>1432613.5896601807</v>
      </c>
      <c r="G33" s="50">
        <f>MAX(VLOOKUP($A33,'Mass Equivalents - States, Opt1'!$A$8:$AD$56,24,0)-$B33,0)</f>
        <v>1786915.311011577</v>
      </c>
      <c r="H33" s="50">
        <f>MAX(VLOOKUP($A33,'Mass Equivalents - States, Opt1'!$A$8:$AD$56,25,0)-$B33,0)</f>
        <v>2185827.633305449</v>
      </c>
      <c r="I33" s="50">
        <f>MAX(VLOOKUP($A33,'Mass Equivalents - States, Opt1'!$A$8:$AD$56,26,0)-$B33,0)</f>
        <v>2634967.5366367796</v>
      </c>
      <c r="J33" s="50">
        <f>MAX(VLOOKUP($A33,'Mass Equivalents - States, Opt1'!$A$8:$AD$56,27,0)-$B33,0)</f>
        <v>3140659.2425346696</v>
      </c>
      <c r="K33" s="50">
        <f>MAX(VLOOKUP($A33,'Mass Equivalents - States, Opt1'!$A$8:$AD$56,28,0)-$B33,0)</f>
        <v>3440937.9563039416</v>
      </c>
      <c r="L33" s="50">
        <f>MAX(VLOOKUP($A33,'Mass Equivalents - States, Opt1'!$A$8:$AD$56,29,0)-$B33,0)</f>
        <v>3440937.9563039416</v>
      </c>
      <c r="M33" s="46">
        <f>MAX(VLOOKUP($A33,'Mass Equivalents - States, Opt1'!$A$8:$AD$56,30,0)-$B33,0)</f>
        <v>3440937.9563039416</v>
      </c>
    </row>
    <row r="34" spans="1:13" x14ac:dyDescent="0.25">
      <c r="A34" s="57" t="s">
        <v>71</v>
      </c>
      <c r="B34" s="58">
        <v>1280714.6399999999</v>
      </c>
      <c r="D34" s="45">
        <f>MAX(VLOOKUP($A34,'Mass Equivalents - States, Opt1'!$A$8:$AD$56,21,0)-$B34,0)</f>
        <v>1140529.5701994307</v>
      </c>
      <c r="E34" s="50">
        <f>MAX(VLOOKUP($A34,'Mass Equivalents - States, Opt1'!$A$8:$AD$56,22,0)-$B34,0)</f>
        <v>1558414.5217259496</v>
      </c>
      <c r="F34" s="50">
        <f>MAX(VLOOKUP($A34,'Mass Equivalents - States, Opt1'!$A$8:$AD$56,23,0)-$B34,0)</f>
        <v>2048422.653548246</v>
      </c>
      <c r="G34" s="50">
        <f>MAX(VLOOKUP($A34,'Mass Equivalents - States, Opt1'!$A$8:$AD$56,24,0)-$B34,0)</f>
        <v>2623001.7772397576</v>
      </c>
      <c r="H34" s="50">
        <f>MAX(VLOOKUP($A34,'Mass Equivalents - States, Opt1'!$A$8:$AD$56,25,0)-$B34,0)</f>
        <v>3296748.0845802901</v>
      </c>
      <c r="I34" s="50">
        <f>MAX(VLOOKUP($A34,'Mass Equivalents - States, Opt1'!$A$8:$AD$56,26,0)-$B34,0)</f>
        <v>4086776.9386371579</v>
      </c>
      <c r="J34" s="50">
        <f>MAX(VLOOKUP($A34,'Mass Equivalents - States, Opt1'!$A$8:$AD$56,27,0)-$B34,0)</f>
        <v>5013157.6600485835</v>
      </c>
      <c r="K34" s="50">
        <f>MAX(VLOOKUP($A34,'Mass Equivalents - States, Opt1'!$A$8:$AD$56,28,0)-$B34,0)</f>
        <v>6099423.3535051169</v>
      </c>
      <c r="L34" s="50">
        <f>MAX(VLOOKUP($A34,'Mass Equivalents - States, Opt1'!$A$8:$AD$56,29,0)-$B34,0)</f>
        <v>7373168.7256916268</v>
      </c>
      <c r="M34" s="46">
        <f>MAX(VLOOKUP($A34,'Mass Equivalents - States, Opt1'!$A$8:$AD$56,30,0)-$B34,0)</f>
        <v>8866751.0812237542</v>
      </c>
    </row>
    <row r="35" spans="1:13" x14ac:dyDescent="0.25">
      <c r="A35" s="57" t="s">
        <v>72</v>
      </c>
      <c r="B35" s="58">
        <v>2573851.31</v>
      </c>
      <c r="D35" s="45">
        <f>MAX(VLOOKUP($A35,'Mass Equivalents - States, Opt1'!$A$8:$AD$56,21,0)-$B35,0)</f>
        <v>687224.52202517819</v>
      </c>
      <c r="E35" s="50">
        <f>MAX(VLOOKUP($A35,'Mass Equivalents - States, Opt1'!$A$8:$AD$56,22,0)-$B35,0)</f>
        <v>885982.66254804702</v>
      </c>
      <c r="F35" s="50">
        <f>MAX(VLOOKUP($A35,'Mass Equivalents - States, Opt1'!$A$8:$AD$56,23,0)-$B35,0)</f>
        <v>1096854.8416455952</v>
      </c>
      <c r="G35" s="50">
        <f>MAX(VLOOKUP($A35,'Mass Equivalents - States, Opt1'!$A$8:$AD$56,24,0)-$B35,0)</f>
        <v>1320579.39350732</v>
      </c>
      <c r="H35" s="50">
        <f>MAX(VLOOKUP($A35,'Mass Equivalents - States, Opt1'!$A$8:$AD$56,25,0)-$B35,0)</f>
        <v>1557939.6527882535</v>
      </c>
      <c r="I35" s="50">
        <f>MAX(VLOOKUP($A35,'Mass Equivalents - States, Opt1'!$A$8:$AD$56,26,0)-$B35,0)</f>
        <v>1809766.6973261884</v>
      </c>
      <c r="J35" s="50">
        <f>MAX(VLOOKUP($A35,'Mass Equivalents - States, Opt1'!$A$8:$AD$56,27,0)-$B35,0)</f>
        <v>2076942.2580237878</v>
      </c>
      <c r="K35" s="50">
        <f>MAX(VLOOKUP($A35,'Mass Equivalents - States, Opt1'!$A$8:$AD$56,28,0)-$B35,0)</f>
        <v>2148144.3229768756</v>
      </c>
      <c r="L35" s="50">
        <f>MAX(VLOOKUP($A35,'Mass Equivalents - States, Opt1'!$A$8:$AD$56,29,0)-$B35,0)</f>
        <v>2148144.3229768756</v>
      </c>
      <c r="M35" s="46">
        <f>MAX(VLOOKUP($A35,'Mass Equivalents - States, Opt1'!$A$8:$AD$56,30,0)-$B35,0)</f>
        <v>2148144.3229768756</v>
      </c>
    </row>
    <row r="36" spans="1:13" x14ac:dyDescent="0.25">
      <c r="A36" s="57" t="s">
        <v>69</v>
      </c>
      <c r="B36" s="58">
        <v>2968630.3499999996</v>
      </c>
      <c r="D36" s="45">
        <f>MAX(VLOOKUP($A36,'Mass Equivalents - States, Opt1'!$A$8:$AD$56,21,0)-$B36,0)</f>
        <v>792631.48007884948</v>
      </c>
      <c r="E36" s="50">
        <f>MAX(VLOOKUP($A36,'Mass Equivalents - States, Opt1'!$A$8:$AD$56,22,0)-$B36,0)</f>
        <v>1021875.2774859937</v>
      </c>
      <c r="F36" s="50">
        <f>MAX(VLOOKUP($A36,'Mass Equivalents - States, Opt1'!$A$8:$AD$56,23,0)-$B36,0)</f>
        <v>1265091.1728282999</v>
      </c>
      <c r="G36" s="50">
        <f>MAX(VLOOKUP($A36,'Mass Equivalents - States, Opt1'!$A$8:$AD$56,24,0)-$B36,0)</f>
        <v>1523130.7464883905</v>
      </c>
      <c r="H36" s="50">
        <f>MAX(VLOOKUP($A36,'Mass Equivalents - States, Opt1'!$A$8:$AD$56,25,0)-$B36,0)</f>
        <v>1796897.4815160045</v>
      </c>
      <c r="I36" s="50">
        <f>MAX(VLOOKUP($A36,'Mass Equivalents - States, Opt1'!$A$8:$AD$56,26,0)-$B36,0)</f>
        <v>2087349.9270250322</v>
      </c>
      <c r="J36" s="50">
        <f>MAX(VLOOKUP($A36,'Mass Equivalents - States, Opt1'!$A$8:$AD$56,27,0)-$B36,0)</f>
        <v>2395505.054395292</v>
      </c>
      <c r="K36" s="50">
        <f>MAX(VLOOKUP($A36,'Mass Equivalents - States, Opt1'!$A$8:$AD$56,28,0)-$B36,0)</f>
        <v>2722441.8180302512</v>
      </c>
      <c r="L36" s="50">
        <f>MAX(VLOOKUP($A36,'Mass Equivalents - States, Opt1'!$A$8:$AD$56,29,0)-$B36,0)</f>
        <v>3069304.9331380911</v>
      </c>
      <c r="M36" s="46">
        <f>MAX(VLOOKUP($A36,'Mass Equivalents - States, Opt1'!$A$8:$AD$56,30,0)-$B36,0)</f>
        <v>3437308.8837633897</v>
      </c>
    </row>
    <row r="37" spans="1:13" x14ac:dyDescent="0.25">
      <c r="A37" s="57" t="s">
        <v>73</v>
      </c>
      <c r="B37" s="58">
        <v>5192427.4399999995</v>
      </c>
      <c r="D37" s="45">
        <f>MAX(VLOOKUP($A37,'Mass Equivalents - States, Opt1'!$A$8:$AD$56,21,0)-$B37,0)</f>
        <v>3151820.3819562793</v>
      </c>
      <c r="E37" s="50">
        <f>MAX(VLOOKUP($A37,'Mass Equivalents - States, Opt1'!$A$8:$AD$56,22,0)-$B37,0)</f>
        <v>4202455.7227347307</v>
      </c>
      <c r="F37" s="50">
        <f>MAX(VLOOKUP($A37,'Mass Equivalents - States, Opt1'!$A$8:$AD$56,23,0)-$B37,0)</f>
        <v>5385377.9565735869</v>
      </c>
      <c r="G37" s="50">
        <f>MAX(VLOOKUP($A37,'Mass Equivalents - States, Opt1'!$A$8:$AD$56,24,0)-$B37,0)</f>
        <v>6717243.502114363</v>
      </c>
      <c r="H37" s="50">
        <f>MAX(VLOOKUP($A37,'Mass Equivalents - States, Opt1'!$A$8:$AD$56,25,0)-$B37,0)</f>
        <v>8216806.0098220948</v>
      </c>
      <c r="I37" s="50">
        <f>MAX(VLOOKUP($A37,'Mass Equivalents - States, Opt1'!$A$8:$AD$56,26,0)-$B37,0)</f>
        <v>9905180.4272334781</v>
      </c>
      <c r="J37" s="50">
        <f>MAX(VLOOKUP($A37,'Mass Equivalents - States, Opt1'!$A$8:$AD$56,27,0)-$B37,0)</f>
        <v>11806140.313011589</v>
      </c>
      <c r="K37" s="50">
        <f>MAX(VLOOKUP($A37,'Mass Equivalents - States, Opt1'!$A$8:$AD$56,28,0)-$B37,0)</f>
        <v>13946452.586208655</v>
      </c>
      <c r="L37" s="50">
        <f>MAX(VLOOKUP($A37,'Mass Equivalents - States, Opt1'!$A$8:$AD$56,29,0)-$B37,0)</f>
        <v>16356254.4242537</v>
      </c>
      <c r="M37" s="46">
        <f>MAX(VLOOKUP($A37,'Mass Equivalents - States, Opt1'!$A$8:$AD$56,30,0)-$B37,0)</f>
        <v>19069477.616667084</v>
      </c>
    </row>
    <row r="38" spans="1:13" x14ac:dyDescent="0.25">
      <c r="A38" s="57" t="s">
        <v>76</v>
      </c>
      <c r="B38" s="58">
        <v>1738621.75</v>
      </c>
      <c r="D38" s="45">
        <f>MAX(VLOOKUP($A38,'Mass Equivalents - States, Opt1'!$A$8:$AD$56,21,0)-$B38,0)</f>
        <v>1548314.8668206702</v>
      </c>
      <c r="E38" s="50">
        <f>MAX(VLOOKUP($A38,'Mass Equivalents - States, Opt1'!$A$8:$AD$56,22,0)-$B38,0)</f>
        <v>2115610.5336537608</v>
      </c>
      <c r="F38" s="50">
        <f>MAX(VLOOKUP($A38,'Mass Equivalents - States, Opt1'!$A$8:$AD$56,23,0)-$B38,0)</f>
        <v>2780816.3250571536</v>
      </c>
      <c r="G38" s="50">
        <f>MAX(VLOOKUP($A38,'Mass Equivalents - States, Opt1'!$A$8:$AD$56,24,0)-$B38,0)</f>
        <v>3560830.6470188377</v>
      </c>
      <c r="H38" s="50">
        <f>MAX(VLOOKUP($A38,'Mass Equivalents - States, Opt1'!$A$8:$AD$56,25,0)-$B38,0)</f>
        <v>4475468.4182591476</v>
      </c>
      <c r="I38" s="50">
        <f>MAX(VLOOKUP($A38,'Mass Equivalents - States, Opt1'!$A$8:$AD$56,26,0)-$B38,0)</f>
        <v>5547964.4340701681</v>
      </c>
      <c r="J38" s="50">
        <f>MAX(VLOOKUP($A38,'Mass Equivalents - States, Opt1'!$A$8:$AD$56,27,0)-$B38,0)</f>
        <v>6805563.6062218938</v>
      </c>
      <c r="K38" s="50">
        <f>MAX(VLOOKUP($A38,'Mass Equivalents - States, Opt1'!$A$8:$AD$56,28,0)-$B38,0)</f>
        <v>8280213.0729620904</v>
      </c>
      <c r="L38" s="50">
        <f>MAX(VLOOKUP($A38,'Mass Equivalents - States, Opt1'!$A$8:$AD$56,29,0)-$B38,0)</f>
        <v>10009373.760970866</v>
      </c>
      <c r="M38" s="46">
        <f>MAX(VLOOKUP($A38,'Mass Equivalents - States, Opt1'!$A$8:$AD$56,30,0)-$B38,0)</f>
        <v>12036972.015601883</v>
      </c>
    </row>
    <row r="39" spans="1:13" x14ac:dyDescent="0.25">
      <c r="A39" s="57" t="s">
        <v>77</v>
      </c>
      <c r="B39" s="58">
        <v>8520724.0499999989</v>
      </c>
      <c r="D39" s="45">
        <f>MAX(VLOOKUP($A39,'Mass Equivalents - States, Opt1'!$A$8:$AD$56,21,0)-$B39,0)</f>
        <v>3222060.5293662082</v>
      </c>
      <c r="E39" s="50">
        <f>MAX(VLOOKUP($A39,'Mass Equivalents - States, Opt1'!$A$8:$AD$56,22,0)-$B39,0)</f>
        <v>4202428.728090765</v>
      </c>
      <c r="F39" s="50">
        <f>MAX(VLOOKUP($A39,'Mass Equivalents - States, Opt1'!$A$8:$AD$56,23,0)-$B39,0)</f>
        <v>5264644.788246695</v>
      </c>
      <c r="G39" s="50">
        <f>MAX(VLOOKUP($A39,'Mass Equivalents - States, Opt1'!$A$8:$AD$56,24,0)-$B39,0)</f>
        <v>6415541.9306887798</v>
      </c>
      <c r="H39" s="50">
        <f>MAX(VLOOKUP($A39,'Mass Equivalents - States, Opt1'!$A$8:$AD$56,25,0)-$B39,0)</f>
        <v>7058593.5760000013</v>
      </c>
      <c r="I39" s="50">
        <f>MAX(VLOOKUP($A39,'Mass Equivalents - States, Opt1'!$A$8:$AD$56,26,0)-$B39,0)</f>
        <v>7058593.5760000013</v>
      </c>
      <c r="J39" s="50">
        <f>MAX(VLOOKUP($A39,'Mass Equivalents - States, Opt1'!$A$8:$AD$56,27,0)-$B39,0)</f>
        <v>7058593.5760000013</v>
      </c>
      <c r="K39" s="50">
        <f>MAX(VLOOKUP($A39,'Mass Equivalents - States, Opt1'!$A$8:$AD$56,28,0)-$B39,0)</f>
        <v>7058593.5760000013</v>
      </c>
      <c r="L39" s="50">
        <f>MAX(VLOOKUP($A39,'Mass Equivalents - States, Opt1'!$A$8:$AD$56,29,0)-$B39,0)</f>
        <v>7058593.5760000013</v>
      </c>
      <c r="M39" s="46">
        <f>MAX(VLOOKUP($A39,'Mass Equivalents - States, Opt1'!$A$8:$AD$56,30,0)-$B39,0)</f>
        <v>7058593.5760000013</v>
      </c>
    </row>
    <row r="40" spans="1:13" x14ac:dyDescent="0.25">
      <c r="A40" s="57" t="s">
        <v>78</v>
      </c>
      <c r="B40" s="58">
        <v>7207229.3700000001</v>
      </c>
      <c r="D40" s="45">
        <f>MAX(VLOOKUP($A40,'Mass Equivalents - States, Opt1'!$A$8:$AD$56,21,0)-$B40,0)</f>
        <v>1924347.6651819767</v>
      </c>
      <c r="E40" s="50">
        <f>MAX(VLOOKUP($A40,'Mass Equivalents - States, Opt1'!$A$8:$AD$56,22,0)-$B40,0)</f>
        <v>2480904.8766795611</v>
      </c>
      <c r="F40" s="50">
        <f>MAX(VLOOKUP($A40,'Mass Equivalents - States, Opt1'!$A$8:$AD$56,23,0)-$B40,0)</f>
        <v>3071383.4939186228</v>
      </c>
      <c r="G40" s="50">
        <f>MAX(VLOOKUP($A40,'Mass Equivalents - States, Opt1'!$A$8:$AD$56,24,0)-$B40,0)</f>
        <v>3697850.9804836912</v>
      </c>
      <c r="H40" s="50">
        <f>MAX(VLOOKUP($A40,'Mass Equivalents - States, Opt1'!$A$8:$AD$56,25,0)-$B40,0)</f>
        <v>4362500.8090553181</v>
      </c>
      <c r="I40" s="50">
        <f>MAX(VLOOKUP($A40,'Mass Equivalents - States, Opt1'!$A$8:$AD$56,26,0)-$B40,0)</f>
        <v>5067660.1414932506</v>
      </c>
      <c r="J40" s="50">
        <f>MAX(VLOOKUP($A40,'Mass Equivalents - States, Opt1'!$A$8:$AD$56,27,0)-$B40,0)</f>
        <v>5360143.0018124999</v>
      </c>
      <c r="K40" s="50">
        <f>MAX(VLOOKUP($A40,'Mass Equivalents - States, Opt1'!$A$8:$AD$56,28,0)-$B40,0)</f>
        <v>5360143.0018124999</v>
      </c>
      <c r="L40" s="50">
        <f>MAX(VLOOKUP($A40,'Mass Equivalents - States, Opt1'!$A$8:$AD$56,29,0)-$B40,0)</f>
        <v>5360143.0018124999</v>
      </c>
      <c r="M40" s="46">
        <f>MAX(VLOOKUP($A40,'Mass Equivalents - States, Opt1'!$A$8:$AD$56,30,0)-$B40,0)</f>
        <v>5360143.0018124999</v>
      </c>
    </row>
    <row r="41" spans="1:13" x14ac:dyDescent="0.25">
      <c r="A41" s="57" t="s">
        <v>79</v>
      </c>
      <c r="B41" s="58">
        <v>4459117.6100000003</v>
      </c>
      <c r="D41" s="45">
        <f>MAX(VLOOKUP($A41,'Mass Equivalents - States, Opt1'!$A$8:$AD$56,21,0)-$B41,0)</f>
        <v>3971029.402148488</v>
      </c>
      <c r="E41" s="50">
        <f>MAX(VLOOKUP($A41,'Mass Equivalents - States, Opt1'!$A$8:$AD$56,22,0)-$B41,0)</f>
        <v>5425996.8774214322</v>
      </c>
      <c r="F41" s="50">
        <f>MAX(VLOOKUP($A41,'Mass Equivalents - States, Opt1'!$A$8:$AD$56,23,0)-$B41,0)</f>
        <v>7132078.6394383041</v>
      </c>
      <c r="G41" s="50">
        <f>MAX(VLOOKUP($A41,'Mass Equivalents - States, Opt1'!$A$8:$AD$56,24,0)-$B41,0)</f>
        <v>9132614.7532373853</v>
      </c>
      <c r="H41" s="50">
        <f>MAX(VLOOKUP($A41,'Mass Equivalents - States, Opt1'!$A$8:$AD$56,25,0)-$B41,0)</f>
        <v>11478425.388879564</v>
      </c>
      <c r="I41" s="50">
        <f>MAX(VLOOKUP($A41,'Mass Equivalents - States, Opt1'!$A$8:$AD$56,26,0)-$B41,0)</f>
        <v>14229101.82022972</v>
      </c>
      <c r="J41" s="50">
        <f>MAX(VLOOKUP($A41,'Mass Equivalents - States, Opt1'!$A$8:$AD$56,27,0)-$B41,0)</f>
        <v>17454520.238504533</v>
      </c>
      <c r="K41" s="50">
        <f>MAX(VLOOKUP($A41,'Mass Equivalents - States, Opt1'!$A$8:$AD$56,28,0)-$B41,0)</f>
        <v>21236616.836409349</v>
      </c>
      <c r="L41" s="50">
        <f>MAX(VLOOKUP($A41,'Mass Equivalents - States, Opt1'!$A$8:$AD$56,29,0)-$B41,0)</f>
        <v>25671469.255815495</v>
      </c>
      <c r="M41" s="46">
        <f>MAX(VLOOKUP($A41,'Mass Equivalents - States, Opt1'!$A$8:$AD$56,30,0)-$B41,0)</f>
        <v>30871737.274566807</v>
      </c>
    </row>
    <row r="42" spans="1:13" x14ac:dyDescent="0.25">
      <c r="A42" s="57" t="s">
        <v>80</v>
      </c>
      <c r="B42" s="58">
        <v>101895</v>
      </c>
      <c r="D42" s="45">
        <f>MAX(VLOOKUP($A42,'Mass Equivalents - States, Opt1'!$A$8:$AD$56,21,0)-$B42,0)</f>
        <v>61850.597149497189</v>
      </c>
      <c r="E42" s="50">
        <f>MAX(VLOOKUP($A42,'Mass Equivalents - States, Opt1'!$A$8:$AD$56,22,0)-$B42,0)</f>
        <v>82468.023061686778</v>
      </c>
      <c r="F42" s="50">
        <f>MAX(VLOOKUP($A42,'Mass Equivalents - States, Opt1'!$A$8:$AD$56,23,0)-$B42,0)</f>
        <v>105681.41649083217</v>
      </c>
      <c r="G42" s="50">
        <f>MAX(VLOOKUP($A42,'Mass Equivalents - States, Opt1'!$A$8:$AD$56,24,0)-$B42,0)</f>
        <v>131817.63915952627</v>
      </c>
      <c r="H42" s="50">
        <f>MAX(VLOOKUP($A42,'Mass Equivalents - States, Opt1'!$A$8:$AD$56,25,0)-$B42,0)</f>
        <v>161244.70838456665</v>
      </c>
      <c r="I42" s="50">
        <f>MAX(VLOOKUP($A42,'Mass Equivalents - States, Opt1'!$A$8:$AD$56,26,0)-$B42,0)</f>
        <v>194376.97903255722</v>
      </c>
      <c r="J42" s="50">
        <f>MAX(VLOOKUP($A42,'Mass Equivalents - States, Opt1'!$A$8:$AD$56,27,0)-$B42,0)</f>
        <v>231680.9779424314</v>
      </c>
      <c r="K42" s="50">
        <f>MAX(VLOOKUP($A42,'Mass Equivalents - States, Opt1'!$A$8:$AD$56,28,0)-$B42,0)</f>
        <v>273681.97296787467</v>
      </c>
      <c r="L42" s="50">
        <f>MAX(VLOOKUP($A42,'Mass Equivalents - States, Opt1'!$A$8:$AD$56,29,0)-$B42,0)</f>
        <v>320971.36913661537</v>
      </c>
      <c r="M42" s="46">
        <f>MAX(VLOOKUP($A42,'Mass Equivalents - States, Opt1'!$A$8:$AD$56,30,0)-$B42,0)</f>
        <v>374215.03606996813</v>
      </c>
    </row>
    <row r="43" spans="1:13" x14ac:dyDescent="0.25">
      <c r="A43" s="57" t="s">
        <v>81</v>
      </c>
      <c r="B43" s="58">
        <v>2143472.62</v>
      </c>
      <c r="D43" s="45">
        <f>MAX(VLOOKUP($A43,'Mass Equivalents - States, Opt1'!$A$8:$AD$56,21,0)-$B43,0)</f>
        <v>1405276.0430712006</v>
      </c>
      <c r="E43" s="50">
        <f>MAX(VLOOKUP($A43,'Mass Equivalents - States, Opt1'!$A$8:$AD$56,22,0)-$B43,0)</f>
        <v>1881978.5910934322</v>
      </c>
      <c r="F43" s="50">
        <f>MAX(VLOOKUP($A43,'Mass Equivalents - States, Opt1'!$A$8:$AD$56,23,0)-$B43,0)</f>
        <v>2422716.4768829271</v>
      </c>
      <c r="G43" s="50">
        <f>MAX(VLOOKUP($A43,'Mass Equivalents - States, Opt1'!$A$8:$AD$56,24,0)-$B43,0)</f>
        <v>3036091.5518457247</v>
      </c>
      <c r="H43" s="50">
        <f>MAX(VLOOKUP($A43,'Mass Equivalents - States, Opt1'!$A$8:$AD$56,25,0)-$B43,0)</f>
        <v>3731861.1520029446</v>
      </c>
      <c r="I43" s="50">
        <f>MAX(VLOOKUP($A43,'Mass Equivalents - States, Opt1'!$A$8:$AD$56,26,0)-$B43,0)</f>
        <v>4521093.3139591487</v>
      </c>
      <c r="J43" s="50">
        <f>MAX(VLOOKUP($A43,'Mass Equivalents - States, Opt1'!$A$8:$AD$56,27,0)-$B43,0)</f>
        <v>5416342.8409941234</v>
      </c>
      <c r="K43" s="50">
        <f>MAX(VLOOKUP($A43,'Mass Equivalents - States, Opt1'!$A$8:$AD$56,28,0)-$B43,0)</f>
        <v>6431851.0200701049</v>
      </c>
      <c r="L43" s="50">
        <f>MAX(VLOOKUP($A43,'Mass Equivalents - States, Opt1'!$A$8:$AD$56,29,0)-$B43,0)</f>
        <v>7532095.567999999</v>
      </c>
      <c r="M43" s="46">
        <f>MAX(VLOOKUP($A43,'Mass Equivalents - States, Opt1'!$A$8:$AD$56,30,0)-$B43,0)</f>
        <v>7532095.567999999</v>
      </c>
    </row>
    <row r="44" spans="1:13" x14ac:dyDescent="0.25">
      <c r="A44" s="57" t="s">
        <v>82</v>
      </c>
      <c r="B44" s="58">
        <v>2914666</v>
      </c>
      <c r="D44" s="45">
        <f>MAX(VLOOKUP($A44,'Mass Equivalents - States, Opt1'!$A$8:$AD$56,21,0)-$B44,0)</f>
        <v>0</v>
      </c>
      <c r="E44" s="50">
        <f>MAX(VLOOKUP($A44,'Mass Equivalents - States, Opt1'!$A$8:$AD$56,22,0)-$B44,0)</f>
        <v>0</v>
      </c>
      <c r="F44" s="50">
        <f>MAX(VLOOKUP($A44,'Mass Equivalents - States, Opt1'!$A$8:$AD$56,23,0)-$B44,0)</f>
        <v>0</v>
      </c>
      <c r="G44" s="50">
        <f>MAX(VLOOKUP($A44,'Mass Equivalents - States, Opt1'!$A$8:$AD$56,24,0)-$B44,0)</f>
        <v>0</v>
      </c>
      <c r="H44" s="50">
        <f>MAX(VLOOKUP($A44,'Mass Equivalents - States, Opt1'!$A$8:$AD$56,25,0)-$B44,0)</f>
        <v>0</v>
      </c>
      <c r="I44" s="50">
        <f>MAX(VLOOKUP($A44,'Mass Equivalents - States, Opt1'!$A$8:$AD$56,26,0)-$B44,0)</f>
        <v>0</v>
      </c>
      <c r="J44" s="50">
        <f>MAX(VLOOKUP($A44,'Mass Equivalents - States, Opt1'!$A$8:$AD$56,27,0)-$B44,0)</f>
        <v>0</v>
      </c>
      <c r="K44" s="50">
        <f>MAX(VLOOKUP($A44,'Mass Equivalents - States, Opt1'!$A$8:$AD$56,28,0)-$B44,0)</f>
        <v>0</v>
      </c>
      <c r="L44" s="50">
        <f>MAX(VLOOKUP($A44,'Mass Equivalents - States, Opt1'!$A$8:$AD$56,29,0)-$B44,0)</f>
        <v>0</v>
      </c>
      <c r="M44" s="46">
        <f>MAX(VLOOKUP($A44,'Mass Equivalents - States, Opt1'!$A$8:$AD$56,30,0)-$B44,0)</f>
        <v>0</v>
      </c>
    </row>
    <row r="45" spans="1:13" x14ac:dyDescent="0.25">
      <c r="A45" s="57" t="s">
        <v>83</v>
      </c>
      <c r="B45" s="58">
        <v>836457.85</v>
      </c>
      <c r="D45" s="45">
        <f>MAX(VLOOKUP($A45,'Mass Equivalents - States, Opt1'!$A$8:$AD$56,21,0)-$B45,0)</f>
        <v>548387.77350178792</v>
      </c>
      <c r="E45" s="50">
        <f>MAX(VLOOKUP($A45,'Mass Equivalents - States, Opt1'!$A$8:$AD$56,22,0)-$B45,0)</f>
        <v>734413.75054841687</v>
      </c>
      <c r="F45" s="50">
        <f>MAX(VLOOKUP($A45,'Mass Equivalents - States, Opt1'!$A$8:$AD$56,23,0)-$B45,0)</f>
        <v>945428.55201624555</v>
      </c>
      <c r="G45" s="50">
        <f>MAX(VLOOKUP($A45,'Mass Equivalents - States, Opt1'!$A$8:$AD$56,24,0)-$B45,0)</f>
        <v>1184788.9206347959</v>
      </c>
      <c r="H45" s="50">
        <f>MAX(VLOOKUP($A45,'Mass Equivalents - States, Opt1'!$A$8:$AD$56,25,0)-$B45,0)</f>
        <v>1456302.5095710834</v>
      </c>
      <c r="I45" s="50">
        <f>MAX(VLOOKUP($A45,'Mass Equivalents - States, Opt1'!$A$8:$AD$56,26,0)-$B45,0)</f>
        <v>1764288.453119426</v>
      </c>
      <c r="J45" s="50">
        <f>MAX(VLOOKUP($A45,'Mass Equivalents - States, Opt1'!$A$8:$AD$56,27,0)-$B45,0)</f>
        <v>2113646.0738373389</v>
      </c>
      <c r="K45" s="50">
        <f>MAX(VLOOKUP($A45,'Mass Equivalents - States, Opt1'!$A$8:$AD$56,28,0)-$B45,0)</f>
        <v>2509932.8190943464</v>
      </c>
      <c r="L45" s="50">
        <f>MAX(VLOOKUP($A45,'Mass Equivalents - States, Opt1'!$A$8:$AD$56,29,0)-$B45,0)</f>
        <v>2959452.6668185098</v>
      </c>
      <c r="M45" s="46">
        <f>MAX(VLOOKUP($A45,'Mass Equivalents - States, Opt1'!$A$8:$AD$56,30,0)-$B45,0)</f>
        <v>3469356.406765467</v>
      </c>
    </row>
    <row r="46" spans="1:13" x14ac:dyDescent="0.25">
      <c r="A46" s="57" t="s">
        <v>84</v>
      </c>
      <c r="B46" s="58">
        <v>34016696.530000001</v>
      </c>
      <c r="D46" s="45">
        <f>MAX(VLOOKUP($A46,'Mass Equivalents - States, Opt1'!$A$8:$AD$56,21,0)-$B46,0)</f>
        <v>12863209.110585086</v>
      </c>
      <c r="E46" s="50">
        <f>MAX(VLOOKUP($A46,'Mass Equivalents - States, Opt1'!$A$8:$AD$56,22,0)-$B46,0)</f>
        <v>16777065.175865829</v>
      </c>
      <c r="F46" s="50">
        <f>MAX(VLOOKUP($A46,'Mass Equivalents - States, Opt1'!$A$8:$AD$56,23,0)-$B46,0)</f>
        <v>21017676.790041566</v>
      </c>
      <c r="G46" s="50">
        <f>MAX(VLOOKUP($A46,'Mass Equivalents - States, Opt1'!$A$8:$AD$56,24,0)-$B46,0)</f>
        <v>25612323.747502483</v>
      </c>
      <c r="H46" s="50">
        <f>MAX(VLOOKUP($A46,'Mass Equivalents - States, Opt1'!$A$8:$AD$56,25,0)-$B46,0)</f>
        <v>30590563.346982591</v>
      </c>
      <c r="I46" s="50">
        <f>MAX(VLOOKUP($A46,'Mass Equivalents - States, Opt1'!$A$8:$AD$56,26,0)-$B46,0)</f>
        <v>35984420.533243373</v>
      </c>
      <c r="J46" s="50">
        <f>MAX(VLOOKUP($A46,'Mass Equivalents - States, Opt1'!$A$8:$AD$56,27,0)-$B46,0)</f>
        <v>41828593.913089424</v>
      </c>
      <c r="K46" s="50">
        <f>MAX(VLOOKUP($A46,'Mass Equivalents - States, Opt1'!$A$8:$AD$56,28,0)-$B46,0)</f>
        <v>48160678.971014038</v>
      </c>
      <c r="L46" s="50">
        <f>MAX(VLOOKUP($A46,'Mass Equivalents - States, Opt1'!$A$8:$AD$56,29,0)-$B46,0)</f>
        <v>51945805.428000003</v>
      </c>
      <c r="M46" s="46">
        <f>MAX(VLOOKUP($A46,'Mass Equivalents - States, Opt1'!$A$8:$AD$56,30,0)-$B46,0)</f>
        <v>51945805.428000003</v>
      </c>
    </row>
    <row r="47" spans="1:13" x14ac:dyDescent="0.25">
      <c r="A47" s="57" t="s">
        <v>85</v>
      </c>
      <c r="B47" s="58">
        <v>1099723.94</v>
      </c>
      <c r="D47" s="45">
        <f>MAX(VLOOKUP($A47,'Mass Equivalents - States, Opt1'!$A$8:$AD$56,21,0)-$B47,0)</f>
        <v>293628.9505496514</v>
      </c>
      <c r="E47" s="50">
        <f>MAX(VLOOKUP($A47,'Mass Equivalents - States, Opt1'!$A$8:$AD$56,22,0)-$B47,0)</f>
        <v>378551.91581716831</v>
      </c>
      <c r="F47" s="50">
        <f>MAX(VLOOKUP($A47,'Mass Equivalents - States, Opt1'!$A$8:$AD$56,23,0)-$B47,0)</f>
        <v>468650.82041688333</v>
      </c>
      <c r="G47" s="50">
        <f>MAX(VLOOKUP($A47,'Mass Equivalents - States, Opt1'!$A$8:$AD$56,24,0)-$B47,0)</f>
        <v>564241.1308175684</v>
      </c>
      <c r="H47" s="50">
        <f>MAX(VLOOKUP($A47,'Mass Equivalents - States, Opt1'!$A$8:$AD$56,25,0)-$B47,0)</f>
        <v>665657.54074058356</v>
      </c>
      <c r="I47" s="50">
        <f>MAX(VLOOKUP($A47,'Mass Equivalents - States, Opt1'!$A$8:$AD$56,26,0)-$B47,0)</f>
        <v>773255.14303479414</v>
      </c>
      <c r="J47" s="50">
        <f>MAX(VLOOKUP($A47,'Mass Equivalents - States, Opt1'!$A$8:$AD$56,27,0)-$B47,0)</f>
        <v>887410.67297567194</v>
      </c>
      <c r="K47" s="50">
        <f>MAX(VLOOKUP($A47,'Mass Equivalents - States, Opt1'!$A$8:$AD$56,28,0)-$B47,0)</f>
        <v>1008523.8273417875</v>
      </c>
      <c r="L47" s="50">
        <f>MAX(VLOOKUP($A47,'Mass Equivalents - States, Opt1'!$A$8:$AD$56,29,0)-$B47,0)</f>
        <v>1137018.6638872223</v>
      </c>
      <c r="M47" s="46">
        <f>MAX(VLOOKUP($A47,'Mass Equivalents - States, Opt1'!$A$8:$AD$56,30,0)-$B47,0)</f>
        <v>1273345.0861099213</v>
      </c>
    </row>
    <row r="48" spans="1:13" x14ac:dyDescent="0.25">
      <c r="A48" s="57" t="s">
        <v>86</v>
      </c>
      <c r="B48" s="58">
        <v>2358443.6</v>
      </c>
      <c r="D48" s="45">
        <f>MAX(VLOOKUP($A48,'Mass Equivalents - States, Opt1'!$A$8:$AD$56,21,0)-$B48,0)</f>
        <v>2100291.9631242757</v>
      </c>
      <c r="E48" s="50">
        <f>MAX(VLOOKUP($A48,'Mass Equivalents - States, Opt1'!$A$8:$AD$56,22,0)-$B48,0)</f>
        <v>2869829.5780484159</v>
      </c>
      <c r="F48" s="50">
        <f>MAX(VLOOKUP($A48,'Mass Equivalents - States, Opt1'!$A$8:$AD$56,23,0)-$B48,0)</f>
        <v>3772182.4569412903</v>
      </c>
      <c r="G48" s="50">
        <f>MAX(VLOOKUP($A48,'Mass Equivalents - States, Opt1'!$A$8:$AD$56,24,0)-$B48,0)</f>
        <v>4830273.3185901064</v>
      </c>
      <c r="H48" s="50">
        <f>MAX(VLOOKUP($A48,'Mass Equivalents - States, Opt1'!$A$8:$AD$56,25,0)-$B48,0)</f>
        <v>6070981.1366649549</v>
      </c>
      <c r="I48" s="50">
        <f>MAX(VLOOKUP($A48,'Mass Equivalents - States, Opt1'!$A$8:$AD$56,26,0)-$B48,0)</f>
        <v>7525823.9536922928</v>
      </c>
      <c r="J48" s="50">
        <f>MAX(VLOOKUP($A48,'Mass Equivalents - States, Opt1'!$A$8:$AD$56,27,0)-$B48,0)</f>
        <v>8833564.4560321011</v>
      </c>
      <c r="K48" s="50">
        <f>MAX(VLOOKUP($A48,'Mass Equivalents - States, Opt1'!$A$8:$AD$56,28,0)-$B48,0)</f>
        <v>8833564.4560321011</v>
      </c>
      <c r="L48" s="50">
        <f>MAX(VLOOKUP($A48,'Mass Equivalents - States, Opt1'!$A$8:$AD$56,29,0)-$B48,0)</f>
        <v>8833564.4560321011</v>
      </c>
      <c r="M48" s="46">
        <f>MAX(VLOOKUP($A48,'Mass Equivalents - States, Opt1'!$A$8:$AD$56,30,0)-$B48,0)</f>
        <v>8833564.4560321011</v>
      </c>
    </row>
    <row r="49" spans="1:13" x14ac:dyDescent="0.25">
      <c r="A49" s="57" t="s">
        <v>87</v>
      </c>
      <c r="B49" s="58">
        <v>8214350.1699999999</v>
      </c>
      <c r="D49" s="45">
        <f>MAX(VLOOKUP($A49,'Mass Equivalents - States, Opt1'!$A$8:$AD$56,21,0)-$B49,0)</f>
        <v>2193251.3534846287</v>
      </c>
      <c r="E49" s="50">
        <f>MAX(VLOOKUP($A49,'Mass Equivalents - States, Opt1'!$A$8:$AD$56,22,0)-$B49,0)</f>
        <v>2827580.5235690139</v>
      </c>
      <c r="F49" s="50">
        <f>MAX(VLOOKUP($A49,'Mass Equivalents - States, Opt1'!$A$8:$AD$56,23,0)-$B49,0)</f>
        <v>3500571.1945873089</v>
      </c>
      <c r="G49" s="50">
        <f>MAX(VLOOKUP($A49,'Mass Equivalents - States, Opt1'!$A$8:$AD$56,24,0)-$B49,0)</f>
        <v>4214579.732484756</v>
      </c>
      <c r="H49" s="50">
        <f>MAX(VLOOKUP($A49,'Mass Equivalents - States, Opt1'!$A$8:$AD$56,25,0)-$B49,0)</f>
        <v>4972106.120508926</v>
      </c>
      <c r="I49" s="50">
        <f>MAX(VLOOKUP($A49,'Mass Equivalents - States, Opt1'!$A$8:$AD$56,26,0)-$B49,0)</f>
        <v>5775802.7124891281</v>
      </c>
      <c r="J49" s="50">
        <f>MAX(VLOOKUP($A49,'Mass Equivalents - States, Opt1'!$A$8:$AD$56,27,0)-$B49,0)</f>
        <v>6628483.5196163151</v>
      </c>
      <c r="K49" s="50">
        <f>MAX(VLOOKUP($A49,'Mass Equivalents - States, Opt1'!$A$8:$AD$56,28,0)-$B49,0)</f>
        <v>7533134.0632395986</v>
      </c>
      <c r="L49" s="50">
        <f>MAX(VLOOKUP($A49,'Mass Equivalents - States, Opt1'!$A$8:$AD$56,29,0)-$B49,0)</f>
        <v>8492921.8281773292</v>
      </c>
      <c r="M49" s="46">
        <f>MAX(VLOOKUP($A49,'Mass Equivalents - States, Opt1'!$A$8:$AD$56,30,0)-$B49,0)</f>
        <v>9511207.3531432766</v>
      </c>
    </row>
    <row r="50" spans="1:13" x14ac:dyDescent="0.25">
      <c r="A50" s="57" t="s">
        <v>89</v>
      </c>
      <c r="B50" s="58">
        <v>3223177.8900000006</v>
      </c>
      <c r="D50" s="45">
        <f>MAX(VLOOKUP($A50,'Mass Equivalents - States, Opt1'!$A$8:$AD$56,21,0)-$B50,0)</f>
        <v>843183.73801254574</v>
      </c>
      <c r="E50" s="50">
        <f>MAX(VLOOKUP($A50,'Mass Equivalents - States, Opt1'!$A$8:$AD$56,22,0)-$B50,0)</f>
        <v>1086416.8188892081</v>
      </c>
      <c r="F50" s="50">
        <f>MAX(VLOOKUP($A50,'Mass Equivalents - States, Opt1'!$A$8:$AD$56,23,0)-$B50,0)</f>
        <v>1344199.1054305099</v>
      </c>
      <c r="G50" s="50">
        <f>MAX(VLOOKUP($A50,'Mass Equivalents - States, Opt1'!$A$8:$AD$56,24,0)-$B50,0)</f>
        <v>1617400.871468897</v>
      </c>
      <c r="H50" s="50">
        <f>MAX(VLOOKUP($A50,'Mass Equivalents - States, Opt1'!$A$8:$AD$56,25,0)-$B50,0)</f>
        <v>1906944.4470494268</v>
      </c>
      <c r="I50" s="50">
        <f>MAX(VLOOKUP($A50,'Mass Equivalents - States, Opt1'!$A$8:$AD$56,26,0)-$B50,0)</f>
        <v>2213807.332218986</v>
      </c>
      <c r="J50" s="50">
        <f>MAX(VLOOKUP($A50,'Mass Equivalents - States, Opt1'!$A$8:$AD$56,27,0)-$B50,0)</f>
        <v>2539025.4970696038</v>
      </c>
      <c r="K50" s="50">
        <f>MAX(VLOOKUP($A50,'Mass Equivalents - States, Opt1'!$A$8:$AD$56,28,0)-$B50,0)</f>
        <v>2883696.8791768309</v>
      </c>
      <c r="L50" s="50">
        <f>MAX(VLOOKUP($A50,'Mass Equivalents - States, Opt1'!$A$8:$AD$56,29,0)-$B50,0)</f>
        <v>3248985.0902405456</v>
      </c>
      <c r="M50" s="46">
        <f>MAX(VLOOKUP($A50,'Mass Equivalents - States, Opt1'!$A$8:$AD$56,30,0)-$B50,0)</f>
        <v>3636123.3444418106</v>
      </c>
    </row>
    <row r="51" spans="1:13" x14ac:dyDescent="0.25">
      <c r="A51" s="57" t="s">
        <v>88</v>
      </c>
      <c r="B51" s="58">
        <v>1296562.95</v>
      </c>
      <c r="D51" s="45">
        <f>MAX(VLOOKUP($A51,'Mass Equivalents - States, Opt1'!$A$8:$AD$56,21,0)-$B51,0)</f>
        <v>1154643.1483753526</v>
      </c>
      <c r="E51" s="50">
        <f>MAX(VLOOKUP($A51,'Mass Equivalents - States, Opt1'!$A$8:$AD$56,22,0)-$B51,0)</f>
        <v>1577699.2520455897</v>
      </c>
      <c r="F51" s="50">
        <f>MAX(VLOOKUP($A51,'Mass Equivalents - States, Opt1'!$A$8:$AD$56,23,0)-$B51,0)</f>
        <v>2073771.0303142488</v>
      </c>
      <c r="G51" s="50">
        <f>MAX(VLOOKUP($A51,'Mass Equivalents - States, Opt1'!$A$8:$AD$56,24,0)-$B51,0)</f>
        <v>2655460.3312360225</v>
      </c>
      <c r="H51" s="50">
        <f>MAX(VLOOKUP($A51,'Mass Equivalents - States, Opt1'!$A$8:$AD$56,25,0)-$B51,0)</f>
        <v>3337543.9683818016</v>
      </c>
      <c r="I51" s="50">
        <f>MAX(VLOOKUP($A51,'Mass Equivalents - States, Opt1'!$A$8:$AD$56,26,0)-$B51,0)</f>
        <v>4137349.1003049379</v>
      </c>
      <c r="J51" s="50">
        <f>MAX(VLOOKUP($A51,'Mass Equivalents - States, Opt1'!$A$8:$AD$56,27,0)-$B51,0)</f>
        <v>5075193.3971237252</v>
      </c>
      <c r="K51" s="50">
        <f>MAX(VLOOKUP($A51,'Mass Equivalents - States, Opt1'!$A$8:$AD$56,28,0)-$B51,0)</f>
        <v>6174901.1758930841</v>
      </c>
      <c r="L51" s="50">
        <f>MAX(VLOOKUP($A51,'Mass Equivalents - States, Opt1'!$A$8:$AD$56,29,0)-$B51,0)</f>
        <v>7464408.6162944762</v>
      </c>
      <c r="M51" s="46">
        <f>MAX(VLOOKUP($A51,'Mass Equivalents - States, Opt1'!$A$8:$AD$56,30,0)-$B51,0)</f>
        <v>8976473.4311049692</v>
      </c>
    </row>
    <row r="52" spans="1:13" ht="15.75" thickBot="1" x14ac:dyDescent="0.3">
      <c r="A52" s="59" t="s">
        <v>90</v>
      </c>
      <c r="B52" s="60">
        <v>4369107</v>
      </c>
      <c r="D52" s="47">
        <f>MAX(VLOOKUP($A52,'Mass Equivalents - States, Opt1'!$A$8:$AD$56,21,0)-$B52,0)</f>
        <v>1166562.1312646288</v>
      </c>
      <c r="E52" s="51">
        <f>MAX(VLOOKUP($A52,'Mass Equivalents - States, Opt1'!$A$8:$AD$56,22,0)-$B52,0)</f>
        <v>1503953.6424570326</v>
      </c>
      <c r="F52" s="51">
        <f>MAX(VLOOKUP($A52,'Mass Equivalents - States, Opt1'!$A$8:$AD$56,23,0)-$B52,0)</f>
        <v>1861908.7077791048</v>
      </c>
      <c r="G52" s="51">
        <f>MAX(VLOOKUP($A52,'Mass Equivalents - States, Opt1'!$A$8:$AD$56,24,0)-$B52,0)</f>
        <v>2241680.6479114676</v>
      </c>
      <c r="H52" s="51">
        <f>MAX(VLOOKUP($A52,'Mass Equivalents - States, Opt1'!$A$8:$AD$56,25,0)-$B52,0)</f>
        <v>2644599.1717271032</v>
      </c>
      <c r="I52" s="51">
        <f>MAX(VLOOKUP($A52,'Mass Equivalents - States, Opt1'!$A$8:$AD$56,26,0)-$B52,0)</f>
        <v>3072075.0320478771</v>
      </c>
      <c r="J52" s="51">
        <f>MAX(VLOOKUP($A52,'Mass Equivalents - States, Opt1'!$A$8:$AD$56,27,0)-$B52,0)</f>
        <v>3525604.9651630903</v>
      </c>
      <c r="K52" s="51">
        <f>MAX(VLOOKUP($A52,'Mass Equivalents - States, Opt1'!$A$8:$AD$56,28,0)-$B52,0)</f>
        <v>4006776.931404979</v>
      </c>
      <c r="L52" s="51">
        <f>MAX(VLOOKUP($A52,'Mass Equivalents - States, Opt1'!$A$8:$AD$56,29,0)-$B52,0)</f>
        <v>4517275.675130168</v>
      </c>
      <c r="M52" s="48">
        <f>MAX(VLOOKUP($A52,'Mass Equivalents - States, Opt1'!$A$8:$AD$56,30,0)-$B52,0)</f>
        <v>5058888.6235744376</v>
      </c>
    </row>
    <row r="53" spans="1:13" x14ac:dyDescent="0.25">
      <c r="A53" s="134" t="s">
        <v>186</v>
      </c>
      <c r="B53" s="135">
        <v>0</v>
      </c>
      <c r="D53" s="232" t="s">
        <v>196</v>
      </c>
      <c r="E53" s="233"/>
      <c r="F53" s="233"/>
      <c r="G53" s="233"/>
      <c r="H53" s="233"/>
      <c r="I53" s="233"/>
      <c r="J53" s="233"/>
      <c r="K53" s="233"/>
      <c r="L53" s="233"/>
      <c r="M53" s="234"/>
    </row>
    <row r="54" spans="1:13" ht="15.75" thickBot="1" x14ac:dyDescent="0.3">
      <c r="A54" s="136" t="s">
        <v>187</v>
      </c>
      <c r="B54" s="137">
        <v>0</v>
      </c>
      <c r="D54" s="235"/>
      <c r="E54" s="236"/>
      <c r="F54" s="236"/>
      <c r="G54" s="236"/>
      <c r="H54" s="236"/>
      <c r="I54" s="236"/>
      <c r="J54" s="236"/>
      <c r="K54" s="236"/>
      <c r="L54" s="236"/>
      <c r="M54" s="237"/>
    </row>
    <row r="55" spans="1:13" x14ac:dyDescent="0.25">
      <c r="A55" s="138" t="s">
        <v>188</v>
      </c>
      <c r="B55" s="139">
        <v>0</v>
      </c>
      <c r="D55" s="232" t="s">
        <v>196</v>
      </c>
      <c r="E55" s="233"/>
      <c r="F55" s="233"/>
      <c r="G55" s="233"/>
      <c r="H55" s="233"/>
      <c r="I55" s="233"/>
      <c r="J55" s="233"/>
      <c r="K55" s="233"/>
      <c r="L55" s="233"/>
      <c r="M55" s="234"/>
    </row>
    <row r="56" spans="1:13" x14ac:dyDescent="0.25">
      <c r="A56" s="34" t="s">
        <v>189</v>
      </c>
      <c r="B56" s="133">
        <v>0</v>
      </c>
      <c r="D56" s="238"/>
      <c r="E56" s="239"/>
      <c r="F56" s="239"/>
      <c r="G56" s="239"/>
      <c r="H56" s="239"/>
      <c r="I56" s="239"/>
      <c r="J56" s="239"/>
      <c r="K56" s="239"/>
      <c r="L56" s="239"/>
      <c r="M56" s="240"/>
    </row>
    <row r="57" spans="1:13" ht="15.75" thickBot="1" x14ac:dyDescent="0.3">
      <c r="A57" s="136" t="s">
        <v>190</v>
      </c>
      <c r="B57" s="137">
        <v>0</v>
      </c>
      <c r="D57" s="235"/>
      <c r="E57" s="236"/>
      <c r="F57" s="236"/>
      <c r="G57" s="236"/>
      <c r="H57" s="236"/>
      <c r="I57" s="236"/>
      <c r="J57" s="236"/>
      <c r="K57" s="236"/>
      <c r="L57" s="236"/>
      <c r="M57" s="237"/>
    </row>
  </sheetData>
  <mergeCells count="4">
    <mergeCell ref="D2:M2"/>
    <mergeCell ref="D53:M54"/>
    <mergeCell ref="D55:M57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workbookViewId="0">
      <selection activeCell="G6" sqref="G6"/>
    </sheetView>
  </sheetViews>
  <sheetFormatPr defaultRowHeight="15" x14ac:dyDescent="0.25"/>
  <cols>
    <col min="2" max="2" width="15.28515625" bestFit="1" customWidth="1"/>
    <col min="4" max="4" width="14.28515625" bestFit="1" customWidth="1"/>
  </cols>
  <sheetData>
    <row r="2" spans="2:4" ht="15.75" thickBot="1" x14ac:dyDescent="0.3"/>
    <row r="3" spans="2:4" ht="18.75" x14ac:dyDescent="0.3">
      <c r="B3" s="257" t="s">
        <v>146</v>
      </c>
      <c r="C3" s="258"/>
      <c r="D3" s="259"/>
    </row>
    <row r="4" spans="2:4" x14ac:dyDescent="0.25">
      <c r="B4" s="260"/>
      <c r="C4" s="261" t="s">
        <v>140</v>
      </c>
      <c r="D4" s="262" t="s">
        <v>147</v>
      </c>
    </row>
    <row r="5" spans="2:4" x14ac:dyDescent="0.25">
      <c r="B5" s="38" t="s">
        <v>42</v>
      </c>
      <c r="C5" s="34"/>
      <c r="D5" s="46">
        <f>C5*8784*0.9</f>
        <v>0</v>
      </c>
    </row>
    <row r="6" spans="2:4" x14ac:dyDescent="0.25">
      <c r="B6" s="38" t="s">
        <v>43</v>
      </c>
      <c r="C6" s="34"/>
      <c r="D6" s="46">
        <f t="shared" ref="D6:D58" si="0">C6*8784*0.9</f>
        <v>0</v>
      </c>
    </row>
    <row r="7" spans="2:4" x14ac:dyDescent="0.25">
      <c r="B7" s="38" t="s">
        <v>44</v>
      </c>
      <c r="C7" s="34"/>
      <c r="D7" s="46">
        <f t="shared" si="0"/>
        <v>0</v>
      </c>
    </row>
    <row r="8" spans="2:4" x14ac:dyDescent="0.25">
      <c r="B8" s="38" t="s">
        <v>45</v>
      </c>
      <c r="C8" s="34"/>
      <c r="D8" s="46">
        <f t="shared" si="0"/>
        <v>0</v>
      </c>
    </row>
    <row r="9" spans="2:4" x14ac:dyDescent="0.25">
      <c r="B9" s="38" t="s">
        <v>46</v>
      </c>
      <c r="C9" s="34"/>
      <c r="D9" s="46">
        <f t="shared" si="0"/>
        <v>0</v>
      </c>
    </row>
    <row r="10" spans="2:4" x14ac:dyDescent="0.25">
      <c r="B10" s="38" t="s">
        <v>47</v>
      </c>
      <c r="C10" s="34"/>
      <c r="D10" s="46">
        <f t="shared" si="0"/>
        <v>0</v>
      </c>
    </row>
    <row r="11" spans="2:4" x14ac:dyDescent="0.25">
      <c r="B11" s="38" t="s">
        <v>48</v>
      </c>
      <c r="C11" s="34"/>
      <c r="D11" s="46">
        <f t="shared" si="0"/>
        <v>0</v>
      </c>
    </row>
    <row r="12" spans="2:4" x14ac:dyDescent="0.25">
      <c r="B12" s="38" t="s">
        <v>49</v>
      </c>
      <c r="C12" s="34"/>
      <c r="D12" s="46">
        <f t="shared" si="0"/>
        <v>0</v>
      </c>
    </row>
    <row r="13" spans="2:4" x14ac:dyDescent="0.25">
      <c r="B13" s="38" t="s">
        <v>50</v>
      </c>
      <c r="C13" s="34"/>
      <c r="D13" s="46">
        <f t="shared" si="0"/>
        <v>0</v>
      </c>
    </row>
    <row r="14" spans="2:4" x14ac:dyDescent="0.25">
      <c r="B14" s="38" t="s">
        <v>51</v>
      </c>
      <c r="C14" s="34">
        <v>2200</v>
      </c>
      <c r="D14" s="46">
        <f t="shared" si="0"/>
        <v>17392320</v>
      </c>
    </row>
    <row r="15" spans="2:4" x14ac:dyDescent="0.25">
      <c r="B15" s="38" t="s">
        <v>53</v>
      </c>
      <c r="C15" s="34"/>
      <c r="D15" s="46">
        <f t="shared" si="0"/>
        <v>0</v>
      </c>
    </row>
    <row r="16" spans="2:4" x14ac:dyDescent="0.25">
      <c r="B16" s="38" t="s">
        <v>52</v>
      </c>
      <c r="C16" s="34"/>
      <c r="D16" s="46">
        <f t="shared" si="0"/>
        <v>0</v>
      </c>
    </row>
    <row r="17" spans="2:4" x14ac:dyDescent="0.25">
      <c r="B17" s="38" t="s">
        <v>54</v>
      </c>
      <c r="C17" s="34"/>
      <c r="D17" s="46">
        <f t="shared" si="0"/>
        <v>0</v>
      </c>
    </row>
    <row r="18" spans="2:4" x14ac:dyDescent="0.25">
      <c r="B18" s="38" t="s">
        <v>55</v>
      </c>
      <c r="C18" s="34"/>
      <c r="D18" s="46">
        <f t="shared" si="0"/>
        <v>0</v>
      </c>
    </row>
    <row r="19" spans="2:4" x14ac:dyDescent="0.25">
      <c r="B19" s="38" t="s">
        <v>56</v>
      </c>
      <c r="C19" s="34"/>
      <c r="D19" s="46">
        <f t="shared" si="0"/>
        <v>0</v>
      </c>
    </row>
    <row r="20" spans="2:4" x14ac:dyDescent="0.25">
      <c r="B20" s="38" t="s">
        <v>57</v>
      </c>
      <c r="C20" s="34"/>
      <c r="D20" s="46">
        <f t="shared" si="0"/>
        <v>0</v>
      </c>
    </row>
    <row r="21" spans="2:4" x14ac:dyDescent="0.25">
      <c r="B21" s="38" t="s">
        <v>58</v>
      </c>
      <c r="C21" s="34"/>
      <c r="D21" s="46">
        <f t="shared" si="0"/>
        <v>0</v>
      </c>
    </row>
    <row r="22" spans="2:4" x14ac:dyDescent="0.25">
      <c r="B22" s="38" t="s">
        <v>59</v>
      </c>
      <c r="C22" s="34"/>
      <c r="D22" s="46">
        <f t="shared" si="0"/>
        <v>0</v>
      </c>
    </row>
    <row r="23" spans="2:4" x14ac:dyDescent="0.25">
      <c r="B23" s="38" t="s">
        <v>60</v>
      </c>
      <c r="C23" s="34"/>
      <c r="D23" s="46">
        <f t="shared" si="0"/>
        <v>0</v>
      </c>
    </row>
    <row r="24" spans="2:4" x14ac:dyDescent="0.25">
      <c r="B24" s="38" t="s">
        <v>61</v>
      </c>
      <c r="C24" s="34"/>
      <c r="D24" s="46">
        <f t="shared" si="0"/>
        <v>0</v>
      </c>
    </row>
    <row r="25" spans="2:4" x14ac:dyDescent="0.25">
      <c r="B25" s="38" t="s">
        <v>62</v>
      </c>
      <c r="C25" s="34"/>
      <c r="D25" s="46">
        <f t="shared" si="0"/>
        <v>0</v>
      </c>
    </row>
    <row r="26" spans="2:4" x14ac:dyDescent="0.25">
      <c r="B26" s="38" t="s">
        <v>63</v>
      </c>
      <c r="C26" s="34"/>
      <c r="D26" s="46">
        <f t="shared" si="0"/>
        <v>0</v>
      </c>
    </row>
    <row r="27" spans="2:4" x14ac:dyDescent="0.25">
      <c r="B27" s="38" t="s">
        <v>64</v>
      </c>
      <c r="C27" s="34"/>
      <c r="D27" s="46">
        <f t="shared" si="0"/>
        <v>0</v>
      </c>
    </row>
    <row r="28" spans="2:4" x14ac:dyDescent="0.25">
      <c r="B28" s="38" t="s">
        <v>65</v>
      </c>
      <c r="C28" s="34"/>
      <c r="D28" s="46">
        <f t="shared" si="0"/>
        <v>0</v>
      </c>
    </row>
    <row r="29" spans="2:4" x14ac:dyDescent="0.25">
      <c r="B29" s="38" t="s">
        <v>66</v>
      </c>
      <c r="C29" s="34"/>
      <c r="D29" s="46">
        <f t="shared" si="0"/>
        <v>0</v>
      </c>
    </row>
    <row r="30" spans="2:4" x14ac:dyDescent="0.25">
      <c r="B30" s="38" t="s">
        <v>67</v>
      </c>
      <c r="C30" s="34"/>
      <c r="D30" s="46">
        <f t="shared" si="0"/>
        <v>0</v>
      </c>
    </row>
    <row r="31" spans="2:4" x14ac:dyDescent="0.25">
      <c r="B31" s="38" t="s">
        <v>68</v>
      </c>
      <c r="C31" s="34"/>
      <c r="D31" s="46">
        <f t="shared" si="0"/>
        <v>0</v>
      </c>
    </row>
    <row r="32" spans="2:4" x14ac:dyDescent="0.25">
      <c r="B32" s="38" t="s">
        <v>69</v>
      </c>
      <c r="C32" s="34"/>
      <c r="D32" s="46">
        <f t="shared" si="0"/>
        <v>0</v>
      </c>
    </row>
    <row r="33" spans="2:4" x14ac:dyDescent="0.25">
      <c r="B33" s="38" t="s">
        <v>70</v>
      </c>
      <c r="C33" s="34"/>
      <c r="D33" s="46">
        <f t="shared" si="0"/>
        <v>0</v>
      </c>
    </row>
    <row r="34" spans="2:4" x14ac:dyDescent="0.25">
      <c r="B34" s="38" t="s">
        <v>71</v>
      </c>
      <c r="C34" s="34"/>
      <c r="D34" s="46">
        <f t="shared" si="0"/>
        <v>0</v>
      </c>
    </row>
    <row r="35" spans="2:4" x14ac:dyDescent="0.25">
      <c r="B35" s="38" t="s">
        <v>72</v>
      </c>
      <c r="C35" s="34"/>
      <c r="D35" s="46">
        <f t="shared" si="0"/>
        <v>0</v>
      </c>
    </row>
    <row r="36" spans="2:4" x14ac:dyDescent="0.25">
      <c r="B36" s="38" t="s">
        <v>73</v>
      </c>
      <c r="C36" s="34"/>
      <c r="D36" s="46">
        <f t="shared" si="0"/>
        <v>0</v>
      </c>
    </row>
    <row r="37" spans="2:4" x14ac:dyDescent="0.25">
      <c r="B37" s="38" t="s">
        <v>74</v>
      </c>
      <c r="C37" s="34"/>
      <c r="D37" s="46">
        <f t="shared" si="0"/>
        <v>0</v>
      </c>
    </row>
    <row r="38" spans="2:4" x14ac:dyDescent="0.25">
      <c r="B38" s="38" t="s">
        <v>75</v>
      </c>
      <c r="C38" s="34"/>
      <c r="D38" s="46">
        <f t="shared" si="0"/>
        <v>0</v>
      </c>
    </row>
    <row r="39" spans="2:4" x14ac:dyDescent="0.25">
      <c r="B39" s="38" t="s">
        <v>76</v>
      </c>
      <c r="C39" s="34"/>
      <c r="D39" s="46">
        <f t="shared" si="0"/>
        <v>0</v>
      </c>
    </row>
    <row r="40" spans="2:4" x14ac:dyDescent="0.25">
      <c r="B40" s="38" t="s">
        <v>77</v>
      </c>
      <c r="C40" s="34"/>
      <c r="D40" s="46">
        <f t="shared" si="0"/>
        <v>0</v>
      </c>
    </row>
    <row r="41" spans="2:4" x14ac:dyDescent="0.25">
      <c r="B41" s="38" t="s">
        <v>78</v>
      </c>
      <c r="C41" s="34"/>
      <c r="D41" s="46">
        <f t="shared" si="0"/>
        <v>0</v>
      </c>
    </row>
    <row r="42" spans="2:4" x14ac:dyDescent="0.25">
      <c r="B42" s="38" t="s">
        <v>79</v>
      </c>
      <c r="C42" s="34"/>
      <c r="D42" s="46">
        <f t="shared" si="0"/>
        <v>0</v>
      </c>
    </row>
    <row r="43" spans="2:4" x14ac:dyDescent="0.25">
      <c r="B43" s="38" t="s">
        <v>80</v>
      </c>
      <c r="C43" s="34"/>
      <c r="D43" s="46">
        <f t="shared" si="0"/>
        <v>0</v>
      </c>
    </row>
    <row r="44" spans="2:4" x14ac:dyDescent="0.25">
      <c r="B44" s="38" t="s">
        <v>81</v>
      </c>
      <c r="C44" s="34">
        <v>2200</v>
      </c>
      <c r="D44" s="46">
        <f t="shared" si="0"/>
        <v>17392320</v>
      </c>
    </row>
    <row r="45" spans="2:4" x14ac:dyDescent="0.25">
      <c r="B45" s="38" t="s">
        <v>82</v>
      </c>
      <c r="C45" s="34"/>
      <c r="D45" s="46">
        <f t="shared" si="0"/>
        <v>0</v>
      </c>
    </row>
    <row r="46" spans="2:4" x14ac:dyDescent="0.25">
      <c r="B46" s="38" t="s">
        <v>83</v>
      </c>
      <c r="C46" s="34">
        <v>1122</v>
      </c>
      <c r="D46" s="46">
        <f t="shared" si="0"/>
        <v>8870083.2000000011</v>
      </c>
    </row>
    <row r="47" spans="2:4" x14ac:dyDescent="0.25">
      <c r="B47" s="38" t="s">
        <v>84</v>
      </c>
      <c r="C47" s="34"/>
      <c r="D47" s="46">
        <f t="shared" si="0"/>
        <v>0</v>
      </c>
    </row>
    <row r="48" spans="2:4" x14ac:dyDescent="0.25">
      <c r="B48" s="38" t="s">
        <v>85</v>
      </c>
      <c r="C48" s="34"/>
      <c r="D48" s="46">
        <f t="shared" si="0"/>
        <v>0</v>
      </c>
    </row>
    <row r="49" spans="2:4" x14ac:dyDescent="0.25">
      <c r="B49" s="38" t="s">
        <v>86</v>
      </c>
      <c r="C49" s="34"/>
      <c r="D49" s="46">
        <f t="shared" si="0"/>
        <v>0</v>
      </c>
    </row>
    <row r="50" spans="2:4" x14ac:dyDescent="0.25">
      <c r="B50" s="38" t="s">
        <v>87</v>
      </c>
      <c r="C50" s="34"/>
      <c r="D50" s="46">
        <f t="shared" si="0"/>
        <v>0</v>
      </c>
    </row>
    <row r="51" spans="2:4" x14ac:dyDescent="0.25">
      <c r="B51" s="38" t="s">
        <v>88</v>
      </c>
      <c r="C51" s="34"/>
      <c r="D51" s="46">
        <f t="shared" si="0"/>
        <v>0</v>
      </c>
    </row>
    <row r="52" spans="2:4" x14ac:dyDescent="0.25">
      <c r="B52" s="38" t="s">
        <v>89</v>
      </c>
      <c r="C52" s="34"/>
      <c r="D52" s="46">
        <f t="shared" si="0"/>
        <v>0</v>
      </c>
    </row>
    <row r="53" spans="2:4" ht="15.75" thickBot="1" x14ac:dyDescent="0.3">
      <c r="B53" s="40" t="s">
        <v>90</v>
      </c>
      <c r="C53" s="62"/>
      <c r="D53" s="127">
        <f t="shared" si="0"/>
        <v>0</v>
      </c>
    </row>
    <row r="54" spans="2:4" x14ac:dyDescent="0.25">
      <c r="B54" s="123" t="s">
        <v>186</v>
      </c>
      <c r="C54" s="122"/>
      <c r="D54" s="130">
        <f t="shared" si="0"/>
        <v>0</v>
      </c>
    </row>
    <row r="55" spans="2:4" ht="15.75" thickBot="1" x14ac:dyDescent="0.3">
      <c r="B55" s="61" t="s">
        <v>187</v>
      </c>
      <c r="C55" s="62"/>
      <c r="D55" s="127">
        <f t="shared" si="0"/>
        <v>0</v>
      </c>
    </row>
    <row r="56" spans="2:4" x14ac:dyDescent="0.25">
      <c r="B56" s="123" t="s">
        <v>188</v>
      </c>
      <c r="C56" s="122"/>
      <c r="D56" s="130">
        <f t="shared" si="0"/>
        <v>0</v>
      </c>
    </row>
    <row r="57" spans="2:4" x14ac:dyDescent="0.25">
      <c r="B57" s="49" t="s">
        <v>189</v>
      </c>
      <c r="C57" s="35"/>
      <c r="D57" s="131">
        <f t="shared" si="0"/>
        <v>0</v>
      </c>
    </row>
    <row r="58" spans="2:4" ht="15.75" thickBot="1" x14ac:dyDescent="0.3">
      <c r="B58" s="61" t="s">
        <v>190</v>
      </c>
      <c r="C58" s="62"/>
      <c r="D58" s="127">
        <f t="shared" si="0"/>
        <v>0</v>
      </c>
    </row>
  </sheetData>
  <mergeCells count="1">
    <mergeCell ref="B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19"/>
  <sheetViews>
    <sheetView workbookViewId="0"/>
  </sheetViews>
  <sheetFormatPr defaultRowHeight="15" x14ac:dyDescent="0.25"/>
  <cols>
    <col min="1" max="1" width="15.28515625" bestFit="1" customWidth="1"/>
    <col min="2" max="2" width="31.85546875" bestFit="1" customWidth="1"/>
    <col min="3" max="3" width="12.5703125" bestFit="1" customWidth="1"/>
    <col min="4" max="4" width="26.85546875" customWidth="1"/>
    <col min="5" max="5" width="16.140625" customWidth="1"/>
    <col min="6" max="6" width="18.7109375" bestFit="1" customWidth="1"/>
    <col min="7" max="7" width="13" customWidth="1"/>
    <col min="8" max="8" width="12.7109375" customWidth="1"/>
    <col min="9" max="9" width="17.5703125" customWidth="1"/>
    <col min="10" max="10" width="16.140625" customWidth="1"/>
    <col min="11" max="12" width="10.85546875" customWidth="1"/>
    <col min="13" max="28" width="11.5703125" bestFit="1" customWidth="1"/>
    <col min="30" max="32" width="18" customWidth="1"/>
    <col min="33" max="33" width="15.28515625" bestFit="1" customWidth="1"/>
    <col min="34" max="38" width="17.85546875" customWidth="1"/>
    <col min="39" max="43" width="18.140625" customWidth="1"/>
  </cols>
  <sheetData>
    <row r="2" spans="1:43" ht="21.75" thickBot="1" x14ac:dyDescent="0.4">
      <c r="A2" s="94" t="s">
        <v>174</v>
      </c>
      <c r="F2" s="94"/>
      <c r="K2" s="94"/>
      <c r="AD2" s="94"/>
      <c r="AG2" s="94"/>
    </row>
    <row r="3" spans="1:43" ht="21" x14ac:dyDescent="0.35">
      <c r="A3" s="263"/>
      <c r="B3" s="264" t="s">
        <v>154</v>
      </c>
      <c r="C3" s="264" t="s">
        <v>153</v>
      </c>
      <c r="D3" s="265" t="s">
        <v>155</v>
      </c>
      <c r="F3" s="241"/>
      <c r="G3" s="264" t="s">
        <v>143</v>
      </c>
      <c r="H3" s="264" t="s">
        <v>142</v>
      </c>
      <c r="I3" s="265" t="s">
        <v>141</v>
      </c>
      <c r="J3" s="54"/>
      <c r="K3" s="249" t="s">
        <v>173</v>
      </c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1"/>
      <c r="AD3" s="249" t="s">
        <v>139</v>
      </c>
      <c r="AE3" s="251"/>
      <c r="AF3" s="81"/>
      <c r="AG3" s="241"/>
      <c r="AH3" s="250" t="s">
        <v>170</v>
      </c>
      <c r="AI3" s="250"/>
      <c r="AJ3" s="250"/>
      <c r="AK3" s="250"/>
      <c r="AL3" s="250"/>
      <c r="AM3" s="250"/>
      <c r="AN3" s="250"/>
      <c r="AO3" s="250"/>
      <c r="AP3" s="250"/>
      <c r="AQ3" s="251"/>
    </row>
    <row r="4" spans="1:43" ht="28.5" customHeight="1" x14ac:dyDescent="0.25">
      <c r="A4" s="266"/>
      <c r="B4" s="267"/>
      <c r="C4" s="267"/>
      <c r="D4" s="268"/>
      <c r="E4" s="53"/>
      <c r="F4" s="269"/>
      <c r="G4" s="270"/>
      <c r="H4" s="270"/>
      <c r="I4" s="271"/>
      <c r="J4" s="54"/>
      <c r="K4" s="272">
        <v>2012</v>
      </c>
      <c r="L4" s="261">
        <v>2013</v>
      </c>
      <c r="M4" s="273">
        <v>2014</v>
      </c>
      <c r="N4" s="261">
        <v>2015</v>
      </c>
      <c r="O4" s="273">
        <v>2016</v>
      </c>
      <c r="P4" s="261">
        <v>2017</v>
      </c>
      <c r="Q4" s="273">
        <v>2018</v>
      </c>
      <c r="R4" s="261">
        <v>2019</v>
      </c>
      <c r="S4" s="273">
        <v>2020</v>
      </c>
      <c r="T4" s="261">
        <v>2021</v>
      </c>
      <c r="U4" s="273">
        <v>2022</v>
      </c>
      <c r="V4" s="261">
        <v>2023</v>
      </c>
      <c r="W4" s="273">
        <v>2024</v>
      </c>
      <c r="X4" s="261">
        <v>2025</v>
      </c>
      <c r="Y4" s="273">
        <v>2026</v>
      </c>
      <c r="Z4" s="261">
        <v>2027</v>
      </c>
      <c r="AA4" s="273">
        <v>2028</v>
      </c>
      <c r="AB4" s="262">
        <v>2029</v>
      </c>
      <c r="AD4" s="260" t="s">
        <v>140</v>
      </c>
      <c r="AE4" s="262" t="s">
        <v>98</v>
      </c>
      <c r="AF4" s="52"/>
      <c r="AG4" s="269"/>
      <c r="AH4" s="261">
        <v>2020</v>
      </c>
      <c r="AI4" s="261">
        <v>2021</v>
      </c>
      <c r="AJ4" s="261">
        <v>2022</v>
      </c>
      <c r="AK4" s="261">
        <v>2023</v>
      </c>
      <c r="AL4" s="261">
        <v>2024</v>
      </c>
      <c r="AM4" s="261">
        <v>2025</v>
      </c>
      <c r="AN4" s="261">
        <v>2026</v>
      </c>
      <c r="AO4" s="261">
        <v>2027</v>
      </c>
      <c r="AP4" s="261">
        <v>2028</v>
      </c>
      <c r="AQ4" s="262">
        <v>2029</v>
      </c>
    </row>
    <row r="5" spans="1:43" x14ac:dyDescent="0.25">
      <c r="A5" s="38" t="s">
        <v>42</v>
      </c>
      <c r="B5" s="37" t="s">
        <v>119</v>
      </c>
      <c r="C5" s="37" t="s">
        <v>99</v>
      </c>
      <c r="D5" s="39">
        <v>1.0826506809531011E-2</v>
      </c>
      <c r="E5" s="36"/>
      <c r="F5" s="49" t="s">
        <v>42</v>
      </c>
      <c r="G5" s="43">
        <v>86238.592999999993</v>
      </c>
      <c r="H5" s="141">
        <v>7.51E-2</v>
      </c>
      <c r="I5" s="39">
        <f t="shared" ref="I5:I36" si="0">VLOOKUP(F5,$A$5:$D$53,4,0)</f>
        <v>1.0826506809531011E-2</v>
      </c>
      <c r="J5" s="88"/>
      <c r="K5" s="45">
        <f t="shared" ref="K5:K36" si="1">G5*(1+$H5)</f>
        <v>92715.111334299989</v>
      </c>
      <c r="L5" s="50">
        <f>K5*(1+$I5)</f>
        <v>93718.89211850721</v>
      </c>
      <c r="M5" s="50">
        <f t="shared" ref="M5:AB5" si="2">L5*(1+$I5)</f>
        <v>94733.540342209933</v>
      </c>
      <c r="N5" s="50">
        <f t="shared" si="2"/>
        <v>95759.173661815847</v>
      </c>
      <c r="O5" s="50">
        <f t="shared" si="2"/>
        <v>96795.911007540562</v>
      </c>
      <c r="P5" s="50">
        <f t="shared" si="2"/>
        <v>97843.872597198453</v>
      </c>
      <c r="Q5" s="50">
        <f t="shared" si="2"/>
        <v>98903.179950142905</v>
      </c>
      <c r="R5" s="50">
        <f t="shared" si="2"/>
        <v>99973.955901357403</v>
      </c>
      <c r="S5" s="50">
        <f t="shared" si="2"/>
        <v>101056.3246156992</v>
      </c>
      <c r="T5" s="50">
        <f t="shared" si="2"/>
        <v>102150.41160229724</v>
      </c>
      <c r="U5" s="50">
        <f t="shared" si="2"/>
        <v>103256.34372910591</v>
      </c>
      <c r="V5" s="50">
        <f t="shared" si="2"/>
        <v>104374.24923761634</v>
      </c>
      <c r="W5" s="50">
        <f t="shared" si="2"/>
        <v>105504.25775772709</v>
      </c>
      <c r="X5" s="50">
        <f t="shared" si="2"/>
        <v>106646.50032277564</v>
      </c>
      <c r="Y5" s="50">
        <f t="shared" si="2"/>
        <v>107801.10938473282</v>
      </c>
      <c r="Z5" s="50">
        <f t="shared" si="2"/>
        <v>108968.21882956162</v>
      </c>
      <c r="AA5" s="50">
        <f t="shared" si="2"/>
        <v>110147.96399274234</v>
      </c>
      <c r="AB5" s="46">
        <f t="shared" si="2"/>
        <v>111340.48167496575</v>
      </c>
      <c r="AD5" s="45">
        <f>VLOOKUP(F5,'Mass Equivalents - States, Opt1'!$A$8:$K$56,11,0)</f>
        <v>0</v>
      </c>
      <c r="AE5" s="46">
        <f>AD5*8760*0.55*10^-3</f>
        <v>0</v>
      </c>
      <c r="AF5" s="50"/>
      <c r="AG5" s="49" t="s">
        <v>42</v>
      </c>
      <c r="AH5" s="50">
        <f>(S5-$K5-$AE5)*10^3</f>
        <v>8341213.2813992063</v>
      </c>
      <c r="AI5" s="50">
        <f t="shared" ref="AI5:AQ5" si="3">(T5-$K5-$AE5)*10^3</f>
        <v>9435300.2679972555</v>
      </c>
      <c r="AJ5" s="50">
        <f t="shared" si="3"/>
        <v>10541232.394805919</v>
      </c>
      <c r="AK5" s="50">
        <f t="shared" si="3"/>
        <v>11659137.903316354</v>
      </c>
      <c r="AL5" s="50">
        <f t="shared" si="3"/>
        <v>12789146.423427097</v>
      </c>
      <c r="AM5" s="50">
        <f t="shared" si="3"/>
        <v>13931388.988475651</v>
      </c>
      <c r="AN5" s="50">
        <f t="shared" si="3"/>
        <v>15085998.050432827</v>
      </c>
      <c r="AO5" s="50">
        <f t="shared" si="3"/>
        <v>16253107.495261632</v>
      </c>
      <c r="AP5" s="50">
        <f t="shared" si="3"/>
        <v>17432852.658442352</v>
      </c>
      <c r="AQ5" s="46">
        <f t="shared" si="3"/>
        <v>18625370.340665758</v>
      </c>
    </row>
    <row r="6" spans="1:43" x14ac:dyDescent="0.25">
      <c r="A6" s="38" t="s">
        <v>43</v>
      </c>
      <c r="B6" s="37" t="s">
        <v>138</v>
      </c>
      <c r="C6" s="37" t="s">
        <v>137</v>
      </c>
      <c r="D6" s="39">
        <v>7.9927933275139029E-3</v>
      </c>
      <c r="E6" s="36"/>
      <c r="F6" s="49" t="s">
        <v>43</v>
      </c>
      <c r="G6" s="43">
        <v>6417.9279999999999</v>
      </c>
      <c r="H6" s="141">
        <v>7.51E-2</v>
      </c>
      <c r="I6" s="39">
        <f t="shared" si="0"/>
        <v>7.9927933275139029E-3</v>
      </c>
      <c r="J6" s="88"/>
      <c r="K6" s="45">
        <f t="shared" si="1"/>
        <v>6899.9143927999994</v>
      </c>
      <c r="L6" s="50">
        <f t="shared" ref="L6:AB6" si="4">K6*(1+$I6)</f>
        <v>6955.0639825191884</v>
      </c>
      <c r="M6" s="50">
        <f t="shared" si="4"/>
        <v>7010.6543715111002</v>
      </c>
      <c r="N6" s="50">
        <f t="shared" si="4"/>
        <v>7066.6890829932199</v>
      </c>
      <c r="O6" s="50">
        <f t="shared" si="4"/>
        <v>7123.1716683433833</v>
      </c>
      <c r="P6" s="50">
        <f t="shared" si="4"/>
        <v>7180.1057073248539</v>
      </c>
      <c r="Q6" s="50">
        <f t="shared" si="4"/>
        <v>7237.4948083132049</v>
      </c>
      <c r="R6" s="50">
        <f t="shared" si="4"/>
        <v>7295.3426085250076</v>
      </c>
      <c r="S6" s="50">
        <f t="shared" si="4"/>
        <v>7353.652774248354</v>
      </c>
      <c r="T6" s="50">
        <f t="shared" si="4"/>
        <v>7412.4290010752202</v>
      </c>
      <c r="U6" s="50">
        <f t="shared" si="4"/>
        <v>7471.6750141356852</v>
      </c>
      <c r="V6" s="50">
        <f t="shared" si="4"/>
        <v>7531.3945683340216</v>
      </c>
      <c r="W6" s="50">
        <f t="shared" si="4"/>
        <v>7591.5914485866761</v>
      </c>
      <c r="X6" s="50">
        <f t="shared" si="4"/>
        <v>7652.2694700621514</v>
      </c>
      <c r="Y6" s="50">
        <f t="shared" si="4"/>
        <v>7713.4324784228029</v>
      </c>
      <c r="Z6" s="50">
        <f t="shared" si="4"/>
        <v>7775.0843500685696</v>
      </c>
      <c r="AA6" s="50">
        <f t="shared" si="4"/>
        <v>7837.2289923826556</v>
      </c>
      <c r="AB6" s="46">
        <f t="shared" si="4"/>
        <v>7899.8703439791707</v>
      </c>
      <c r="AD6" s="45">
        <f>VLOOKUP(F6,'Mass Equivalents - States, Opt1'!$A$8:$K$56,11,0)</f>
        <v>0</v>
      </c>
      <c r="AE6" s="46">
        <f t="shared" ref="AE6:AE58" si="5">AD6*8760*0.55*10^-3</f>
        <v>0</v>
      </c>
      <c r="AF6" s="50"/>
      <c r="AG6" s="49" t="s">
        <v>43</v>
      </c>
      <c r="AH6" s="50">
        <f t="shared" ref="AH6:AH53" si="6">(S6-$K6-$AE6)*10^3</f>
        <v>453738.38144835463</v>
      </c>
      <c r="AI6" s="50">
        <f t="shared" ref="AI6:AI53" si="7">(T6-$K6-$AE6)*10^3</f>
        <v>512514.60827522079</v>
      </c>
      <c r="AJ6" s="50">
        <f t="shared" ref="AJ6:AJ53" si="8">(U6-$K6-$AE6)*10^3</f>
        <v>571760.62133568572</v>
      </c>
      <c r="AK6" s="50">
        <f t="shared" ref="AK6:AK53" si="9">(V6-$K6-$AE6)*10^3</f>
        <v>631480.17553402227</v>
      </c>
      <c r="AL6" s="50">
        <f t="shared" ref="AL6:AL53" si="10">(W6-$K6-$AE6)*10^3</f>
        <v>691677.0557866767</v>
      </c>
      <c r="AM6" s="50">
        <f t="shared" ref="AM6:AM53" si="11">(X6-$K6-$AE6)*10^3</f>
        <v>752355.07726215199</v>
      </c>
      <c r="AN6" s="50">
        <f t="shared" ref="AN6:AN53" si="12">(Y6-$K6-$AE6)*10^3</f>
        <v>813518.08562280354</v>
      </c>
      <c r="AO6" s="50">
        <f t="shared" ref="AO6:AO53" si="13">(Z6-$K6-$AE6)*10^3</f>
        <v>875169.9572685702</v>
      </c>
      <c r="AP6" s="50">
        <f t="shared" ref="AP6:AP53" si="14">(AA6-$K6-$AE6)*10^3</f>
        <v>937314.59958265629</v>
      </c>
      <c r="AQ6" s="46">
        <f t="shared" ref="AQ6:AQ53" si="15">(AB6-$K6-$AE6)*10^3</f>
        <v>999955.95117917133</v>
      </c>
    </row>
    <row r="7" spans="1:43" x14ac:dyDescent="0.25">
      <c r="A7" s="38" t="s">
        <v>44</v>
      </c>
      <c r="B7" s="37" t="s">
        <v>120</v>
      </c>
      <c r="C7" s="37" t="s">
        <v>100</v>
      </c>
      <c r="D7" s="39">
        <v>1.3085992711217465E-2</v>
      </c>
      <c r="E7" s="36"/>
      <c r="F7" s="49" t="s">
        <v>44</v>
      </c>
      <c r="G7" s="43">
        <v>76274.51400000001</v>
      </c>
      <c r="H7" s="141">
        <v>7.51E-2</v>
      </c>
      <c r="I7" s="39">
        <f t="shared" si="0"/>
        <v>1.3085992711217465E-2</v>
      </c>
      <c r="J7" s="88"/>
      <c r="K7" s="45">
        <f t="shared" si="1"/>
        <v>82002.730001400007</v>
      </c>
      <c r="L7" s="50">
        <f t="shared" ref="L7:AB7" si="16">K7*(1+$I7)</f>
        <v>83075.817128498267</v>
      </c>
      <c r="M7" s="50">
        <f t="shared" si="16"/>
        <v>84162.94666592023</v>
      </c>
      <c r="N7" s="50">
        <f t="shared" si="16"/>
        <v>85264.302372545048</v>
      </c>
      <c r="O7" s="50">
        <f t="shared" si="16"/>
        <v>86380.070411919209</v>
      </c>
      <c r="P7" s="50">
        <f t="shared" si="16"/>
        <v>87510.439383724035</v>
      </c>
      <c r="Q7" s="50">
        <f t="shared" si="16"/>
        <v>88655.600355654882</v>
      </c>
      <c r="R7" s="50">
        <f t="shared" si="16"/>
        <v>89815.746895717588</v>
      </c>
      <c r="S7" s="50">
        <f t="shared" si="16"/>
        <v>90991.075104947507</v>
      </c>
      <c r="T7" s="50">
        <f t="shared" si="16"/>
        <v>92181.783650556696</v>
      </c>
      <c r="U7" s="50">
        <f t="shared" si="16"/>
        <v>93388.07379951491</v>
      </c>
      <c r="V7" s="50">
        <f t="shared" si="16"/>
        <v>94610.149452569996</v>
      </c>
      <c r="W7" s="50">
        <f t="shared" si="16"/>
        <v>95848.217178713516</v>
      </c>
      <c r="X7" s="50">
        <f t="shared" si="16"/>
        <v>97102.486250097354</v>
      </c>
      <c r="Y7" s="50">
        <f t="shared" si="16"/>
        <v>98373.168677407215</v>
      </c>
      <c r="Z7" s="50">
        <f t="shared" si="16"/>
        <v>99660.479245699127</v>
      </c>
      <c r="AA7" s="50">
        <f t="shared" si="16"/>
        <v>100964.63555070478</v>
      </c>
      <c r="AB7" s="46">
        <f t="shared" si="16"/>
        <v>102285.85803561204</v>
      </c>
      <c r="AD7" s="45">
        <f>VLOOKUP(F7,'Mass Equivalents - States, Opt1'!$A$8:$K$56,11,0)</f>
        <v>0</v>
      </c>
      <c r="AE7" s="46">
        <f t="shared" si="5"/>
        <v>0</v>
      </c>
      <c r="AF7" s="50"/>
      <c r="AG7" s="49" t="s">
        <v>44</v>
      </c>
      <c r="AH7" s="50">
        <f t="shared" si="6"/>
        <v>8988345.1035475004</v>
      </c>
      <c r="AI7" s="50">
        <f t="shared" si="7"/>
        <v>10179053.64915669</v>
      </c>
      <c r="AJ7" s="50">
        <f t="shared" si="8"/>
        <v>11385343.798114903</v>
      </c>
      <c r="AK7" s="50">
        <f t="shared" si="9"/>
        <v>12607419.45116999</v>
      </c>
      <c r="AL7" s="50">
        <f t="shared" si="10"/>
        <v>13845487.177313508</v>
      </c>
      <c r="AM7" s="50">
        <f t="shared" si="11"/>
        <v>15099756.248697348</v>
      </c>
      <c r="AN7" s="50">
        <f t="shared" si="12"/>
        <v>16370438.676007207</v>
      </c>
      <c r="AO7" s="50">
        <f t="shared" si="13"/>
        <v>17657749.244299121</v>
      </c>
      <c r="AP7" s="50">
        <f t="shared" si="14"/>
        <v>18961905.54930478</v>
      </c>
      <c r="AQ7" s="46">
        <f t="shared" si="15"/>
        <v>20283128.03421203</v>
      </c>
    </row>
    <row r="8" spans="1:43" x14ac:dyDescent="0.25">
      <c r="A8" s="38" t="s">
        <v>45</v>
      </c>
      <c r="B8" s="37" t="s">
        <v>121</v>
      </c>
      <c r="C8" s="37" t="s">
        <v>101</v>
      </c>
      <c r="D8" s="39">
        <v>9.0169291290624898E-3</v>
      </c>
      <c r="E8" s="36"/>
      <c r="F8" s="49" t="s">
        <v>45</v>
      </c>
      <c r="G8" s="43">
        <v>46912.103999999999</v>
      </c>
      <c r="H8" s="141">
        <v>7.51E-2</v>
      </c>
      <c r="I8" s="39">
        <f t="shared" si="0"/>
        <v>9.0169291290624898E-3</v>
      </c>
      <c r="J8" s="88"/>
      <c r="K8" s="45">
        <f t="shared" si="1"/>
        <v>50435.203010399993</v>
      </c>
      <c r="L8" s="50">
        <f t="shared" ref="L8:AB8" si="17">K8*(1+$I8)</f>
        <v>50889.97366155465</v>
      </c>
      <c r="M8" s="50">
        <f t="shared" si="17"/>
        <v>51348.844947440746</v>
      </c>
      <c r="N8" s="50">
        <f t="shared" si="17"/>
        <v>51811.853843191035</v>
      </c>
      <c r="O8" s="50">
        <f t="shared" si="17"/>
        <v>52279.037657340436</v>
      </c>
      <c r="P8" s="50">
        <f t="shared" si="17"/>
        <v>52750.434034832266</v>
      </c>
      <c r="Q8" s="50">
        <f t="shared" si="17"/>
        <v>53226.080960051637</v>
      </c>
      <c r="R8" s="50">
        <f t="shared" si="17"/>
        <v>53706.016759886166</v>
      </c>
      <c r="S8" s="50">
        <f t="shared" si="17"/>
        <v>54190.280106814302</v>
      </c>
      <c r="T8" s="50">
        <f t="shared" si="17"/>
        <v>54678.91002202149</v>
      </c>
      <c r="U8" s="50">
        <f t="shared" si="17"/>
        <v>55171.945878544444</v>
      </c>
      <c r="V8" s="50">
        <f t="shared" si="17"/>
        <v>55669.427404443748</v>
      </c>
      <c r="W8" s="50">
        <f t="shared" si="17"/>
        <v>56171.394686005107</v>
      </c>
      <c r="X8" s="50">
        <f t="shared" si="17"/>
        <v>56677.888170969411</v>
      </c>
      <c r="Y8" s="50">
        <f t="shared" si="17"/>
        <v>57188.948671791972</v>
      </c>
      <c r="Z8" s="50">
        <f t="shared" si="17"/>
        <v>57704.617368931111</v>
      </c>
      <c r="AA8" s="50">
        <f t="shared" si="17"/>
        <v>58224.935814166434</v>
      </c>
      <c r="AB8" s="46">
        <f t="shared" si="17"/>
        <v>58749.945933946983</v>
      </c>
      <c r="AD8" s="45">
        <f>VLOOKUP(F8,'Mass Equivalents - States, Opt1'!$A$8:$K$56,11,0)</f>
        <v>0</v>
      </c>
      <c r="AE8" s="46">
        <f t="shared" si="5"/>
        <v>0</v>
      </c>
      <c r="AF8" s="50"/>
      <c r="AG8" s="49" t="s">
        <v>45</v>
      </c>
      <c r="AH8" s="50">
        <f t="shared" si="6"/>
        <v>3755077.0964143085</v>
      </c>
      <c r="AI8" s="50">
        <f t="shared" si="7"/>
        <v>4243707.0116214966</v>
      </c>
      <c r="AJ8" s="50">
        <f t="shared" si="8"/>
        <v>4736742.8681444507</v>
      </c>
      <c r="AK8" s="50">
        <f t="shared" si="9"/>
        <v>5234224.3940437548</v>
      </c>
      <c r="AL8" s="50">
        <f t="shared" si="10"/>
        <v>5736191.6756051145</v>
      </c>
      <c r="AM8" s="50">
        <f t="shared" si="11"/>
        <v>6242685.1605694173</v>
      </c>
      <c r="AN8" s="50">
        <f t="shared" si="12"/>
        <v>6753745.6613919782</v>
      </c>
      <c r="AO8" s="50">
        <f t="shared" si="13"/>
        <v>7269414.3585311174</v>
      </c>
      <c r="AP8" s="50">
        <f t="shared" si="14"/>
        <v>7789732.8037664406</v>
      </c>
      <c r="AQ8" s="46">
        <f t="shared" si="15"/>
        <v>8314742.9235469904</v>
      </c>
    </row>
    <row r="9" spans="1:43" x14ac:dyDescent="0.25">
      <c r="A9" s="38" t="s">
        <v>46</v>
      </c>
      <c r="B9" s="37" t="s">
        <v>122</v>
      </c>
      <c r="C9" s="37" t="s">
        <v>102</v>
      </c>
      <c r="D9" s="39">
        <v>9.1628599896571572E-3</v>
      </c>
      <c r="E9" s="36"/>
      <c r="F9" s="49" t="s">
        <v>46</v>
      </c>
      <c r="G9" s="43">
        <v>262823.777</v>
      </c>
      <c r="H9" s="141">
        <v>7.51E-2</v>
      </c>
      <c r="I9" s="39">
        <f t="shared" si="0"/>
        <v>9.1628599896571572E-3</v>
      </c>
      <c r="J9" s="88"/>
      <c r="K9" s="45">
        <f t="shared" si="1"/>
        <v>282561.84265269997</v>
      </c>
      <c r="L9" s="50">
        <f t="shared" ref="L9:AB9" si="18">K9*(1+$I9)</f>
        <v>285150.9172553462</v>
      </c>
      <c r="M9" s="50">
        <f t="shared" si="18"/>
        <v>287763.71518607927</v>
      </c>
      <c r="N9" s="50">
        <f t="shared" si="18"/>
        <v>290400.45381843287</v>
      </c>
      <c r="O9" s="50">
        <f t="shared" si="18"/>
        <v>293061.35251770407</v>
      </c>
      <c r="P9" s="50">
        <f t="shared" si="18"/>
        <v>295746.63265920337</v>
      </c>
      <c r="Q9" s="50">
        <f t="shared" si="18"/>
        <v>298456.5176466722</v>
      </c>
      <c r="R9" s="50">
        <f t="shared" si="18"/>
        <v>301191.23293086933</v>
      </c>
      <c r="S9" s="50">
        <f t="shared" si="18"/>
        <v>303951.0060283271</v>
      </c>
      <c r="T9" s="50">
        <f t="shared" si="18"/>
        <v>306736.06654028012</v>
      </c>
      <c r="U9" s="50">
        <f t="shared" si="18"/>
        <v>309546.64617176686</v>
      </c>
      <c r="V9" s="50">
        <f t="shared" si="18"/>
        <v>312382.97875090671</v>
      </c>
      <c r="W9" s="50">
        <f t="shared" si="18"/>
        <v>315245.30024835333</v>
      </c>
      <c r="X9" s="50">
        <f t="shared" si="18"/>
        <v>318133.84879692644</v>
      </c>
      <c r="Y9" s="50">
        <f t="shared" si="18"/>
        <v>321048.86471142346</v>
      </c>
      <c r="Z9" s="50">
        <f t="shared" si="18"/>
        <v>323990.59050861263</v>
      </c>
      <c r="AA9" s="50">
        <f t="shared" si="18"/>
        <v>326959.27092740941</v>
      </c>
      <c r="AB9" s="46">
        <f t="shared" si="18"/>
        <v>329955.15294923761</v>
      </c>
      <c r="AD9" s="45">
        <f>VLOOKUP(F9,'Mass Equivalents - States, Opt1'!$A$8:$K$56,11,0)</f>
        <v>1855.2</v>
      </c>
      <c r="AE9" s="46">
        <f t="shared" si="5"/>
        <v>8938.3536000000022</v>
      </c>
      <c r="AF9" s="50"/>
      <c r="AG9" s="49" t="s">
        <v>46</v>
      </c>
      <c r="AH9" s="50">
        <f t="shared" si="6"/>
        <v>12450809.775627131</v>
      </c>
      <c r="AI9" s="50">
        <f t="shared" si="7"/>
        <v>15235870.287580153</v>
      </c>
      <c r="AJ9" s="50">
        <f t="shared" si="8"/>
        <v>18046449.919066887</v>
      </c>
      <c r="AK9" s="50">
        <f t="shared" si="9"/>
        <v>20882782.498206738</v>
      </c>
      <c r="AL9" s="50">
        <f t="shared" si="10"/>
        <v>23745103.995653365</v>
      </c>
      <c r="AM9" s="50">
        <f t="shared" si="11"/>
        <v>26633652.544226468</v>
      </c>
      <c r="AN9" s="50">
        <f t="shared" si="12"/>
        <v>29548668.458723493</v>
      </c>
      <c r="AO9" s="50">
        <f t="shared" si="13"/>
        <v>32490394.255912658</v>
      </c>
      <c r="AP9" s="50">
        <f t="shared" si="14"/>
        <v>35459074.674709439</v>
      </c>
      <c r="AQ9" s="46">
        <f t="shared" si="15"/>
        <v>38454956.696537644</v>
      </c>
    </row>
    <row r="10" spans="1:43" x14ac:dyDescent="0.25">
      <c r="A10" s="38" t="s">
        <v>47</v>
      </c>
      <c r="B10" s="37" t="s">
        <v>123</v>
      </c>
      <c r="C10" s="37" t="s">
        <v>103</v>
      </c>
      <c r="D10" s="39">
        <v>1.2838414723762348E-2</v>
      </c>
      <c r="E10" s="36"/>
      <c r="F10" s="49" t="s">
        <v>47</v>
      </c>
      <c r="G10" s="43">
        <v>54144.661</v>
      </c>
      <c r="H10" s="141">
        <v>7.51E-2</v>
      </c>
      <c r="I10" s="39">
        <f t="shared" si="0"/>
        <v>1.2838414723762348E-2</v>
      </c>
      <c r="J10" s="88"/>
      <c r="K10" s="45">
        <f t="shared" si="1"/>
        <v>58210.925041099996</v>
      </c>
      <c r="L10" s="50">
        <f t="shared" ref="L10:AB10" si="19">K10*(1+$I10)</f>
        <v>58958.261038231482</v>
      </c>
      <c r="M10" s="50">
        <f t="shared" si="19"/>
        <v>59715.191644832135</v>
      </c>
      <c r="N10" s="50">
        <f t="shared" si="19"/>
        <v>60481.840040477437</v>
      </c>
      <c r="O10" s="50">
        <f t="shared" si="19"/>
        <v>61258.330986173343</v>
      </c>
      <c r="P10" s="50">
        <f t="shared" si="19"/>
        <v>62044.790844659336</v>
      </c>
      <c r="Q10" s="50">
        <f t="shared" si="19"/>
        <v>62841.347600972163</v>
      </c>
      <c r="R10" s="50">
        <f t="shared" si="19"/>
        <v>63648.130883273552</v>
      </c>
      <c r="S10" s="50">
        <f t="shared" si="19"/>
        <v>64465.271983945328</v>
      </c>
      <c r="T10" s="50">
        <f t="shared" si="19"/>
        <v>65292.903880955353</v>
      </c>
      <c r="U10" s="50">
        <f t="shared" si="19"/>
        <v>66131.161259497807</v>
      </c>
      <c r="V10" s="50">
        <f t="shared" si="19"/>
        <v>66980.180533911247</v>
      </c>
      <c r="W10" s="50">
        <f t="shared" si="19"/>
        <v>67840.099869878075</v>
      </c>
      <c r="X10" s="50">
        <f t="shared" si="19"/>
        <v>68711.05920690902</v>
      </c>
      <c r="Y10" s="50">
        <f t="shared" si="19"/>
        <v>69593.200281116311</v>
      </c>
      <c r="Z10" s="50">
        <f t="shared" si="19"/>
        <v>70486.666648279133</v>
      </c>
      <c r="AA10" s="50">
        <f t="shared" si="19"/>
        <v>71391.60370720533</v>
      </c>
      <c r="AB10" s="46">
        <f t="shared" si="19"/>
        <v>72308.158723392917</v>
      </c>
      <c r="AD10" s="45">
        <f>VLOOKUP(F10,'Mass Equivalents - States, Opt1'!$A$8:$K$56,11,0)</f>
        <v>200</v>
      </c>
      <c r="AE10" s="46">
        <f t="shared" si="5"/>
        <v>963.60000000000014</v>
      </c>
      <c r="AF10" s="50"/>
      <c r="AG10" s="49" t="s">
        <v>47</v>
      </c>
      <c r="AH10" s="50">
        <f t="shared" si="6"/>
        <v>5290746.9428453315</v>
      </c>
      <c r="AI10" s="50">
        <f t="shared" si="7"/>
        <v>6118378.8398553571</v>
      </c>
      <c r="AJ10" s="50">
        <f t="shared" si="8"/>
        <v>6956636.2183978111</v>
      </c>
      <c r="AK10" s="50">
        <f t="shared" si="9"/>
        <v>7805655.4928112505</v>
      </c>
      <c r="AL10" s="50">
        <f t="shared" si="10"/>
        <v>8665574.8287780788</v>
      </c>
      <c r="AM10" s="50">
        <f t="shared" si="11"/>
        <v>9536534.1658090241</v>
      </c>
      <c r="AN10" s="50">
        <f t="shared" si="12"/>
        <v>10418675.240016315</v>
      </c>
      <c r="AO10" s="50">
        <f t="shared" si="13"/>
        <v>11312141.607179137</v>
      </c>
      <c r="AP10" s="50">
        <f t="shared" si="14"/>
        <v>12217078.666105334</v>
      </c>
      <c r="AQ10" s="46">
        <f t="shared" si="15"/>
        <v>13133633.682292921</v>
      </c>
    </row>
    <row r="11" spans="1:43" x14ac:dyDescent="0.25">
      <c r="A11" s="38" t="s">
        <v>48</v>
      </c>
      <c r="B11" s="37" t="s">
        <v>124</v>
      </c>
      <c r="C11" s="37" t="s">
        <v>104</v>
      </c>
      <c r="D11" s="39">
        <v>2.8959581528922307E-3</v>
      </c>
      <c r="E11" s="36"/>
      <c r="F11" s="49" t="s">
        <v>48</v>
      </c>
      <c r="G11" s="43">
        <v>29843.811999999998</v>
      </c>
      <c r="H11" s="141">
        <v>7.51E-2</v>
      </c>
      <c r="I11" s="39">
        <f t="shared" si="0"/>
        <v>2.8959581528922307E-3</v>
      </c>
      <c r="J11" s="88"/>
      <c r="K11" s="45">
        <f t="shared" si="1"/>
        <v>32085.082281199997</v>
      </c>
      <c r="L11" s="50">
        <f t="shared" ref="L11:AB11" si="20">K11*(1+$I11)</f>
        <v>32177.999336818455</v>
      </c>
      <c r="M11" s="50">
        <f t="shared" si="20"/>
        <v>32271.185476341674</v>
      </c>
      <c r="N11" s="50">
        <f t="shared" si="20"/>
        <v>32364.641479025384</v>
      </c>
      <c r="O11" s="50">
        <f t="shared" si="20"/>
        <v>32458.368126382</v>
      </c>
      <c r="P11" s="50">
        <f t="shared" si="20"/>
        <v>32552.366202187171</v>
      </c>
      <c r="Q11" s="50">
        <f t="shared" si="20"/>
        <v>32646.63649248633</v>
      </c>
      <c r="R11" s="50">
        <f t="shared" si="20"/>
        <v>32741.179785601256</v>
      </c>
      <c r="S11" s="50">
        <f t="shared" si="20"/>
        <v>32835.996872136675</v>
      </c>
      <c r="T11" s="50">
        <f t="shared" si="20"/>
        <v>32931.08854498688</v>
      </c>
      <c r="U11" s="50">
        <f t="shared" si="20"/>
        <v>33026.455599342349</v>
      </c>
      <c r="V11" s="50">
        <f t="shared" si="20"/>
        <v>33122.0988326964</v>
      </c>
      <c r="W11" s="50">
        <f t="shared" si="20"/>
        <v>33218.019044851848</v>
      </c>
      <c r="X11" s="50">
        <f t="shared" si="20"/>
        <v>33314.217037927716</v>
      </c>
      <c r="Y11" s="50">
        <f t="shared" si="20"/>
        <v>33410.693616365927</v>
      </c>
      <c r="Z11" s="50">
        <f t="shared" si="20"/>
        <v>33507.449586938026</v>
      </c>
      <c r="AA11" s="50">
        <f t="shared" si="20"/>
        <v>33604.485758751944</v>
      </c>
      <c r="AB11" s="46">
        <f t="shared" si="20"/>
        <v>33701.80294325875</v>
      </c>
      <c r="AD11" s="45">
        <f>VLOOKUP(F11,'Mass Equivalents - States, Opt1'!$A$8:$K$56,11,0)</f>
        <v>0</v>
      </c>
      <c r="AE11" s="46">
        <f t="shared" si="5"/>
        <v>0</v>
      </c>
      <c r="AF11" s="50"/>
      <c r="AG11" s="49" t="s">
        <v>48</v>
      </c>
      <c r="AH11" s="50">
        <f t="shared" si="6"/>
        <v>750914.590936678</v>
      </c>
      <c r="AI11" s="50">
        <f t="shared" si="7"/>
        <v>846006.26378688321</v>
      </c>
      <c r="AJ11" s="50">
        <f t="shared" si="8"/>
        <v>941373.31814235216</v>
      </c>
      <c r="AK11" s="50">
        <f t="shared" si="9"/>
        <v>1037016.5514964028</v>
      </c>
      <c r="AL11" s="50">
        <f t="shared" si="10"/>
        <v>1132936.7636518509</v>
      </c>
      <c r="AM11" s="50">
        <f t="shared" si="11"/>
        <v>1229134.756727719</v>
      </c>
      <c r="AN11" s="50">
        <f t="shared" si="12"/>
        <v>1325611.3351659295</v>
      </c>
      <c r="AO11" s="50">
        <f t="shared" si="13"/>
        <v>1422367.3057380293</v>
      </c>
      <c r="AP11" s="50">
        <f t="shared" si="14"/>
        <v>1519403.4775519466</v>
      </c>
      <c r="AQ11" s="46">
        <f t="shared" si="15"/>
        <v>1616720.662058753</v>
      </c>
    </row>
    <row r="12" spans="1:43" x14ac:dyDescent="0.25">
      <c r="A12" s="38" t="s">
        <v>49</v>
      </c>
      <c r="B12" s="37" t="s">
        <v>125</v>
      </c>
      <c r="C12" s="37" t="s">
        <v>105</v>
      </c>
      <c r="D12" s="39">
        <v>5.5101388998850531E-3</v>
      </c>
      <c r="E12" s="36"/>
      <c r="F12" s="49" t="s">
        <v>49</v>
      </c>
      <c r="G12" s="43">
        <v>11530.091</v>
      </c>
      <c r="H12" s="141">
        <v>7.51E-2</v>
      </c>
      <c r="I12" s="39">
        <f t="shared" si="0"/>
        <v>5.5101388998850531E-3</v>
      </c>
      <c r="J12" s="88"/>
      <c r="K12" s="45">
        <f t="shared" si="1"/>
        <v>12396.000834099999</v>
      </c>
      <c r="L12" s="50">
        <f t="shared" ref="L12:AB12" si="21">K12*(1+$I12)</f>
        <v>12464.304520498981</v>
      </c>
      <c r="M12" s="50">
        <f t="shared" si="21"/>
        <v>12532.984569697395</v>
      </c>
      <c r="N12" s="50">
        <f t="shared" si="21"/>
        <v>12602.043055506543</v>
      </c>
      <c r="O12" s="50">
        <f t="shared" si="21"/>
        <v>12671.482063164716</v>
      </c>
      <c r="P12" s="50">
        <f t="shared" si="21"/>
        <v>12741.303689400156</v>
      </c>
      <c r="Q12" s="50">
        <f t="shared" si="21"/>
        <v>12811.510042494368</v>
      </c>
      <c r="R12" s="50">
        <f t="shared" si="21"/>
        <v>12882.103242345785</v>
      </c>
      <c r="S12" s="50">
        <f t="shared" si="21"/>
        <v>12953.085420533771</v>
      </c>
      <c r="T12" s="50">
        <f t="shared" si="21"/>
        <v>13024.458720382989</v>
      </c>
      <c r="U12" s="50">
        <f t="shared" si="21"/>
        <v>13096.225297028119</v>
      </c>
      <c r="V12" s="50">
        <f t="shared" si="21"/>
        <v>13168.387317478931</v>
      </c>
      <c r="W12" s="50">
        <f t="shared" si="21"/>
        <v>13240.946960685726</v>
      </c>
      <c r="X12" s="50">
        <f t="shared" si="21"/>
        <v>13313.906417605114</v>
      </c>
      <c r="Y12" s="50">
        <f t="shared" si="21"/>
        <v>13387.267891266189</v>
      </c>
      <c r="Z12" s="50">
        <f t="shared" si="21"/>
        <v>13461.033596837036</v>
      </c>
      <c r="AA12" s="50">
        <f t="shared" si="21"/>
        <v>13535.205761691628</v>
      </c>
      <c r="AB12" s="46">
        <f t="shared" si="21"/>
        <v>13609.786625477074</v>
      </c>
      <c r="AD12" s="45">
        <f>VLOOKUP(F12,'Mass Equivalents - States, Opt1'!$A$8:$K$56,11,0)</f>
        <v>0</v>
      </c>
      <c r="AE12" s="46">
        <f t="shared" si="5"/>
        <v>0</v>
      </c>
      <c r="AF12" s="50"/>
      <c r="AG12" s="49" t="s">
        <v>49</v>
      </c>
      <c r="AH12" s="50">
        <f t="shared" si="6"/>
        <v>557084.58643377165</v>
      </c>
      <c r="AI12" s="50">
        <f t="shared" si="7"/>
        <v>628457.88628298941</v>
      </c>
      <c r="AJ12" s="50">
        <f t="shared" si="8"/>
        <v>700224.46292811946</v>
      </c>
      <c r="AK12" s="50">
        <f t="shared" si="9"/>
        <v>772386.48337893211</v>
      </c>
      <c r="AL12" s="50">
        <f t="shared" si="10"/>
        <v>844946.12658572628</v>
      </c>
      <c r="AM12" s="50">
        <f t="shared" si="11"/>
        <v>917905.58350511489</v>
      </c>
      <c r="AN12" s="50">
        <f t="shared" si="12"/>
        <v>991267.0571661893</v>
      </c>
      <c r="AO12" s="50">
        <f t="shared" si="13"/>
        <v>1065032.7627370371</v>
      </c>
      <c r="AP12" s="50">
        <f t="shared" si="14"/>
        <v>1139204.9275916289</v>
      </c>
      <c r="AQ12" s="46">
        <f t="shared" si="15"/>
        <v>1213785.791377075</v>
      </c>
    </row>
    <row r="13" spans="1:43" x14ac:dyDescent="0.25">
      <c r="A13" s="38" t="s">
        <v>50</v>
      </c>
      <c r="B13" s="37" t="s">
        <v>50</v>
      </c>
      <c r="C13" s="37" t="s">
        <v>106</v>
      </c>
      <c r="D13" s="39">
        <v>1.1360476113341456E-2</v>
      </c>
      <c r="E13" s="36"/>
      <c r="F13" s="49" t="s">
        <v>50</v>
      </c>
      <c r="G13" s="43">
        <v>221261.41600000003</v>
      </c>
      <c r="H13" s="141">
        <v>7.51E-2</v>
      </c>
      <c r="I13" s="39">
        <f t="shared" si="0"/>
        <v>1.1360476113341456E-2</v>
      </c>
      <c r="J13" s="88"/>
      <c r="K13" s="45">
        <f t="shared" si="1"/>
        <v>237878.14834160003</v>
      </c>
      <c r="L13" s="50">
        <f t="shared" ref="L13:AB13" si="22">K13*(1+$I13)</f>
        <v>240580.55736372067</v>
      </c>
      <c r="M13" s="50">
        <f t="shared" si="22"/>
        <v>243313.66703898559</v>
      </c>
      <c r="N13" s="50">
        <f t="shared" si="22"/>
        <v>246077.82614143149</v>
      </c>
      <c r="O13" s="50">
        <f t="shared" si="22"/>
        <v>248873.3874073342</v>
      </c>
      <c r="P13" s="50">
        <f t="shared" si="22"/>
        <v>251700.70758022158</v>
      </c>
      <c r="Q13" s="50">
        <f t="shared" si="22"/>
        <v>254560.14745639783</v>
      </c>
      <c r="R13" s="50">
        <f t="shared" si="22"/>
        <v>257452.07193098491</v>
      </c>
      <c r="S13" s="50">
        <f t="shared" si="22"/>
        <v>260376.85004448713</v>
      </c>
      <c r="T13" s="50">
        <f t="shared" si="22"/>
        <v>263334.85502988461</v>
      </c>
      <c r="U13" s="50">
        <f t="shared" si="22"/>
        <v>266326.46436026186</v>
      </c>
      <c r="V13" s="50">
        <f t="shared" si="22"/>
        <v>269352.05979697732</v>
      </c>
      <c r="W13" s="50">
        <f t="shared" si="22"/>
        <v>272412.02743838023</v>
      </c>
      <c r="X13" s="50">
        <f t="shared" si="22"/>
        <v>275506.75776908087</v>
      </c>
      <c r="Y13" s="50">
        <f t="shared" si="22"/>
        <v>278636.64570978069</v>
      </c>
      <c r="Z13" s="50">
        <f t="shared" si="22"/>
        <v>281802.09066766821</v>
      </c>
      <c r="AA13" s="50">
        <f t="shared" si="22"/>
        <v>285003.49658738793</v>
      </c>
      <c r="AB13" s="46">
        <f t="shared" si="22"/>
        <v>288241.27200258774</v>
      </c>
      <c r="AD13" s="45">
        <f>VLOOKUP(F13,'Mass Equivalents - States, Opt1'!$A$8:$K$56,11,0)</f>
        <v>1157</v>
      </c>
      <c r="AE13" s="46">
        <f t="shared" si="5"/>
        <v>5574.4260000000004</v>
      </c>
      <c r="AF13" s="50"/>
      <c r="AG13" s="49" t="s">
        <v>50</v>
      </c>
      <c r="AH13" s="50">
        <f t="shared" si="6"/>
        <v>16924275.702887107</v>
      </c>
      <c r="AI13" s="50">
        <f t="shared" si="7"/>
        <v>19882280.688284583</v>
      </c>
      <c r="AJ13" s="50">
        <f t="shared" si="8"/>
        <v>22873890.018661834</v>
      </c>
      <c r="AK13" s="50">
        <f t="shared" si="9"/>
        <v>25899485.455377296</v>
      </c>
      <c r="AL13" s="50">
        <f t="shared" si="10"/>
        <v>28959453.096780207</v>
      </c>
      <c r="AM13" s="50">
        <f t="shared" si="11"/>
        <v>32054183.427480843</v>
      </c>
      <c r="AN13" s="50">
        <f t="shared" si="12"/>
        <v>35184071.368180662</v>
      </c>
      <c r="AO13" s="50">
        <f t="shared" si="13"/>
        <v>38349516.326068178</v>
      </c>
      <c r="AP13" s="50">
        <f t="shared" si="14"/>
        <v>41550922.245787904</v>
      </c>
      <c r="AQ13" s="46">
        <f t="shared" si="15"/>
        <v>44788697.660987712</v>
      </c>
    </row>
    <row r="14" spans="1:43" x14ac:dyDescent="0.25">
      <c r="A14" s="38" t="s">
        <v>51</v>
      </c>
      <c r="B14" s="37" t="s">
        <v>119</v>
      </c>
      <c r="C14" s="37" t="s">
        <v>99</v>
      </c>
      <c r="D14" s="39">
        <v>1.0826506809531011E-2</v>
      </c>
      <c r="E14" s="36"/>
      <c r="F14" s="49" t="s">
        <v>51</v>
      </c>
      <c r="G14" s="43">
        <v>131220.133</v>
      </c>
      <c r="H14" s="141">
        <v>7.51E-2</v>
      </c>
      <c r="I14" s="39">
        <f t="shared" si="0"/>
        <v>1.0826506809531011E-2</v>
      </c>
      <c r="J14" s="88"/>
      <c r="K14" s="45">
        <f t="shared" si="1"/>
        <v>141074.76498829998</v>
      </c>
      <c r="L14" s="50">
        <f t="shared" ref="L14:AB14" si="23">K14*(1+$I14)</f>
        <v>142602.11189209879</v>
      </c>
      <c r="M14" s="50">
        <f t="shared" si="23"/>
        <v>144145.99462755211</v>
      </c>
      <c r="N14" s="50">
        <f t="shared" si="23"/>
        <v>145706.59221995392</v>
      </c>
      <c r="O14" s="50">
        <f t="shared" si="23"/>
        <v>147284.0856328168</v>
      </c>
      <c r="P14" s="50">
        <f t="shared" si="23"/>
        <v>148878.65778885604</v>
      </c>
      <c r="Q14" s="50">
        <f t="shared" si="23"/>
        <v>150490.49359120094</v>
      </c>
      <c r="R14" s="50">
        <f t="shared" si="23"/>
        <v>152119.77994483575</v>
      </c>
      <c r="S14" s="50">
        <f t="shared" si="23"/>
        <v>153766.70577827288</v>
      </c>
      <c r="T14" s="50">
        <f t="shared" si="23"/>
        <v>155431.46206546051</v>
      </c>
      <c r="U14" s="50">
        <f t="shared" si="23"/>
        <v>157114.24184792757</v>
      </c>
      <c r="V14" s="50">
        <f t="shared" si="23"/>
        <v>158815.24025716845</v>
      </c>
      <c r="W14" s="50">
        <f t="shared" si="23"/>
        <v>160534.65453726999</v>
      </c>
      <c r="X14" s="50">
        <f t="shared" si="23"/>
        <v>162272.68406778344</v>
      </c>
      <c r="Y14" s="50">
        <f t="shared" si="23"/>
        <v>164029.53038684418</v>
      </c>
      <c r="Z14" s="50">
        <f t="shared" si="23"/>
        <v>165805.39721454153</v>
      </c>
      <c r="AA14" s="50">
        <f t="shared" si="23"/>
        <v>167600.49047654177</v>
      </c>
      <c r="AB14" s="46">
        <f t="shared" si="23"/>
        <v>169415.0183279668</v>
      </c>
      <c r="AD14" s="45">
        <f>VLOOKUP(F14,'Mass Equivalents - States, Opt1'!$A$8:$K$56,11,0)</f>
        <v>0</v>
      </c>
      <c r="AE14" s="46">
        <f t="shared" si="5"/>
        <v>0</v>
      </c>
      <c r="AF14" s="50"/>
      <c r="AG14" s="49" t="s">
        <v>51</v>
      </c>
      <c r="AH14" s="50">
        <f t="shared" si="6"/>
        <v>12691940.789972898</v>
      </c>
      <c r="AI14" s="50">
        <f t="shared" si="7"/>
        <v>14356697.077160526</v>
      </c>
      <c r="AJ14" s="50">
        <f t="shared" si="8"/>
        <v>16039476.859627582</v>
      </c>
      <c r="AK14" s="50">
        <f t="shared" si="9"/>
        <v>17740475.268868469</v>
      </c>
      <c r="AL14" s="50">
        <f t="shared" si="10"/>
        <v>19459889.548970006</v>
      </c>
      <c r="AM14" s="50">
        <f t="shared" si="11"/>
        <v>21197919.079483457</v>
      </c>
      <c r="AN14" s="50">
        <f t="shared" si="12"/>
        <v>22954765.3985442</v>
      </c>
      <c r="AO14" s="50">
        <f t="shared" si="13"/>
        <v>24730632.226241548</v>
      </c>
      <c r="AP14" s="50">
        <f t="shared" si="14"/>
        <v>26525725.488241792</v>
      </c>
      <c r="AQ14" s="46">
        <f t="shared" si="15"/>
        <v>28340253.339666814</v>
      </c>
    </row>
    <row r="15" spans="1:43" x14ac:dyDescent="0.25">
      <c r="A15" s="38" t="s">
        <v>53</v>
      </c>
      <c r="B15" s="37" t="s">
        <v>126</v>
      </c>
      <c r="C15" s="37" t="s">
        <v>107</v>
      </c>
      <c r="D15" s="39">
        <v>1.0580405460089759E-2</v>
      </c>
      <c r="E15" s="36"/>
      <c r="F15" s="82" t="s">
        <v>52</v>
      </c>
      <c r="G15" s="43">
        <v>9643.4470000000001</v>
      </c>
      <c r="H15" s="141">
        <v>7.51E-2</v>
      </c>
      <c r="I15" s="39">
        <f t="shared" si="0"/>
        <v>7.9927933275139029E-3</v>
      </c>
      <c r="J15" s="88"/>
      <c r="K15" s="45">
        <f t="shared" si="1"/>
        <v>10367.669869699999</v>
      </c>
      <c r="L15" s="50">
        <f t="shared" ref="L15:AB15" si="24">K15*(1+$I15)</f>
        <v>10450.536512256404</v>
      </c>
      <c r="M15" s="50">
        <f t="shared" si="24"/>
        <v>10534.065490760508</v>
      </c>
      <c r="N15" s="50">
        <f t="shared" si="24"/>
        <v>10618.262099126652</v>
      </c>
      <c r="O15" s="50">
        <f t="shared" si="24"/>
        <v>10703.131673582346</v>
      </c>
      <c r="P15" s="50">
        <f t="shared" si="24"/>
        <v>10788.679593006458</v>
      </c>
      <c r="Q15" s="50">
        <f t="shared" si="24"/>
        <v>10874.911279270125</v>
      </c>
      <c r="R15" s="50">
        <f t="shared" si="24"/>
        <v>10961.832197580381</v>
      </c>
      <c r="S15" s="50">
        <f t="shared" si="24"/>
        <v>11049.447856826529</v>
      </c>
      <c r="T15" s="50">
        <f t="shared" si="24"/>
        <v>11137.763809929285</v>
      </c>
      <c r="U15" s="50">
        <f t="shared" si="24"/>
        <v>11226.785654192714</v>
      </c>
      <c r="V15" s="50">
        <f t="shared" si="24"/>
        <v>11316.519031658974</v>
      </c>
      <c r="W15" s="50">
        <f t="shared" si="24"/>
        <v>11406.969629465902</v>
      </c>
      <c r="X15" s="50">
        <f t="shared" si="24"/>
        <v>11498.143180207451</v>
      </c>
      <c r="Y15" s="50">
        <f t="shared" si="24"/>
        <v>11590.045462297014</v>
      </c>
      <c r="Z15" s="50">
        <f t="shared" si="24"/>
        <v>11682.682300333645</v>
      </c>
      <c r="AA15" s="50">
        <f t="shared" si="24"/>
        <v>11776.059565471216</v>
      </c>
      <c r="AB15" s="46">
        <f t="shared" si="24"/>
        <v>11870.18317579052</v>
      </c>
      <c r="AD15" s="45">
        <f>VLOOKUP(F15,'Mass Equivalents - States, Opt1'!$A$8:$K$56,11,0)</f>
        <v>0</v>
      </c>
      <c r="AE15" s="46">
        <f t="shared" si="5"/>
        <v>0</v>
      </c>
      <c r="AF15" s="50"/>
      <c r="AG15" s="82" t="s">
        <v>52</v>
      </c>
      <c r="AH15" s="50">
        <f t="shared" si="6"/>
        <v>681777.98712653015</v>
      </c>
      <c r="AI15" s="50">
        <f t="shared" si="7"/>
        <v>770093.94022928609</v>
      </c>
      <c r="AJ15" s="50">
        <f t="shared" si="8"/>
        <v>859115.7844927148</v>
      </c>
      <c r="AK15" s="50">
        <f t="shared" si="9"/>
        <v>948849.1619589749</v>
      </c>
      <c r="AL15" s="50">
        <f t="shared" si="10"/>
        <v>1039299.7597659032</v>
      </c>
      <c r="AM15" s="50">
        <f t="shared" si="11"/>
        <v>1130473.3105074519</v>
      </c>
      <c r="AN15" s="50">
        <f t="shared" si="12"/>
        <v>1222375.5925970145</v>
      </c>
      <c r="AO15" s="50">
        <f t="shared" si="13"/>
        <v>1315012.4306336457</v>
      </c>
      <c r="AP15" s="50">
        <f t="shared" si="14"/>
        <v>1408389.6957712169</v>
      </c>
      <c r="AQ15" s="46">
        <f t="shared" si="15"/>
        <v>1502513.3060905209</v>
      </c>
    </row>
    <row r="16" spans="1:43" x14ac:dyDescent="0.25">
      <c r="A16" s="38" t="s">
        <v>52</v>
      </c>
      <c r="B16" s="37" t="s">
        <v>138</v>
      </c>
      <c r="C16" s="37" t="s">
        <v>137</v>
      </c>
      <c r="D16" s="39">
        <v>7.9927933275139029E-3</v>
      </c>
      <c r="E16" s="36"/>
      <c r="F16" s="49" t="s">
        <v>53</v>
      </c>
      <c r="G16" s="43">
        <v>23919.899999999998</v>
      </c>
      <c r="H16" s="141">
        <v>7.51E-2</v>
      </c>
      <c r="I16" s="39">
        <f t="shared" si="0"/>
        <v>1.0580405460089759E-2</v>
      </c>
      <c r="J16" s="88"/>
      <c r="K16" s="45">
        <f t="shared" si="1"/>
        <v>25716.284489999995</v>
      </c>
      <c r="L16" s="50">
        <f t="shared" ref="L16:AB16" si="25">K16*(1+$I16)</f>
        <v>25988.373206831213</v>
      </c>
      <c r="M16" s="50">
        <f t="shared" si="25"/>
        <v>26263.340732607619</v>
      </c>
      <c r="N16" s="50">
        <f t="shared" si="25"/>
        <v>26541.217526295099</v>
      </c>
      <c r="O16" s="50">
        <f t="shared" si="25"/>
        <v>26822.034369127741</v>
      </c>
      <c r="P16" s="50">
        <f t="shared" si="25"/>
        <v>27105.822368017576</v>
      </c>
      <c r="Q16" s="50">
        <f t="shared" si="25"/>
        <v>27392.612959000373</v>
      </c>
      <c r="R16" s="50">
        <f t="shared" si="25"/>
        <v>27682.437910717905</v>
      </c>
      <c r="S16" s="50">
        <f t="shared" si="25"/>
        <v>27975.329327937059</v>
      </c>
      <c r="T16" s="50">
        <f t="shared" si="25"/>
        <v>28271.319655106174</v>
      </c>
      <c r="U16" s="50">
        <f t="shared" si="25"/>
        <v>28570.441679949003</v>
      </c>
      <c r="V16" s="50">
        <f t="shared" si="25"/>
        <v>28872.728537096711</v>
      </c>
      <c r="W16" s="50">
        <f t="shared" si="25"/>
        <v>29178.213711758297</v>
      </c>
      <c r="X16" s="50">
        <f t="shared" si="25"/>
        <v>29486.93104342985</v>
      </c>
      <c r="Y16" s="50">
        <f t="shared" si="25"/>
        <v>29798.914729643046</v>
      </c>
      <c r="Z16" s="50">
        <f t="shared" si="25"/>
        <v>30114.199329753312</v>
      </c>
      <c r="AA16" s="50">
        <f t="shared" si="25"/>
        <v>30432.819768768066</v>
      </c>
      <c r="AB16" s="46">
        <f t="shared" si="25"/>
        <v>30754.811341215467</v>
      </c>
      <c r="AD16" s="45">
        <f>VLOOKUP(F16,'Mass Equivalents - States, Opt1'!$A$8:$K$56,11,0)</f>
        <v>0</v>
      </c>
      <c r="AE16" s="46">
        <f t="shared" si="5"/>
        <v>0</v>
      </c>
      <c r="AF16" s="50"/>
      <c r="AG16" s="49" t="s">
        <v>53</v>
      </c>
      <c r="AH16" s="50">
        <f t="shared" si="6"/>
        <v>2259044.8379370645</v>
      </c>
      <c r="AI16" s="50">
        <f t="shared" si="7"/>
        <v>2555035.1651061792</v>
      </c>
      <c r="AJ16" s="50">
        <f t="shared" si="8"/>
        <v>2854157.1899490082</v>
      </c>
      <c r="AK16" s="50">
        <f t="shared" si="9"/>
        <v>3156444.0470967167</v>
      </c>
      <c r="AL16" s="50">
        <f t="shared" si="10"/>
        <v>3461929.2217583023</v>
      </c>
      <c r="AM16" s="50">
        <f t="shared" si="11"/>
        <v>3770646.553429855</v>
      </c>
      <c r="AN16" s="50">
        <f t="shared" si="12"/>
        <v>4082630.2396430508</v>
      </c>
      <c r="AO16" s="50">
        <f t="shared" si="13"/>
        <v>4397914.8397533176</v>
      </c>
      <c r="AP16" s="50">
        <f t="shared" si="14"/>
        <v>4716535.278768071</v>
      </c>
      <c r="AQ16" s="46">
        <f t="shared" si="15"/>
        <v>5038526.8512154724</v>
      </c>
    </row>
    <row r="17" spans="1:43" x14ac:dyDescent="0.25">
      <c r="A17" s="38" t="s">
        <v>54</v>
      </c>
      <c r="B17" s="37" t="s">
        <v>127</v>
      </c>
      <c r="C17" s="37" t="s">
        <v>108</v>
      </c>
      <c r="D17" s="39">
        <v>4.4898290420094522E-3</v>
      </c>
      <c r="E17" s="36"/>
      <c r="F17" s="49" t="s">
        <v>54</v>
      </c>
      <c r="G17" s="43">
        <v>144868.70699999999</v>
      </c>
      <c r="H17" s="141">
        <v>7.51E-2</v>
      </c>
      <c r="I17" s="39">
        <f t="shared" si="0"/>
        <v>4.4898290420094522E-3</v>
      </c>
      <c r="J17" s="88"/>
      <c r="K17" s="45">
        <f t="shared" si="1"/>
        <v>155748.3468957</v>
      </c>
      <c r="L17" s="50">
        <f t="shared" ref="L17:AB17" si="26">K17*(1+$I17)</f>
        <v>156447.63034683728</v>
      </c>
      <c r="M17" s="50">
        <f t="shared" si="26"/>
        <v>157150.05346112206</v>
      </c>
      <c r="N17" s="50">
        <f t="shared" si="26"/>
        <v>157855.63033510515</v>
      </c>
      <c r="O17" s="50">
        <f t="shared" si="26"/>
        <v>158564.37512862842</v>
      </c>
      <c r="P17" s="50">
        <f t="shared" si="26"/>
        <v>159276.30206510902</v>
      </c>
      <c r="Q17" s="50">
        <f t="shared" si="26"/>
        <v>159991.42543182481</v>
      </c>
      <c r="R17" s="50">
        <f t="shared" si="26"/>
        <v>160709.75958020112</v>
      </c>
      <c r="S17" s="50">
        <f t="shared" si="26"/>
        <v>161431.31892609867</v>
      </c>
      <c r="T17" s="50">
        <f t="shared" si="26"/>
        <v>162156.11795010295</v>
      </c>
      <c r="U17" s="50">
        <f t="shared" si="26"/>
        <v>162884.17119781484</v>
      </c>
      <c r="V17" s="50">
        <f t="shared" si="26"/>
        <v>163615.49328014243</v>
      </c>
      <c r="W17" s="50">
        <f t="shared" si="26"/>
        <v>164350.09887359431</v>
      </c>
      <c r="X17" s="50">
        <f t="shared" si="26"/>
        <v>165088.00272057409</v>
      </c>
      <c r="Y17" s="50">
        <f t="shared" si="26"/>
        <v>165829.21962967626</v>
      </c>
      <c r="Z17" s="50">
        <f t="shared" si="26"/>
        <v>166573.76447598333</v>
      </c>
      <c r="AA17" s="50">
        <f t="shared" si="26"/>
        <v>167321.65220136446</v>
      </c>
      <c r="AB17" s="46">
        <f t="shared" si="26"/>
        <v>168072.89781477515</v>
      </c>
      <c r="AD17" s="45">
        <f>VLOOKUP(F17,'Mass Equivalents - States, Opt1'!$A$8:$K$56,11,0)</f>
        <v>0</v>
      </c>
      <c r="AE17" s="46">
        <f t="shared" si="5"/>
        <v>0</v>
      </c>
      <c r="AF17" s="50"/>
      <c r="AG17" s="49" t="s">
        <v>54</v>
      </c>
      <c r="AH17" s="50">
        <f t="shared" si="6"/>
        <v>5682972.0303986687</v>
      </c>
      <c r="AI17" s="50">
        <f t="shared" si="7"/>
        <v>6407771.0544029539</v>
      </c>
      <c r="AJ17" s="50">
        <f t="shared" si="8"/>
        <v>7135824.3021148369</v>
      </c>
      <c r="AK17" s="50">
        <f t="shared" si="9"/>
        <v>7867146.3844424291</v>
      </c>
      <c r="AL17" s="50">
        <f t="shared" si="10"/>
        <v>8601751.9778943099</v>
      </c>
      <c r="AM17" s="50">
        <f t="shared" si="11"/>
        <v>9339655.8248740919</v>
      </c>
      <c r="AN17" s="50">
        <f t="shared" si="12"/>
        <v>10080872.733976256</v>
      </c>
      <c r="AO17" s="50">
        <f t="shared" si="13"/>
        <v>10825417.580283334</v>
      </c>
      <c r="AP17" s="50">
        <f t="shared" si="14"/>
        <v>11573305.305664457</v>
      </c>
      <c r="AQ17" s="46">
        <f t="shared" si="15"/>
        <v>12324550.919075146</v>
      </c>
    </row>
    <row r="18" spans="1:43" x14ac:dyDescent="0.25">
      <c r="A18" s="38" t="s">
        <v>55</v>
      </c>
      <c r="B18" s="37" t="s">
        <v>127</v>
      </c>
      <c r="C18" s="37" t="s">
        <v>108</v>
      </c>
      <c r="D18" s="39">
        <v>4.4898290420094522E-3</v>
      </c>
      <c r="E18" s="36"/>
      <c r="F18" s="49" t="s">
        <v>55</v>
      </c>
      <c r="G18" s="43">
        <v>105788.443</v>
      </c>
      <c r="H18" s="141">
        <v>7.51E-2</v>
      </c>
      <c r="I18" s="39">
        <f t="shared" si="0"/>
        <v>4.4898290420094522E-3</v>
      </c>
      <c r="J18" s="88"/>
      <c r="K18" s="45">
        <f t="shared" si="1"/>
        <v>113733.15506929999</v>
      </c>
      <c r="L18" s="50">
        <f t="shared" ref="L18:AB18" si="27">K18*(1+$I18)</f>
        <v>114243.7974919695</v>
      </c>
      <c r="M18" s="50">
        <f t="shared" si="27"/>
        <v>114756.73261181838</v>
      </c>
      <c r="N18" s="50">
        <f t="shared" si="27"/>
        <v>115271.97072266504</v>
      </c>
      <c r="O18" s="50">
        <f t="shared" si="27"/>
        <v>115789.52216454531</v>
      </c>
      <c r="P18" s="50">
        <f t="shared" si="27"/>
        <v>116309.39732392009</v>
      </c>
      <c r="Q18" s="50">
        <f t="shared" si="27"/>
        <v>116831.60663388364</v>
      </c>
      <c r="R18" s="50">
        <f t="shared" si="27"/>
        <v>117356.16057437308</v>
      </c>
      <c r="S18" s="50">
        <f t="shared" si="27"/>
        <v>117883.06967237862</v>
      </c>
      <c r="T18" s="50">
        <f t="shared" si="27"/>
        <v>118412.3445021549</v>
      </c>
      <c r="U18" s="50">
        <f t="shared" si="27"/>
        <v>118943.9956854331</v>
      </c>
      <c r="V18" s="50">
        <f t="shared" si="27"/>
        <v>119478.0338916342</v>
      </c>
      <c r="W18" s="50">
        <f t="shared" si="27"/>
        <v>120014.46983808305</v>
      </c>
      <c r="X18" s="50">
        <f t="shared" si="27"/>
        <v>120553.31429022344</v>
      </c>
      <c r="Y18" s="50">
        <f t="shared" si="27"/>
        <v>121094.57806183418</v>
      </c>
      <c r="Z18" s="50">
        <f t="shared" si="27"/>
        <v>121638.27201524608</v>
      </c>
      <c r="AA18" s="50">
        <f t="shared" si="27"/>
        <v>122184.40706155998</v>
      </c>
      <c r="AB18" s="46">
        <f t="shared" si="27"/>
        <v>122732.99416086568</v>
      </c>
      <c r="AD18" s="45">
        <f>VLOOKUP(F18,'Mass Equivalents - States, Opt1'!$A$8:$K$56,11,0)</f>
        <v>0</v>
      </c>
      <c r="AE18" s="46">
        <f t="shared" si="5"/>
        <v>0</v>
      </c>
      <c r="AF18" s="50"/>
      <c r="AG18" s="49" t="s">
        <v>55</v>
      </c>
      <c r="AH18" s="50">
        <f t="shared" si="6"/>
        <v>4149914.6030786359</v>
      </c>
      <c r="AI18" s="50">
        <f t="shared" si="7"/>
        <v>4679189.4328549094</v>
      </c>
      <c r="AJ18" s="50">
        <f t="shared" si="8"/>
        <v>5210840.6161331078</v>
      </c>
      <c r="AK18" s="50">
        <f t="shared" si="9"/>
        <v>5744878.8223342123</v>
      </c>
      <c r="AL18" s="50">
        <f t="shared" si="10"/>
        <v>6281314.7687830646</v>
      </c>
      <c r="AM18" s="50">
        <f t="shared" si="11"/>
        <v>6820159.2209234517</v>
      </c>
      <c r="AN18" s="50">
        <f t="shared" si="12"/>
        <v>7361422.9925341932</v>
      </c>
      <c r="AO18" s="50">
        <f t="shared" si="13"/>
        <v>7905116.9459460946</v>
      </c>
      <c r="AP18" s="50">
        <f t="shared" si="14"/>
        <v>8451251.9922599904</v>
      </c>
      <c r="AQ18" s="46">
        <f t="shared" si="15"/>
        <v>8999839.0915656928</v>
      </c>
    </row>
    <row r="19" spans="1:43" x14ac:dyDescent="0.25">
      <c r="A19" s="38" t="s">
        <v>56</v>
      </c>
      <c r="B19" s="37" t="s">
        <v>128</v>
      </c>
      <c r="C19" s="37" t="s">
        <v>109</v>
      </c>
      <c r="D19" s="39">
        <v>5.2872137507693484E-3</v>
      </c>
      <c r="E19" s="36"/>
      <c r="F19" s="49" t="s">
        <v>56</v>
      </c>
      <c r="G19" s="43">
        <v>46190.370999999999</v>
      </c>
      <c r="H19" s="141">
        <v>7.51E-2</v>
      </c>
      <c r="I19" s="39">
        <f t="shared" si="0"/>
        <v>5.2872137507693484E-3</v>
      </c>
      <c r="J19" s="88"/>
      <c r="K19" s="45">
        <f t="shared" si="1"/>
        <v>49659.267862099994</v>
      </c>
      <c r="L19" s="50">
        <f t="shared" ref="L19:AB19" si="28">K19*(1+$I19)</f>
        <v>49921.827025993625</v>
      </c>
      <c r="M19" s="50">
        <f t="shared" si="28"/>
        <v>50185.774396308989</v>
      </c>
      <c r="N19" s="50">
        <f t="shared" si="28"/>
        <v>50451.117312790164</v>
      </c>
      <c r="O19" s="50">
        <f t="shared" si="28"/>
        <v>50717.863153988023</v>
      </c>
      <c r="P19" s="50">
        <f t="shared" si="28"/>
        <v>50986.019337465426</v>
      </c>
      <c r="Q19" s="50">
        <f t="shared" si="28"/>
        <v>51255.593320003463</v>
      </c>
      <c r="R19" s="50">
        <f t="shared" si="28"/>
        <v>51526.592597808827</v>
      </c>
      <c r="S19" s="50">
        <f t="shared" si="28"/>
        <v>51799.024706722252</v>
      </c>
      <c r="T19" s="50">
        <f t="shared" si="28"/>
        <v>52072.897222428073</v>
      </c>
      <c r="U19" s="50">
        <f t="shared" si="28"/>
        <v>52348.217760664891</v>
      </c>
      <c r="V19" s="50">
        <f t="shared" si="28"/>
        <v>52624.993977437349</v>
      </c>
      <c r="W19" s="50">
        <f t="shared" si="28"/>
        <v>52903.233569229007</v>
      </c>
      <c r="X19" s="50">
        <f t="shared" si="28"/>
        <v>53182.944273216395</v>
      </c>
      <c r="Y19" s="50">
        <f t="shared" si="28"/>
        <v>53464.133867484146</v>
      </c>
      <c r="Z19" s="50">
        <f t="shared" si="28"/>
        <v>53746.810171241283</v>
      </c>
      <c r="AA19" s="50">
        <f t="shared" si="28"/>
        <v>54030.981045038658</v>
      </c>
      <c r="AB19" s="46">
        <f t="shared" si="28"/>
        <v>54316.654390987547</v>
      </c>
      <c r="AD19" s="45">
        <f>VLOOKUP(F19,'Mass Equivalents - States, Opt1'!$A$8:$K$56,11,0)</f>
        <v>0</v>
      </c>
      <c r="AE19" s="46">
        <f t="shared" si="5"/>
        <v>0</v>
      </c>
      <c r="AF19" s="50"/>
      <c r="AG19" s="49" t="s">
        <v>56</v>
      </c>
      <c r="AH19" s="50">
        <f t="shared" si="6"/>
        <v>2139756.8446222576</v>
      </c>
      <c r="AI19" s="50">
        <f t="shared" si="7"/>
        <v>2413629.3603280792</v>
      </c>
      <c r="AJ19" s="50">
        <f t="shared" si="8"/>
        <v>2688949.898564897</v>
      </c>
      <c r="AK19" s="50">
        <f t="shared" si="9"/>
        <v>2965726.1153373546</v>
      </c>
      <c r="AL19" s="50">
        <f t="shared" si="10"/>
        <v>3243965.7071290128</v>
      </c>
      <c r="AM19" s="50">
        <f t="shared" si="11"/>
        <v>3523676.4111164012</v>
      </c>
      <c r="AN19" s="50">
        <f t="shared" si="12"/>
        <v>3804866.0053841523</v>
      </c>
      <c r="AO19" s="50">
        <f t="shared" si="13"/>
        <v>4087542.3091412885</v>
      </c>
      <c r="AP19" s="50">
        <f t="shared" si="14"/>
        <v>4371713.1829386633</v>
      </c>
      <c r="AQ19" s="46">
        <f t="shared" si="15"/>
        <v>4657386.5288875531</v>
      </c>
    </row>
    <row r="20" spans="1:43" x14ac:dyDescent="0.25">
      <c r="A20" s="38" t="s">
        <v>57</v>
      </c>
      <c r="B20" s="37" t="s">
        <v>129</v>
      </c>
      <c r="C20" s="37" t="s">
        <v>110</v>
      </c>
      <c r="D20" s="39">
        <v>5.013172308544922E-3</v>
      </c>
      <c r="E20" s="36"/>
      <c r="F20" s="49" t="s">
        <v>57</v>
      </c>
      <c r="G20" s="43">
        <v>40302.383000000002</v>
      </c>
      <c r="H20" s="141">
        <v>7.51E-2</v>
      </c>
      <c r="I20" s="39">
        <f t="shared" si="0"/>
        <v>5.013172308544922E-3</v>
      </c>
      <c r="J20" s="88"/>
      <c r="K20" s="45">
        <f t="shared" si="1"/>
        <v>43329.091963300001</v>
      </c>
      <c r="L20" s="50">
        <f t="shared" ref="L20:AB20" si="29">K20*(1+$I20)</f>
        <v>43546.308167284813</v>
      </c>
      <c r="M20" s="50">
        <f t="shared" si="29"/>
        <v>43764.613313528411</v>
      </c>
      <c r="N20" s="50">
        <f t="shared" si="29"/>
        <v>43984.012861085968</v>
      </c>
      <c r="O20" s="50">
        <f t="shared" si="29"/>
        <v>44204.512296379849</v>
      </c>
      <c r="P20" s="50">
        <f t="shared" si="29"/>
        <v>44426.117133336797</v>
      </c>
      <c r="Q20" s="50">
        <f t="shared" si="29"/>
        <v>44648.832913525817</v>
      </c>
      <c r="R20" s="50">
        <f t="shared" si="29"/>
        <v>44872.665206296755</v>
      </c>
      <c r="S20" s="50">
        <f t="shared" si="29"/>
        <v>45097.619608919573</v>
      </c>
      <c r="T20" s="50">
        <f t="shared" si="29"/>
        <v>45323.701746724299</v>
      </c>
      <c r="U20" s="50">
        <f t="shared" si="29"/>
        <v>45550.917273241728</v>
      </c>
      <c r="V20" s="50">
        <f t="shared" si="29"/>
        <v>45779.271870344761</v>
      </c>
      <c r="W20" s="50">
        <f t="shared" si="29"/>
        <v>46008.77124839052</v>
      </c>
      <c r="X20" s="50">
        <f t="shared" si="29"/>
        <v>46239.421146363129</v>
      </c>
      <c r="Y20" s="50">
        <f t="shared" si="29"/>
        <v>46471.227332017224</v>
      </c>
      <c r="Z20" s="50">
        <f t="shared" si="29"/>
        <v>46704.195602022191</v>
      </c>
      <c r="AA20" s="50">
        <f t="shared" si="29"/>
        <v>46938.331782107118</v>
      </c>
      <c r="AB20" s="46">
        <f t="shared" si="29"/>
        <v>47173.641727206472</v>
      </c>
      <c r="AD20" s="45">
        <f>VLOOKUP(F20,'Mass Equivalents - States, Opt1'!$A$8:$K$56,11,0)</f>
        <v>0</v>
      </c>
      <c r="AE20" s="46">
        <f t="shared" si="5"/>
        <v>0</v>
      </c>
      <c r="AF20" s="50"/>
      <c r="AG20" s="49" t="s">
        <v>57</v>
      </c>
      <c r="AH20" s="50">
        <f t="shared" si="6"/>
        <v>1768527.6456195717</v>
      </c>
      <c r="AI20" s="50">
        <f t="shared" si="7"/>
        <v>1994609.7834242973</v>
      </c>
      <c r="AJ20" s="50">
        <f t="shared" si="8"/>
        <v>2221825.3099417272</v>
      </c>
      <c r="AK20" s="50">
        <f t="shared" si="9"/>
        <v>2450179.9070447595</v>
      </c>
      <c r="AL20" s="50">
        <f t="shared" si="10"/>
        <v>2679679.2850905186</v>
      </c>
      <c r="AM20" s="50">
        <f t="shared" si="11"/>
        <v>2910329.183063128</v>
      </c>
      <c r="AN20" s="50">
        <f t="shared" si="12"/>
        <v>3142135.3687172234</v>
      </c>
      <c r="AO20" s="50">
        <f t="shared" si="13"/>
        <v>3375103.6387221902</v>
      </c>
      <c r="AP20" s="50">
        <f t="shared" si="14"/>
        <v>3609239.8188071167</v>
      </c>
      <c r="AQ20" s="46">
        <f t="shared" si="15"/>
        <v>3844549.7639064705</v>
      </c>
    </row>
    <row r="21" spans="1:43" x14ac:dyDescent="0.25">
      <c r="A21" s="38" t="s">
        <v>58</v>
      </c>
      <c r="B21" s="37" t="s">
        <v>130</v>
      </c>
      <c r="C21" s="37" t="s">
        <v>111</v>
      </c>
      <c r="D21" s="39">
        <v>1.004735933934664E-2</v>
      </c>
      <c r="E21" s="36"/>
      <c r="F21" s="49" t="s">
        <v>58</v>
      </c>
      <c r="G21" s="43">
        <v>89248.979000000007</v>
      </c>
      <c r="H21" s="141">
        <v>7.51E-2</v>
      </c>
      <c r="I21" s="39">
        <f t="shared" si="0"/>
        <v>1.004735933934664E-2</v>
      </c>
      <c r="J21" s="88"/>
      <c r="K21" s="45">
        <f t="shared" si="1"/>
        <v>95951.577322900004</v>
      </c>
      <c r="L21" s="50">
        <f t="shared" ref="L21:AB21" si="30">K21*(1+$I21)</f>
        <v>96915.637299440292</v>
      </c>
      <c r="M21" s="50">
        <f t="shared" si="30"/>
        <v>97889.383532989552</v>
      </c>
      <c r="N21" s="50">
        <f t="shared" si="30"/>
        <v>98872.913344852626</v>
      </c>
      <c r="O21" s="50">
        <f t="shared" si="30"/>
        <v>99866.325034156442</v>
      </c>
      <c r="P21" s="50">
        <f t="shared" si="30"/>
        <v>100869.7178876746</v>
      </c>
      <c r="Q21" s="50">
        <f t="shared" si="30"/>
        <v>101883.1921897506</v>
      </c>
      <c r="R21" s="50">
        <f t="shared" si="30"/>
        <v>102906.84923232073</v>
      </c>
      <c r="S21" s="50">
        <f t="shared" si="30"/>
        <v>103940.79132503783</v>
      </c>
      <c r="T21" s="50">
        <f t="shared" si="30"/>
        <v>104985.12180549653</v>
      </c>
      <c r="U21" s="50">
        <f t="shared" si="30"/>
        <v>106039.94504956143</v>
      </c>
      <c r="V21" s="50">
        <f t="shared" si="30"/>
        <v>107105.36648179895</v>
      </c>
      <c r="W21" s="50">
        <f t="shared" si="30"/>
        <v>108181.49258601399</v>
      </c>
      <c r="X21" s="50">
        <f t="shared" si="30"/>
        <v>109268.43091589255</v>
      </c>
      <c r="Y21" s="50">
        <f t="shared" si="30"/>
        <v>110366.29010575109</v>
      </c>
      <c r="Z21" s="50">
        <f t="shared" si="30"/>
        <v>111475.17988139414</v>
      </c>
      <c r="AA21" s="50">
        <f t="shared" si="30"/>
        <v>112595.21107108082</v>
      </c>
      <c r="AB21" s="46">
        <f t="shared" si="30"/>
        <v>113726.49561660155</v>
      </c>
      <c r="AD21" s="45">
        <f>VLOOKUP(F21,'Mass Equivalents - States, Opt1'!$A$8:$K$56,11,0)</f>
        <v>640</v>
      </c>
      <c r="AE21" s="46">
        <f t="shared" si="5"/>
        <v>3083.5200000000004</v>
      </c>
      <c r="AF21" s="50"/>
      <c r="AG21" s="49" t="s">
        <v>58</v>
      </c>
      <c r="AH21" s="50">
        <f t="shared" si="6"/>
        <v>4905694.0021378286</v>
      </c>
      <c r="AI21" s="50">
        <f t="shared" si="7"/>
        <v>5950024.4825965241</v>
      </c>
      <c r="AJ21" s="50">
        <f t="shared" si="8"/>
        <v>7004847.7266614242</v>
      </c>
      <c r="AK21" s="50">
        <f t="shared" si="9"/>
        <v>8070269.158898944</v>
      </c>
      <c r="AL21" s="50">
        <f t="shared" si="10"/>
        <v>9146395.2631139867</v>
      </c>
      <c r="AM21" s="50">
        <f t="shared" si="11"/>
        <v>10233333.592992542</v>
      </c>
      <c r="AN21" s="50">
        <f t="shared" si="12"/>
        <v>11331192.782851085</v>
      </c>
      <c r="AO21" s="50">
        <f t="shared" si="13"/>
        <v>12440082.558494138</v>
      </c>
      <c r="AP21" s="50">
        <f t="shared" si="14"/>
        <v>13560113.748180814</v>
      </c>
      <c r="AQ21" s="46">
        <f t="shared" si="15"/>
        <v>14691398.293701543</v>
      </c>
    </row>
    <row r="22" spans="1:43" x14ac:dyDescent="0.25">
      <c r="A22" s="38" t="s">
        <v>59</v>
      </c>
      <c r="B22" s="37" t="s">
        <v>121</v>
      </c>
      <c r="C22" s="37" t="s">
        <v>101</v>
      </c>
      <c r="D22" s="39">
        <v>9.0169291290624898E-3</v>
      </c>
      <c r="E22" s="36"/>
      <c r="F22" s="49" t="s">
        <v>59</v>
      </c>
      <c r="G22" s="43">
        <v>84730.743000000002</v>
      </c>
      <c r="H22" s="141">
        <v>7.51E-2</v>
      </c>
      <c r="I22" s="39">
        <f t="shared" si="0"/>
        <v>9.0169291290624898E-3</v>
      </c>
      <c r="J22" s="88"/>
      <c r="K22" s="45">
        <f t="shared" si="1"/>
        <v>91094.021799299997</v>
      </c>
      <c r="L22" s="50">
        <f t="shared" ref="L22:AB22" si="31">K22*(1+$I22)</f>
        <v>91915.410137945553</v>
      </c>
      <c r="M22" s="50">
        <f t="shared" si="31"/>
        <v>92744.204877028125</v>
      </c>
      <c r="N22" s="50">
        <f t="shared" si="31"/>
        <v>93580.472799535535</v>
      </c>
      <c r="O22" s="50">
        <f t="shared" si="31"/>
        <v>94424.281290633109</v>
      </c>
      <c r="P22" s="50">
        <f t="shared" si="31"/>
        <v>95275.698343093405</v>
      </c>
      <c r="Q22" s="50">
        <f t="shared" si="31"/>
        <v>96134.792562775008</v>
      </c>
      <c r="R22" s="50">
        <f t="shared" si="31"/>
        <v>97001.633174150673</v>
      </c>
      <c r="S22" s="50">
        <f t="shared" si="31"/>
        <v>97876.290025885304</v>
      </c>
      <c r="T22" s="50">
        <f t="shared" si="31"/>
        <v>98758.833596464276</v>
      </c>
      <c r="U22" s="50">
        <f t="shared" si="31"/>
        <v>99649.334999872473</v>
      </c>
      <c r="V22" s="50">
        <f t="shared" si="31"/>
        <v>100547.86599132454</v>
      </c>
      <c r="W22" s="50">
        <f t="shared" si="31"/>
        <v>101454.49897304678</v>
      </c>
      <c r="X22" s="50">
        <f t="shared" si="31"/>
        <v>102369.30700011128</v>
      </c>
      <c r="Y22" s="50">
        <f t="shared" si="31"/>
        <v>103292.36378632253</v>
      </c>
      <c r="Z22" s="50">
        <f t="shared" si="31"/>
        <v>104223.74371015714</v>
      </c>
      <c r="AA22" s="50">
        <f t="shared" si="31"/>
        <v>105163.5218207572</v>
      </c>
      <c r="AB22" s="46">
        <f t="shared" si="31"/>
        <v>106111.77384397759</v>
      </c>
      <c r="AD22" s="45">
        <f>VLOOKUP(F22,'Mass Equivalents - States, Opt1'!$A$8:$K$56,11,0)</f>
        <v>0</v>
      </c>
      <c r="AE22" s="46">
        <f t="shared" si="5"/>
        <v>0</v>
      </c>
      <c r="AF22" s="50"/>
      <c r="AG22" s="49" t="s">
        <v>59</v>
      </c>
      <c r="AH22" s="50">
        <f t="shared" si="6"/>
        <v>6782268.2265853072</v>
      </c>
      <c r="AI22" s="50">
        <f t="shared" si="7"/>
        <v>7664811.797164279</v>
      </c>
      <c r="AJ22" s="50">
        <f t="shared" si="8"/>
        <v>8555313.2005724758</v>
      </c>
      <c r="AK22" s="50">
        <f t="shared" si="9"/>
        <v>9453844.1920245383</v>
      </c>
      <c r="AL22" s="50">
        <f t="shared" si="10"/>
        <v>10360477.173746781</v>
      </c>
      <c r="AM22" s="50">
        <f t="shared" si="11"/>
        <v>11275285.200811282</v>
      </c>
      <c r="AN22" s="50">
        <f t="shared" si="12"/>
        <v>12198341.987022534</v>
      </c>
      <c r="AO22" s="50">
        <f t="shared" si="13"/>
        <v>13129721.910857145</v>
      </c>
      <c r="AP22" s="50">
        <f t="shared" si="14"/>
        <v>14069500.021457206</v>
      </c>
      <c r="AQ22" s="46">
        <f t="shared" si="15"/>
        <v>15017752.044677589</v>
      </c>
    </row>
    <row r="23" spans="1:43" x14ac:dyDescent="0.25">
      <c r="A23" s="38" t="s">
        <v>60</v>
      </c>
      <c r="B23" s="37" t="s">
        <v>124</v>
      </c>
      <c r="C23" s="37" t="s">
        <v>104</v>
      </c>
      <c r="D23" s="39">
        <v>2.8959581528922307E-3</v>
      </c>
      <c r="E23" s="36"/>
      <c r="F23" s="49" t="s">
        <v>60</v>
      </c>
      <c r="G23" s="43">
        <v>11787.5</v>
      </c>
      <c r="H23" s="141">
        <v>7.51E-2</v>
      </c>
      <c r="I23" s="39">
        <f t="shared" si="0"/>
        <v>2.8959581528922307E-3</v>
      </c>
      <c r="J23" s="88"/>
      <c r="K23" s="45">
        <f t="shared" si="1"/>
        <v>12672.741249999999</v>
      </c>
      <c r="L23" s="50">
        <f t="shared" ref="L23:AB23" si="32">K23*(1+$I23)</f>
        <v>12709.440978342431</v>
      </c>
      <c r="M23" s="50">
        <f t="shared" si="32"/>
        <v>12746.246987562365</v>
      </c>
      <c r="N23" s="50">
        <f t="shared" si="32"/>
        <v>12783.159585444773</v>
      </c>
      <c r="O23" s="50">
        <f t="shared" si="32"/>
        <v>12820.179080665965</v>
      </c>
      <c r="P23" s="50">
        <f t="shared" si="32"/>
        <v>12857.305782796158</v>
      </c>
      <c r="Q23" s="50">
        <f t="shared" si="32"/>
        <v>12894.540002302076</v>
      </c>
      <c r="R23" s="50">
        <f t="shared" si="32"/>
        <v>12931.882050549537</v>
      </c>
      <c r="S23" s="50">
        <f t="shared" si="32"/>
        <v>12969.332239806066</v>
      </c>
      <c r="T23" s="50">
        <f t="shared" si="32"/>
        <v>13006.890883243501</v>
      </c>
      <c r="U23" s="50">
        <f t="shared" si="32"/>
        <v>13044.558294940609</v>
      </c>
      <c r="V23" s="50">
        <f t="shared" si="32"/>
        <v>13082.334789885721</v>
      </c>
      <c r="W23" s="50">
        <f t="shared" si="32"/>
        <v>13120.220683979356</v>
      </c>
      <c r="X23" s="50">
        <f t="shared" si="32"/>
        <v>13158.216294036871</v>
      </c>
      <c r="Y23" s="50">
        <f t="shared" si="32"/>
        <v>13196.321937791106</v>
      </c>
      <c r="Z23" s="50">
        <f t="shared" si="32"/>
        <v>13234.537933895042</v>
      </c>
      <c r="AA23" s="50">
        <f t="shared" si="32"/>
        <v>13272.864601924468</v>
      </c>
      <c r="AB23" s="46">
        <f t="shared" si="32"/>
        <v>13311.302262380646</v>
      </c>
      <c r="AD23" s="45">
        <f>VLOOKUP(F23,'Mass Equivalents - States, Opt1'!$A$8:$K$56,11,0)</f>
        <v>0</v>
      </c>
      <c r="AE23" s="46">
        <f t="shared" si="5"/>
        <v>0</v>
      </c>
      <c r="AF23" s="50"/>
      <c r="AG23" s="49" t="s">
        <v>60</v>
      </c>
      <c r="AH23" s="50">
        <f t="shared" si="6"/>
        <v>296590.9898060672</v>
      </c>
      <c r="AI23" s="50">
        <f t="shared" si="7"/>
        <v>334149.63324350177</v>
      </c>
      <c r="AJ23" s="50">
        <f t="shared" si="8"/>
        <v>371817.04494060978</v>
      </c>
      <c r="AK23" s="50">
        <f t="shared" si="9"/>
        <v>409593.53988572187</v>
      </c>
      <c r="AL23" s="50">
        <f t="shared" si="10"/>
        <v>447479.43397935707</v>
      </c>
      <c r="AM23" s="50">
        <f t="shared" si="11"/>
        <v>485475.04403687164</v>
      </c>
      <c r="AN23" s="50">
        <f t="shared" si="12"/>
        <v>523580.68779110728</v>
      </c>
      <c r="AO23" s="50">
        <f t="shared" si="13"/>
        <v>561796.68389504333</v>
      </c>
      <c r="AP23" s="50">
        <f t="shared" si="14"/>
        <v>600123.35192446876</v>
      </c>
      <c r="AQ23" s="46">
        <f t="shared" si="15"/>
        <v>638561.01238064724</v>
      </c>
    </row>
    <row r="24" spans="1:43" x14ac:dyDescent="0.25">
      <c r="A24" s="38" t="s">
        <v>61</v>
      </c>
      <c r="B24" s="37" t="s">
        <v>125</v>
      </c>
      <c r="C24" s="37" t="s">
        <v>105</v>
      </c>
      <c r="D24" s="39">
        <v>5.5101388998850531E-3</v>
      </c>
      <c r="E24" s="36"/>
      <c r="F24" s="49" t="s">
        <v>61</v>
      </c>
      <c r="G24" s="43">
        <v>62384.328999999998</v>
      </c>
      <c r="H24" s="141">
        <v>7.51E-2</v>
      </c>
      <c r="I24" s="39">
        <f t="shared" si="0"/>
        <v>5.5101388998850531E-3</v>
      </c>
      <c r="J24" s="88"/>
      <c r="K24" s="45">
        <f t="shared" si="1"/>
        <v>67069.392107899999</v>
      </c>
      <c r="L24" s="50">
        <f t="shared" ref="L24:AB24" si="33">K24*(1+$I24)</f>
        <v>67438.953774345384</v>
      </c>
      <c r="M24" s="50">
        <f t="shared" si="33"/>
        <v>67810.551776904947</v>
      </c>
      <c r="N24" s="50">
        <f t="shared" si="33"/>
        <v>68184.197336073543</v>
      </c>
      <c r="O24" s="50">
        <f t="shared" si="33"/>
        <v>68559.901734172483</v>
      </c>
      <c r="P24" s="50">
        <f t="shared" si="33"/>
        <v>68937.676315690245</v>
      </c>
      <c r="Q24" s="50">
        <f t="shared" si="33"/>
        <v>69317.532487625009</v>
      </c>
      <c r="R24" s="50">
        <f t="shared" si="33"/>
        <v>69699.481719829113</v>
      </c>
      <c r="S24" s="50">
        <f t="shared" si="33"/>
        <v>70083.535545355364</v>
      </c>
      <c r="T24" s="50">
        <f t="shared" si="33"/>
        <v>70469.705560805305</v>
      </c>
      <c r="U24" s="50">
        <f t="shared" si="33"/>
        <v>70858.003426679337</v>
      </c>
      <c r="V24" s="50">
        <f t="shared" si="33"/>
        <v>71248.440867728874</v>
      </c>
      <c r="W24" s="50">
        <f t="shared" si="33"/>
        <v>71641.029673310302</v>
      </c>
      <c r="X24" s="50">
        <f t="shared" si="33"/>
        <v>72035.781697741026</v>
      </c>
      <c r="Y24" s="50">
        <f t="shared" si="33"/>
        <v>72432.708860657382</v>
      </c>
      <c r="Z24" s="50">
        <f t="shared" si="33"/>
        <v>72831.82314737454</v>
      </c>
      <c r="AA24" s="50">
        <f t="shared" si="33"/>
        <v>73233.136609248439</v>
      </c>
      <c r="AB24" s="46">
        <f t="shared" si="33"/>
        <v>73636.661364039654</v>
      </c>
      <c r="AD24" s="45">
        <f>VLOOKUP(F24,'Mass Equivalents - States, Opt1'!$A$8:$K$56,11,0)</f>
        <v>0</v>
      </c>
      <c r="AE24" s="46">
        <f t="shared" si="5"/>
        <v>0</v>
      </c>
      <c r="AF24" s="50"/>
      <c r="AG24" s="49" t="s">
        <v>61</v>
      </c>
      <c r="AH24" s="50">
        <f t="shared" si="6"/>
        <v>3014143.4374553645</v>
      </c>
      <c r="AI24" s="50">
        <f t="shared" si="7"/>
        <v>3400313.4529053057</v>
      </c>
      <c r="AJ24" s="50">
        <f t="shared" si="8"/>
        <v>3788611.3187793382</v>
      </c>
      <c r="AK24" s="50">
        <f t="shared" si="9"/>
        <v>4179048.7598288748</v>
      </c>
      <c r="AL24" s="50">
        <f t="shared" si="10"/>
        <v>4571637.565410303</v>
      </c>
      <c r="AM24" s="50">
        <f t="shared" si="11"/>
        <v>4966389.5898410268</v>
      </c>
      <c r="AN24" s="50">
        <f t="shared" si="12"/>
        <v>5363316.7527573826</v>
      </c>
      <c r="AO24" s="50">
        <f t="shared" si="13"/>
        <v>5762431.0394745404</v>
      </c>
      <c r="AP24" s="50">
        <f t="shared" si="14"/>
        <v>6163744.5013484396</v>
      </c>
      <c r="AQ24" s="46">
        <f t="shared" si="15"/>
        <v>6567269.2561396547</v>
      </c>
    </row>
    <row r="25" spans="1:43" x14ac:dyDescent="0.25">
      <c r="A25" s="38" t="s">
        <v>62</v>
      </c>
      <c r="B25" s="37" t="s">
        <v>124</v>
      </c>
      <c r="C25" s="37" t="s">
        <v>104</v>
      </c>
      <c r="D25" s="39">
        <v>2.8959581528922307E-3</v>
      </c>
      <c r="E25" s="36"/>
      <c r="F25" s="49" t="s">
        <v>62</v>
      </c>
      <c r="G25" s="43">
        <v>55833.643000000004</v>
      </c>
      <c r="H25" s="141">
        <v>7.51E-2</v>
      </c>
      <c r="I25" s="39">
        <f t="shared" si="0"/>
        <v>2.8959581528922307E-3</v>
      </c>
      <c r="J25" s="88"/>
      <c r="K25" s="45">
        <f t="shared" si="1"/>
        <v>60026.749589300001</v>
      </c>
      <c r="L25" s="50">
        <f t="shared" ref="L25:AB25" si="34">K25*(1+$I25)</f>
        <v>60200.584544164754</v>
      </c>
      <c r="M25" s="50">
        <f t="shared" si="34"/>
        <v>60374.922917784308</v>
      </c>
      <c r="N25" s="50">
        <f t="shared" si="34"/>
        <v>60549.766168038303</v>
      </c>
      <c r="O25" s="50">
        <f t="shared" si="34"/>
        <v>60725.115757028354</v>
      </c>
      <c r="P25" s="50">
        <f t="shared" si="34"/>
        <v>60900.973151090242</v>
      </c>
      <c r="Q25" s="50">
        <f t="shared" si="34"/>
        <v>61077.339820806214</v>
      </c>
      <c r="R25" s="50">
        <f t="shared" si="34"/>
        <v>61254.21724101725</v>
      </c>
      <c r="S25" s="50">
        <f t="shared" si="34"/>
        <v>61431.606890835406</v>
      </c>
      <c r="T25" s="50">
        <f t="shared" si="34"/>
        <v>61609.51025365619</v>
      </c>
      <c r="U25" s="50">
        <f t="shared" si="34"/>
        <v>61787.928817170963</v>
      </c>
      <c r="V25" s="50">
        <f t="shared" si="34"/>
        <v>61966.864073379373</v>
      </c>
      <c r="W25" s="50">
        <f t="shared" si="34"/>
        <v>62146.317518601842</v>
      </c>
      <c r="X25" s="50">
        <f t="shared" si="34"/>
        <v>62326.290653492069</v>
      </c>
      <c r="Y25" s="50">
        <f t="shared" si="34"/>
        <v>62506.784983049583</v>
      </c>
      <c r="Z25" s="50">
        <f t="shared" si="34"/>
        <v>62687.802016632326</v>
      </c>
      <c r="AA25" s="50">
        <f t="shared" si="34"/>
        <v>62869.343267969285</v>
      </c>
      <c r="AB25" s="46">
        <f t="shared" si="34"/>
        <v>63051.410255173141</v>
      </c>
      <c r="AD25" s="45">
        <f>VLOOKUP(F25,'Mass Equivalents - States, Opt1'!$A$8:$K$56,11,0)</f>
        <v>0</v>
      </c>
      <c r="AE25" s="46">
        <f t="shared" si="5"/>
        <v>0</v>
      </c>
      <c r="AF25" s="50"/>
      <c r="AG25" s="49" t="s">
        <v>62</v>
      </c>
      <c r="AH25" s="50">
        <f t="shared" si="6"/>
        <v>1404857.301535405</v>
      </c>
      <c r="AI25" s="50">
        <f t="shared" si="7"/>
        <v>1582760.6643561884</v>
      </c>
      <c r="AJ25" s="50">
        <f t="shared" si="8"/>
        <v>1761179.2278709617</v>
      </c>
      <c r="AK25" s="50">
        <f t="shared" si="9"/>
        <v>1940114.4840793712</v>
      </c>
      <c r="AL25" s="50">
        <f t="shared" si="10"/>
        <v>2119567.9293018403</v>
      </c>
      <c r="AM25" s="50">
        <f t="shared" si="11"/>
        <v>2299541.0641920678</v>
      </c>
      <c r="AN25" s="50">
        <f t="shared" si="12"/>
        <v>2480035.3937495821</v>
      </c>
      <c r="AO25" s="50">
        <f t="shared" si="13"/>
        <v>2661052.4273323244</v>
      </c>
      <c r="AP25" s="50">
        <f t="shared" si="14"/>
        <v>2842593.6786692836</v>
      </c>
      <c r="AQ25" s="46">
        <f t="shared" si="15"/>
        <v>3024660.6658731396</v>
      </c>
    </row>
    <row r="26" spans="1:43" x14ac:dyDescent="0.25">
      <c r="A26" s="38" t="s">
        <v>63</v>
      </c>
      <c r="B26" s="37" t="s">
        <v>131</v>
      </c>
      <c r="C26" s="37" t="s">
        <v>112</v>
      </c>
      <c r="D26" s="39">
        <v>3.1774310832415331E-3</v>
      </c>
      <c r="E26" s="36"/>
      <c r="F26" s="49" t="s">
        <v>63</v>
      </c>
      <c r="G26" s="43">
        <v>105880.22300000001</v>
      </c>
      <c r="H26" s="141">
        <v>7.51E-2</v>
      </c>
      <c r="I26" s="39">
        <f t="shared" si="0"/>
        <v>3.1774310832415331E-3</v>
      </c>
      <c r="J26" s="88"/>
      <c r="K26" s="45">
        <f t="shared" si="1"/>
        <v>113831.82774730001</v>
      </c>
      <c r="L26" s="50">
        <f t="shared" ref="L26:AB26" si="35">K26*(1+$I26)</f>
        <v>114193.52053504647</v>
      </c>
      <c r="M26" s="50">
        <f t="shared" si="35"/>
        <v>114556.36257669931</v>
      </c>
      <c r="N26" s="50">
        <f t="shared" si="35"/>
        <v>114920.35752393359</v>
      </c>
      <c r="O26" s="50">
        <f t="shared" si="35"/>
        <v>115285.50904002736</v>
      </c>
      <c r="P26" s="50">
        <f t="shared" si="35"/>
        <v>115651.82079989847</v>
      </c>
      <c r="Q26" s="50">
        <f t="shared" si="35"/>
        <v>116019.29649014155</v>
      </c>
      <c r="R26" s="50">
        <f t="shared" si="35"/>
        <v>116387.93980906515</v>
      </c>
      <c r="S26" s="50">
        <f t="shared" si="35"/>
        <v>116757.75446672892</v>
      </c>
      <c r="T26" s="50">
        <f t="shared" si="35"/>
        <v>117128.74418498098</v>
      </c>
      <c r="U26" s="50">
        <f t="shared" si="35"/>
        <v>117500.91269749538</v>
      </c>
      <c r="V26" s="50">
        <f t="shared" si="35"/>
        <v>117874.26374980966</v>
      </c>
      <c r="W26" s="50">
        <f t="shared" si="35"/>
        <v>118248.80109936252</v>
      </c>
      <c r="X26" s="50">
        <f t="shared" si="35"/>
        <v>118624.52851553168</v>
      </c>
      <c r="Y26" s="50">
        <f t="shared" si="35"/>
        <v>119001.44977967181</v>
      </c>
      <c r="Z26" s="50">
        <f t="shared" si="35"/>
        <v>119379.56868515254</v>
      </c>
      <c r="AA26" s="50">
        <f t="shared" si="35"/>
        <v>119758.88903739672</v>
      </c>
      <c r="AB26" s="46">
        <f t="shared" si="35"/>
        <v>120139.41465391862</v>
      </c>
      <c r="AD26" s="45">
        <f>VLOOKUP(F26,'Mass Equivalents - States, Opt1'!$A$8:$K$56,11,0)</f>
        <v>0</v>
      </c>
      <c r="AE26" s="46">
        <f t="shared" si="5"/>
        <v>0</v>
      </c>
      <c r="AF26" s="50"/>
      <c r="AG26" s="49" t="s">
        <v>63</v>
      </c>
      <c r="AH26" s="50">
        <f t="shared" si="6"/>
        <v>2925926.7194289132</v>
      </c>
      <c r="AI26" s="50">
        <f t="shared" si="7"/>
        <v>3296916.4376809783</v>
      </c>
      <c r="AJ26" s="50">
        <f t="shared" si="8"/>
        <v>3669084.9501953782</v>
      </c>
      <c r="AK26" s="50">
        <f t="shared" si="9"/>
        <v>4042436.002509654</v>
      </c>
      <c r="AL26" s="50">
        <f t="shared" si="10"/>
        <v>4416973.3520625159</v>
      </c>
      <c r="AM26" s="50">
        <f t="shared" si="11"/>
        <v>4792700.768231676</v>
      </c>
      <c r="AN26" s="50">
        <f t="shared" si="12"/>
        <v>5169622.0323718004</v>
      </c>
      <c r="AO26" s="50">
        <f t="shared" si="13"/>
        <v>5547740.9378525335</v>
      </c>
      <c r="AP26" s="50">
        <f t="shared" si="14"/>
        <v>5927061.2900967095</v>
      </c>
      <c r="AQ26" s="46">
        <f t="shared" si="15"/>
        <v>6307586.9066186137</v>
      </c>
    </row>
    <row r="27" spans="1:43" x14ac:dyDescent="0.25">
      <c r="A27" s="38" t="s">
        <v>64</v>
      </c>
      <c r="B27" s="37" t="s">
        <v>128</v>
      </c>
      <c r="C27" s="37" t="s">
        <v>109</v>
      </c>
      <c r="D27" s="39">
        <v>5.2872137507693484E-3</v>
      </c>
      <c r="E27" s="36"/>
      <c r="F27" s="49" t="s">
        <v>64</v>
      </c>
      <c r="G27" s="43">
        <v>68747.822</v>
      </c>
      <c r="H27" s="141">
        <v>7.51E-2</v>
      </c>
      <c r="I27" s="39">
        <f t="shared" si="0"/>
        <v>5.2872137507693484E-3</v>
      </c>
      <c r="J27" s="88"/>
      <c r="K27" s="45">
        <f t="shared" si="1"/>
        <v>73910.783432199998</v>
      </c>
      <c r="L27" s="50">
        <f t="shared" ref="L27:AB27" si="36">K27*(1+$I27)</f>
        <v>74301.565542692857</v>
      </c>
      <c r="M27" s="50">
        <f t="shared" si="36"/>
        <v>74694.41380173387</v>
      </c>
      <c r="N27" s="50">
        <f t="shared" si="36"/>
        <v>75089.33913349206</v>
      </c>
      <c r="O27" s="50">
        <f t="shared" si="36"/>
        <v>75486.352519894848</v>
      </c>
      <c r="P27" s="50">
        <f t="shared" si="36"/>
        <v>75885.465000933458</v>
      </c>
      <c r="Q27" s="50">
        <f t="shared" si="36"/>
        <v>76286.687674969915</v>
      </c>
      <c r="R27" s="50">
        <f t="shared" si="36"/>
        <v>76690.031699045663</v>
      </c>
      <c r="S27" s="50">
        <f t="shared" si="36"/>
        <v>77095.508289191799</v>
      </c>
      <c r="T27" s="50">
        <f t="shared" si="36"/>
        <v>77503.128720740962</v>
      </c>
      <c r="U27" s="50">
        <f t="shared" si="36"/>
        <v>77912.904328640914</v>
      </c>
      <c r="V27" s="50">
        <f t="shared" si="36"/>
        <v>78324.846507769675</v>
      </c>
      <c r="W27" s="50">
        <f t="shared" si="36"/>
        <v>78738.966713252448</v>
      </c>
      <c r="X27" s="50">
        <f t="shared" si="36"/>
        <v>79155.276460780122</v>
      </c>
      <c r="Y27" s="50">
        <f t="shared" si="36"/>
        <v>79573.787326929509</v>
      </c>
      <c r="Z27" s="50">
        <f t="shared" si="36"/>
        <v>79994.510949485251</v>
      </c>
      <c r="AA27" s="50">
        <f t="shared" si="36"/>
        <v>80417.459027763442</v>
      </c>
      <c r="AB27" s="46">
        <f t="shared" si="36"/>
        <v>80842.643322936958</v>
      </c>
      <c r="AD27" s="45">
        <f>VLOOKUP(F27,'Mass Equivalents - States, Opt1'!$A$8:$K$56,11,0)</f>
        <v>0</v>
      </c>
      <c r="AE27" s="46">
        <f t="shared" si="5"/>
        <v>0</v>
      </c>
      <c r="AF27" s="50"/>
      <c r="AG27" s="49" t="s">
        <v>64</v>
      </c>
      <c r="AH27" s="50">
        <f t="shared" si="6"/>
        <v>3184724.8569918009</v>
      </c>
      <c r="AI27" s="50">
        <f t="shared" si="7"/>
        <v>3592345.288540964</v>
      </c>
      <c r="AJ27" s="50">
        <f t="shared" si="8"/>
        <v>4002120.8964409162</v>
      </c>
      <c r="AK27" s="50">
        <f t="shared" si="9"/>
        <v>4414063.0755696762</v>
      </c>
      <c r="AL27" s="50">
        <f t="shared" si="10"/>
        <v>4828183.2810524497</v>
      </c>
      <c r="AM27" s="50">
        <f t="shared" si="11"/>
        <v>5244493.0285801236</v>
      </c>
      <c r="AN27" s="50">
        <f t="shared" si="12"/>
        <v>5663003.8947295109</v>
      </c>
      <c r="AO27" s="50">
        <f t="shared" si="13"/>
        <v>6083727.5172852529</v>
      </c>
      <c r="AP27" s="50">
        <f t="shared" si="14"/>
        <v>6506675.5955634434</v>
      </c>
      <c r="AQ27" s="46">
        <f t="shared" si="15"/>
        <v>6931859.8907369599</v>
      </c>
    </row>
    <row r="28" spans="1:43" x14ac:dyDescent="0.25">
      <c r="A28" s="38" t="s">
        <v>65</v>
      </c>
      <c r="B28" s="37" t="s">
        <v>121</v>
      </c>
      <c r="C28" s="37" t="s">
        <v>101</v>
      </c>
      <c r="D28" s="39">
        <v>9.0169291290624898E-3</v>
      </c>
      <c r="E28" s="36"/>
      <c r="F28" s="49" t="s">
        <v>65</v>
      </c>
      <c r="G28" s="43">
        <v>48424.485000000001</v>
      </c>
      <c r="H28" s="141">
        <v>7.51E-2</v>
      </c>
      <c r="I28" s="39">
        <f t="shared" si="0"/>
        <v>9.0169291290624898E-3</v>
      </c>
      <c r="J28" s="88"/>
      <c r="K28" s="45">
        <f t="shared" si="1"/>
        <v>52061.163823499999</v>
      </c>
      <c r="L28" s="50">
        <f t="shared" ref="L28:AB28" si="37">K28*(1+$I28)</f>
        <v>52530.595648073009</v>
      </c>
      <c r="M28" s="50">
        <f t="shared" si="37"/>
        <v>53004.26030613912</v>
      </c>
      <c r="N28" s="50">
        <f t="shared" si="37"/>
        <v>53482.195964857958</v>
      </c>
      <c r="O28" s="50">
        <f t="shared" si="37"/>
        <v>53964.441135539717</v>
      </c>
      <c r="P28" s="50">
        <f t="shared" si="37"/>
        <v>54451.034676748342</v>
      </c>
      <c r="Q28" s="50">
        <f t="shared" si="37"/>
        <v>54942.015797432708</v>
      </c>
      <c r="R28" s="50">
        <f t="shared" si="37"/>
        <v>55437.424060085992</v>
      </c>
      <c r="S28" s="50">
        <f t="shared" si="37"/>
        <v>55937.299383933569</v>
      </c>
      <c r="T28" s="50">
        <f t="shared" si="37"/>
        <v>56441.682048149647</v>
      </c>
      <c r="U28" s="50">
        <f t="shared" si="37"/>
        <v>56950.612695102893</v>
      </c>
      <c r="V28" s="50">
        <f t="shared" si="37"/>
        <v>57464.132333631322</v>
      </c>
      <c r="W28" s="50">
        <f t="shared" si="37"/>
        <v>57982.282342346742</v>
      </c>
      <c r="X28" s="50">
        <f t="shared" si="37"/>
        <v>58505.104472968975</v>
      </c>
      <c r="Y28" s="50">
        <f t="shared" si="37"/>
        <v>59032.640853690136</v>
      </c>
      <c r="Z28" s="50">
        <f t="shared" si="37"/>
        <v>59564.933992569262</v>
      </c>
      <c r="AA28" s="50">
        <f t="shared" si="37"/>
        <v>60102.026780957545</v>
      </c>
      <c r="AB28" s="46">
        <f t="shared" si="37"/>
        <v>60643.962496954453</v>
      </c>
      <c r="AD28" s="45">
        <f>VLOOKUP(F28,'Mass Equivalents - States, Opt1'!$A$8:$K$56,11,0)</f>
        <v>150</v>
      </c>
      <c r="AE28" s="46">
        <f t="shared" si="5"/>
        <v>722.70000000000016</v>
      </c>
      <c r="AF28" s="50"/>
      <c r="AG28" s="49" t="s">
        <v>65</v>
      </c>
      <c r="AH28" s="50">
        <f t="shared" si="6"/>
        <v>3153435.5604335694</v>
      </c>
      <c r="AI28" s="50">
        <f t="shared" si="7"/>
        <v>3657818.2246496477</v>
      </c>
      <c r="AJ28" s="50">
        <f t="shared" si="8"/>
        <v>4166748.8716028938</v>
      </c>
      <c r="AK28" s="50">
        <f t="shared" si="9"/>
        <v>4680268.5101313228</v>
      </c>
      <c r="AL28" s="50">
        <f t="shared" si="10"/>
        <v>5198418.5188467428</v>
      </c>
      <c r="AM28" s="50">
        <f t="shared" si="11"/>
        <v>5721240.6494689761</v>
      </c>
      <c r="AN28" s="50">
        <f t="shared" si="12"/>
        <v>6248777.0301901372</v>
      </c>
      <c r="AO28" s="50">
        <f t="shared" si="13"/>
        <v>6781070.1690692632</v>
      </c>
      <c r="AP28" s="50">
        <f t="shared" si="14"/>
        <v>7318162.9574575461</v>
      </c>
      <c r="AQ28" s="46">
        <f t="shared" si="15"/>
        <v>7860098.6734544542</v>
      </c>
    </row>
    <row r="29" spans="1:43" x14ac:dyDescent="0.25">
      <c r="A29" s="38" t="s">
        <v>66</v>
      </c>
      <c r="B29" s="37" t="s">
        <v>132</v>
      </c>
      <c r="C29" s="37" t="s">
        <v>113</v>
      </c>
      <c r="D29" s="39">
        <v>4.0135572405839426E-3</v>
      </c>
      <c r="E29" s="36"/>
      <c r="F29" s="49" t="s">
        <v>66</v>
      </c>
      <c r="G29" s="43">
        <v>82536.004000000001</v>
      </c>
      <c r="H29" s="141">
        <v>7.51E-2</v>
      </c>
      <c r="I29" s="39">
        <f t="shared" si="0"/>
        <v>4.0135572405839426E-3</v>
      </c>
      <c r="J29" s="88"/>
      <c r="K29" s="45">
        <f t="shared" si="1"/>
        <v>88734.457900399997</v>
      </c>
      <c r="L29" s="50">
        <f t="shared" ref="L29:AB29" si="38">K29*(1+$I29)</f>
        <v>89090.598726395445</v>
      </c>
      <c r="M29" s="50">
        <f t="shared" si="38"/>
        <v>89448.168943981727</v>
      </c>
      <c r="N29" s="50">
        <f t="shared" si="38"/>
        <v>89807.174290103823</v>
      </c>
      <c r="O29" s="50">
        <f t="shared" si="38"/>
        <v>90167.62052473225</v>
      </c>
      <c r="P29" s="50">
        <f t="shared" si="38"/>
        <v>90529.513430955514</v>
      </c>
      <c r="Q29" s="50">
        <f t="shared" si="38"/>
        <v>90892.858815072861</v>
      </c>
      <c r="R29" s="50">
        <f t="shared" si="38"/>
        <v>91257.662506687469</v>
      </c>
      <c r="S29" s="50">
        <f t="shared" si="38"/>
        <v>91623.930358799946</v>
      </c>
      <c r="T29" s="50">
        <f t="shared" si="38"/>
        <v>91991.668247902271</v>
      </c>
      <c r="U29" s="50">
        <f t="shared" si="38"/>
        <v>92360.88207407204</v>
      </c>
      <c r="V29" s="50">
        <f t="shared" si="38"/>
        <v>92731.57776106715</v>
      </c>
      <c r="W29" s="50">
        <f t="shared" si="38"/>
        <v>93103.761256420854</v>
      </c>
      <c r="X29" s="50">
        <f t="shared" si="38"/>
        <v>93477.438531537162</v>
      </c>
      <c r="Y29" s="50">
        <f t="shared" si="38"/>
        <v>93852.615581786653</v>
      </c>
      <c r="Z29" s="50">
        <f t="shared" si="38"/>
        <v>94229.298426602676</v>
      </c>
      <c r="AA29" s="50">
        <f t="shared" si="38"/>
        <v>94607.493109577917</v>
      </c>
      <c r="AB29" s="46">
        <f t="shared" si="38"/>
        <v>94987.20569856136</v>
      </c>
      <c r="AD29" s="45">
        <f>VLOOKUP(F29,'Mass Equivalents - States, Opt1'!$A$8:$K$56,11,0)</f>
        <v>0</v>
      </c>
      <c r="AE29" s="46">
        <f t="shared" si="5"/>
        <v>0</v>
      </c>
      <c r="AF29" s="50"/>
      <c r="AG29" s="49" t="s">
        <v>66</v>
      </c>
      <c r="AH29" s="50">
        <f t="shared" si="6"/>
        <v>2889472.4583999487</v>
      </c>
      <c r="AI29" s="50">
        <f t="shared" si="7"/>
        <v>3257210.347502274</v>
      </c>
      <c r="AJ29" s="50">
        <f t="shared" si="8"/>
        <v>3626424.1736720433</v>
      </c>
      <c r="AK29" s="50">
        <f t="shared" si="9"/>
        <v>3997119.8606671533</v>
      </c>
      <c r="AL29" s="50">
        <f t="shared" si="10"/>
        <v>4369303.3560208566</v>
      </c>
      <c r="AM29" s="50">
        <f t="shared" si="11"/>
        <v>4742980.6311371652</v>
      </c>
      <c r="AN29" s="50">
        <f t="shared" si="12"/>
        <v>5118157.6813866561</v>
      </c>
      <c r="AO29" s="50">
        <f t="shared" si="13"/>
        <v>5494840.5262026787</v>
      </c>
      <c r="AP29" s="50">
        <f t="shared" si="14"/>
        <v>5873035.2091779206</v>
      </c>
      <c r="AQ29" s="46">
        <f t="shared" si="15"/>
        <v>6252747.7981613632</v>
      </c>
    </row>
    <row r="30" spans="1:43" x14ac:dyDescent="0.25">
      <c r="A30" s="38" t="s">
        <v>67</v>
      </c>
      <c r="B30" s="37" t="s">
        <v>126</v>
      </c>
      <c r="C30" s="37" t="s">
        <v>107</v>
      </c>
      <c r="D30" s="39">
        <v>1.0580405460089759E-2</v>
      </c>
      <c r="E30" s="36"/>
      <c r="F30" s="49" t="s">
        <v>67</v>
      </c>
      <c r="G30" s="43">
        <v>13954.857</v>
      </c>
      <c r="H30" s="141">
        <v>7.51E-2</v>
      </c>
      <c r="I30" s="39">
        <f t="shared" si="0"/>
        <v>1.0580405460089759E-2</v>
      </c>
      <c r="J30" s="88"/>
      <c r="K30" s="45">
        <f t="shared" si="1"/>
        <v>15002.866760699999</v>
      </c>
      <c r="L30" s="50">
        <f t="shared" ref="L30:AB30" si="39">K30*(1+$I30)</f>
        <v>15161.603174091908</v>
      </c>
      <c r="M30" s="50">
        <f t="shared" si="39"/>
        <v>15322.019083098785</v>
      </c>
      <c r="N30" s="50">
        <f t="shared" si="39"/>
        <v>15484.132257465202</v>
      </c>
      <c r="O30" s="50">
        <f t="shared" si="39"/>
        <v>15647.960654946839</v>
      </c>
      <c r="P30" s="50">
        <f t="shared" si="39"/>
        <v>15813.522423299708</v>
      </c>
      <c r="Q30" s="50">
        <f t="shared" si="39"/>
        <v>15980.835902290441</v>
      </c>
      <c r="R30" s="50">
        <f t="shared" si="39"/>
        <v>16149.919625727833</v>
      </c>
      <c r="S30" s="50">
        <f t="shared" si="39"/>
        <v>16320.792323515894</v>
      </c>
      <c r="T30" s="50">
        <f t="shared" si="39"/>
        <v>16493.472923728612</v>
      </c>
      <c r="U30" s="50">
        <f t="shared" si="39"/>
        <v>16667.980554706672</v>
      </c>
      <c r="V30" s="50">
        <f t="shared" si="39"/>
        <v>16844.334547176361</v>
      </c>
      <c r="W30" s="50">
        <f t="shared" si="39"/>
        <v>17022.554436390885</v>
      </c>
      <c r="X30" s="50">
        <f t="shared" si="39"/>
        <v>17202.659964294351</v>
      </c>
      <c r="Y30" s="50">
        <f t="shared" si="39"/>
        <v>17384.671081708639</v>
      </c>
      <c r="Z30" s="50">
        <f t="shared" si="39"/>
        <v>17568.607950543414</v>
      </c>
      <c r="AA30" s="50">
        <f t="shared" si="39"/>
        <v>17754.49094602952</v>
      </c>
      <c r="AB30" s="46">
        <f t="shared" si="39"/>
        <v>17942.340658976005</v>
      </c>
      <c r="AD30" s="45">
        <f>VLOOKUP(F30,'Mass Equivalents - States, Opt1'!$A$8:$K$56,11,0)</f>
        <v>0</v>
      </c>
      <c r="AE30" s="46">
        <f t="shared" si="5"/>
        <v>0</v>
      </c>
      <c r="AF30" s="50"/>
      <c r="AG30" s="49" t="s">
        <v>67</v>
      </c>
      <c r="AH30" s="50">
        <f t="shared" si="6"/>
        <v>1317925.5628158953</v>
      </c>
      <c r="AI30" s="50">
        <f t="shared" si="7"/>
        <v>1490606.1630286132</v>
      </c>
      <c r="AJ30" s="50">
        <f t="shared" si="8"/>
        <v>1665113.7940066729</v>
      </c>
      <c r="AK30" s="50">
        <f t="shared" si="9"/>
        <v>1841467.7864763616</v>
      </c>
      <c r="AL30" s="50">
        <f t="shared" si="10"/>
        <v>2019687.6756908859</v>
      </c>
      <c r="AM30" s="50">
        <f t="shared" si="11"/>
        <v>2199793.2035943521</v>
      </c>
      <c r="AN30" s="50">
        <f t="shared" si="12"/>
        <v>2381804.3210086399</v>
      </c>
      <c r="AO30" s="50">
        <f t="shared" si="13"/>
        <v>2565741.1898434148</v>
      </c>
      <c r="AP30" s="50">
        <f t="shared" si="14"/>
        <v>2751624.1853295215</v>
      </c>
      <c r="AQ30" s="46">
        <f t="shared" si="15"/>
        <v>2939473.8982760063</v>
      </c>
    </row>
    <row r="31" spans="1:43" x14ac:dyDescent="0.25">
      <c r="A31" s="38" t="s">
        <v>68</v>
      </c>
      <c r="B31" s="37" t="s">
        <v>128</v>
      </c>
      <c r="C31" s="37" t="s">
        <v>109</v>
      </c>
      <c r="D31" s="39">
        <v>5.2872137507693484E-3</v>
      </c>
      <c r="E31" s="36"/>
      <c r="F31" s="49" t="s">
        <v>68</v>
      </c>
      <c r="G31" s="43">
        <v>30920.703999999998</v>
      </c>
      <c r="H31" s="141">
        <v>7.51E-2</v>
      </c>
      <c r="I31" s="39">
        <f t="shared" si="0"/>
        <v>5.2872137507693484E-3</v>
      </c>
      <c r="J31" s="88"/>
      <c r="K31" s="45">
        <f t="shared" si="1"/>
        <v>33242.848870399997</v>
      </c>
      <c r="L31" s="50">
        <f t="shared" ref="L31:AB31" si="40">K31*(1+$I31)</f>
        <v>33418.610918062324</v>
      </c>
      <c r="M31" s="50">
        <f t="shared" si="40"/>
        <v>33595.302257239913</v>
      </c>
      <c r="N31" s="50">
        <f t="shared" si="40"/>
        <v>33772.927801295642</v>
      </c>
      <c r="O31" s="50">
        <f t="shared" si="40"/>
        <v>33951.492489570395</v>
      </c>
      <c r="P31" s="50">
        <f t="shared" si="40"/>
        <v>34131.001287520397</v>
      </c>
      <c r="Q31" s="50">
        <f t="shared" si="40"/>
        <v>34311.459186855303</v>
      </c>
      <c r="R31" s="50">
        <f t="shared" si="40"/>
        <v>34492.871205677009</v>
      </c>
      <c r="S31" s="50">
        <f t="shared" si="40"/>
        <v>34675.242388619183</v>
      </c>
      <c r="T31" s="50">
        <f t="shared" si="40"/>
        <v>34858.577806987552</v>
      </c>
      <c r="U31" s="50">
        <f t="shared" si="40"/>
        <v>35042.882558900921</v>
      </c>
      <c r="V31" s="50">
        <f t="shared" si="40"/>
        <v>35228.16176943294</v>
      </c>
      <c r="W31" s="50">
        <f t="shared" si="40"/>
        <v>35414.420590754613</v>
      </c>
      <c r="X31" s="50">
        <f t="shared" si="40"/>
        <v>35601.664202277578</v>
      </c>
      <c r="Y31" s="50">
        <f t="shared" si="40"/>
        <v>35789.897810798131</v>
      </c>
      <c r="Z31" s="50">
        <f t="shared" si="40"/>
        <v>35979.126650642014</v>
      </c>
      <c r="AA31" s="50">
        <f t="shared" si="40"/>
        <v>36169.355983809961</v>
      </c>
      <c r="AB31" s="46">
        <f t="shared" si="40"/>
        <v>36360.591100124031</v>
      </c>
      <c r="AD31" s="45">
        <f>VLOOKUP(F31,'Mass Equivalents - States, Opt1'!$A$8:$K$56,11,0)</f>
        <v>0</v>
      </c>
      <c r="AE31" s="46">
        <f t="shared" si="5"/>
        <v>0</v>
      </c>
      <c r="AF31" s="50"/>
      <c r="AG31" s="49" t="s">
        <v>68</v>
      </c>
      <c r="AH31" s="50">
        <f t="shared" si="6"/>
        <v>1432393.5182191853</v>
      </c>
      <c r="AI31" s="50">
        <f t="shared" si="7"/>
        <v>1615728.9365875549</v>
      </c>
      <c r="AJ31" s="50">
        <f t="shared" si="8"/>
        <v>1800033.6885009238</v>
      </c>
      <c r="AK31" s="50">
        <f t="shared" si="9"/>
        <v>1985312.8990329425</v>
      </c>
      <c r="AL31" s="50">
        <f t="shared" si="10"/>
        <v>2171571.7203546157</v>
      </c>
      <c r="AM31" s="50">
        <f t="shared" si="11"/>
        <v>2358815.3318775804</v>
      </c>
      <c r="AN31" s="50">
        <f t="shared" si="12"/>
        <v>2547048.9403981338</v>
      </c>
      <c r="AO31" s="50">
        <f t="shared" si="13"/>
        <v>2736277.780242017</v>
      </c>
      <c r="AP31" s="50">
        <f t="shared" si="14"/>
        <v>2926507.1134099634</v>
      </c>
      <c r="AQ31" s="46">
        <f t="shared" si="15"/>
        <v>3117742.2297240337</v>
      </c>
    </row>
    <row r="32" spans="1:43" x14ac:dyDescent="0.25">
      <c r="A32" s="38" t="s">
        <v>69</v>
      </c>
      <c r="B32" s="37" t="s">
        <v>126</v>
      </c>
      <c r="C32" s="37" t="s">
        <v>107</v>
      </c>
      <c r="D32" s="39">
        <v>1.0580405460089759E-2</v>
      </c>
      <c r="E32" s="36"/>
      <c r="F32" s="49" t="s">
        <v>69</v>
      </c>
      <c r="G32" s="43">
        <v>35368.674999999996</v>
      </c>
      <c r="H32" s="141">
        <v>7.51E-2</v>
      </c>
      <c r="I32" s="39">
        <f t="shared" si="0"/>
        <v>1.0580405460089759E-2</v>
      </c>
      <c r="J32" s="88"/>
      <c r="K32" s="45">
        <f t="shared" si="1"/>
        <v>38024.862492499997</v>
      </c>
      <c r="L32" s="50">
        <f t="shared" ref="L32:AB32" si="41">K32*(1+$I32)</f>
        <v>38427.180955234806</v>
      </c>
      <c r="M32" s="50">
        <f t="shared" si="41"/>
        <v>38833.756110429429</v>
      </c>
      <c r="N32" s="50">
        <f t="shared" si="41"/>
        <v>39244.632995616012</v>
      </c>
      <c r="O32" s="50">
        <f t="shared" si="41"/>
        <v>39659.857124842049</v>
      </c>
      <c r="P32" s="50">
        <f t="shared" si="41"/>
        <v>40079.474493712107</v>
      </c>
      <c r="Q32" s="50">
        <f t="shared" si="41"/>
        <v>40503.531584482909</v>
      </c>
      <c r="R32" s="50">
        <f t="shared" si="41"/>
        <v>40932.07537121229</v>
      </c>
      <c r="S32" s="50">
        <f t="shared" si="41"/>
        <v>41365.153324962666</v>
      </c>
      <c r="T32" s="50">
        <f t="shared" si="41"/>
        <v>41802.813419059552</v>
      </c>
      <c r="U32" s="50">
        <f t="shared" si="41"/>
        <v>42245.104134405687</v>
      </c>
      <c r="V32" s="50">
        <f t="shared" si="41"/>
        <v>42692.074464851416</v>
      </c>
      <c r="W32" s="50">
        <f t="shared" si="41"/>
        <v>43143.773922621891</v>
      </c>
      <c r="X32" s="50">
        <f t="shared" si="41"/>
        <v>43600.252543801675</v>
      </c>
      <c r="Y32" s="50">
        <f t="shared" si="41"/>
        <v>44061.560893877409</v>
      </c>
      <c r="Z32" s="50">
        <f t="shared" si="41"/>
        <v>44527.75007333907</v>
      </c>
      <c r="AA32" s="50">
        <f t="shared" si="41"/>
        <v>44998.87172334054</v>
      </c>
      <c r="AB32" s="46">
        <f t="shared" si="41"/>
        <v>45474.978031420054</v>
      </c>
      <c r="AD32" s="45">
        <f>VLOOKUP(F32,'Mass Equivalents - States, Opt1'!$A$8:$K$56,11,0)</f>
        <v>0</v>
      </c>
      <c r="AE32" s="46">
        <f t="shared" si="5"/>
        <v>0</v>
      </c>
      <c r="AF32" s="50"/>
      <c r="AG32" s="49" t="s">
        <v>69</v>
      </c>
      <c r="AH32" s="50">
        <f t="shared" si="6"/>
        <v>3340290.8324626698</v>
      </c>
      <c r="AI32" s="50">
        <f t="shared" si="7"/>
        <v>3777950.9265595553</v>
      </c>
      <c r="AJ32" s="50">
        <f t="shared" si="8"/>
        <v>4220241.6419056896</v>
      </c>
      <c r="AK32" s="50">
        <f t="shared" si="9"/>
        <v>4667211.9723514188</v>
      </c>
      <c r="AL32" s="50">
        <f t="shared" si="10"/>
        <v>5118911.430121894</v>
      </c>
      <c r="AM32" s="50">
        <f t="shared" si="11"/>
        <v>5575390.0513016777</v>
      </c>
      <c r="AN32" s="50">
        <f t="shared" si="12"/>
        <v>6036698.4013774125</v>
      </c>
      <c r="AO32" s="50">
        <f t="shared" si="13"/>
        <v>6502887.5808390733</v>
      </c>
      <c r="AP32" s="50">
        <f t="shared" si="14"/>
        <v>6974009.2308405433</v>
      </c>
      <c r="AQ32" s="46">
        <f t="shared" si="15"/>
        <v>7450115.5389200579</v>
      </c>
    </row>
    <row r="33" spans="1:43" x14ac:dyDescent="0.25">
      <c r="A33" s="38" t="s">
        <v>70</v>
      </c>
      <c r="B33" s="37" t="s">
        <v>124</v>
      </c>
      <c r="C33" s="37" t="s">
        <v>104</v>
      </c>
      <c r="D33" s="39">
        <v>2.8959581528922307E-3</v>
      </c>
      <c r="E33" s="36"/>
      <c r="F33" s="49" t="s">
        <v>70</v>
      </c>
      <c r="G33" s="43">
        <v>10921.902</v>
      </c>
      <c r="H33" s="141">
        <v>7.51E-2</v>
      </c>
      <c r="I33" s="39">
        <f t="shared" si="0"/>
        <v>2.8959581528922307E-3</v>
      </c>
      <c r="J33" s="88"/>
      <c r="K33" s="45">
        <f t="shared" si="1"/>
        <v>11742.136840199999</v>
      </c>
      <c r="L33" s="50">
        <f t="shared" ref="L33:AB33" si="42">K33*(1+$I33)</f>
        <v>11776.141577114753</v>
      </c>
      <c r="M33" s="50">
        <f t="shared" si="42"/>
        <v>11810.244790324612</v>
      </c>
      <c r="N33" s="50">
        <f t="shared" si="42"/>
        <v>11844.446765012806</v>
      </c>
      <c r="O33" s="50">
        <f t="shared" si="42"/>
        <v>11878.747787188444</v>
      </c>
      <c r="P33" s="50">
        <f t="shared" si="42"/>
        <v>11913.148143688903</v>
      </c>
      <c r="Q33" s="50">
        <f t="shared" si="42"/>
        <v>11947.648122182231</v>
      </c>
      <c r="R33" s="50">
        <f t="shared" si="42"/>
        <v>11982.248011169551</v>
      </c>
      <c r="S33" s="50">
        <f t="shared" si="42"/>
        <v>12016.948099987474</v>
      </c>
      <c r="T33" s="50">
        <f t="shared" si="42"/>
        <v>12051.748678810516</v>
      </c>
      <c r="U33" s="50">
        <f t="shared" si="42"/>
        <v>12086.650038653526</v>
      </c>
      <c r="V33" s="50">
        <f t="shared" si="42"/>
        <v>12121.65247137412</v>
      </c>
      <c r="W33" s="50">
        <f t="shared" si="42"/>
        <v>12156.756269675123</v>
      </c>
      <c r="X33" s="50">
        <f t="shared" si="42"/>
        <v>12191.961727107013</v>
      </c>
      <c r="Y33" s="50">
        <f t="shared" si="42"/>
        <v>12227.269138070378</v>
      </c>
      <c r="Z33" s="50">
        <f t="shared" si="42"/>
        <v>12262.67879781838</v>
      </c>
      <c r="AA33" s="50">
        <f t="shared" si="42"/>
        <v>12298.191002459222</v>
      </c>
      <c r="AB33" s="46">
        <f t="shared" si="42"/>
        <v>12333.806048958619</v>
      </c>
      <c r="AD33" s="45">
        <f>VLOOKUP(F33,'Mass Equivalents - States, Opt1'!$A$8:$K$56,11,0)</f>
        <v>0</v>
      </c>
      <c r="AE33" s="46">
        <f t="shared" si="5"/>
        <v>0</v>
      </c>
      <c r="AF33" s="50"/>
      <c r="AG33" s="49" t="s">
        <v>70</v>
      </c>
      <c r="AH33" s="50">
        <f t="shared" si="6"/>
        <v>274811.25978747511</v>
      </c>
      <c r="AI33" s="50">
        <f t="shared" si="7"/>
        <v>309611.83861051721</v>
      </c>
      <c r="AJ33" s="50">
        <f t="shared" si="8"/>
        <v>344513.19845352735</v>
      </c>
      <c r="AK33" s="50">
        <f t="shared" si="9"/>
        <v>379515.63117412117</v>
      </c>
      <c r="AL33" s="50">
        <f t="shared" si="10"/>
        <v>414619.42947512399</v>
      </c>
      <c r="AM33" s="50">
        <f t="shared" si="11"/>
        <v>449824.88690701395</v>
      </c>
      <c r="AN33" s="50">
        <f t="shared" si="12"/>
        <v>485132.29787037929</v>
      </c>
      <c r="AO33" s="50">
        <f t="shared" si="13"/>
        <v>520541.95761838125</v>
      </c>
      <c r="AP33" s="50">
        <f t="shared" si="14"/>
        <v>556054.16225922271</v>
      </c>
      <c r="AQ33" s="46">
        <f t="shared" si="15"/>
        <v>591669.20875861985</v>
      </c>
    </row>
    <row r="34" spans="1:43" x14ac:dyDescent="0.25">
      <c r="A34" s="38" t="s">
        <v>71</v>
      </c>
      <c r="B34" s="37" t="s">
        <v>125</v>
      </c>
      <c r="C34" s="37" t="s">
        <v>105</v>
      </c>
      <c r="D34" s="39">
        <v>5.5101388998850531E-3</v>
      </c>
      <c r="E34" s="36"/>
      <c r="F34" s="49" t="s">
        <v>71</v>
      </c>
      <c r="G34" s="43">
        <v>75208.433000000005</v>
      </c>
      <c r="H34" s="141">
        <v>7.51E-2</v>
      </c>
      <c r="I34" s="39">
        <f t="shared" si="0"/>
        <v>5.5101388998850531E-3</v>
      </c>
      <c r="J34" s="88"/>
      <c r="K34" s="45">
        <f t="shared" si="1"/>
        <v>80856.586318300004</v>
      </c>
      <c r="L34" s="50">
        <f t="shared" ref="L34:AB34" si="43">K34*(1+$I34)</f>
        <v>81302.117339884382</v>
      </c>
      <c r="M34" s="50">
        <f t="shared" si="43"/>
        <v>81750.103299281895</v>
      </c>
      <c r="N34" s="50">
        <f t="shared" si="43"/>
        <v>82200.557723540885</v>
      </c>
      <c r="O34" s="50">
        <f t="shared" si="43"/>
        <v>82653.494214245613</v>
      </c>
      <c r="P34" s="50">
        <f t="shared" si="43"/>
        <v>83108.926447926948</v>
      </c>
      <c r="Q34" s="50">
        <f t="shared" si="43"/>
        <v>83566.868176475356</v>
      </c>
      <c r="R34" s="50">
        <f t="shared" si="43"/>
        <v>84027.333227556126</v>
      </c>
      <c r="S34" s="50">
        <f t="shared" si="43"/>
        <v>84490.335505026887</v>
      </c>
      <c r="T34" s="50">
        <f t="shared" si="43"/>
        <v>84955.888989357481</v>
      </c>
      <c r="U34" s="50">
        <f t="shared" si="43"/>
        <v>85424.007738052052</v>
      </c>
      <c r="V34" s="50">
        <f t="shared" si="43"/>
        <v>85894.705886073571</v>
      </c>
      <c r="W34" s="50">
        <f t="shared" si="43"/>
        <v>86367.997646270611</v>
      </c>
      <c r="X34" s="50">
        <f t="shared" si="43"/>
        <v>86843.897309806503</v>
      </c>
      <c r="Y34" s="50">
        <f t="shared" si="43"/>
        <v>87322.419246590885</v>
      </c>
      <c r="Z34" s="50">
        <f t="shared" si="43"/>
        <v>87803.577905713595</v>
      </c>
      <c r="AA34" s="50">
        <f t="shared" si="43"/>
        <v>88287.387815880953</v>
      </c>
      <c r="AB34" s="46">
        <f t="shared" si="43"/>
        <v>88773.863585854473</v>
      </c>
      <c r="AD34" s="45">
        <f>VLOOKUP(F34,'Mass Equivalents - States, Opt1'!$A$8:$K$56,11,0)</f>
        <v>0</v>
      </c>
      <c r="AE34" s="46">
        <f t="shared" si="5"/>
        <v>0</v>
      </c>
      <c r="AF34" s="50"/>
      <c r="AG34" s="49" t="s">
        <v>71</v>
      </c>
      <c r="AH34" s="50">
        <f t="shared" si="6"/>
        <v>3633749.1867268835</v>
      </c>
      <c r="AI34" s="50">
        <f t="shared" si="7"/>
        <v>4099302.6710574776</v>
      </c>
      <c r="AJ34" s="50">
        <f t="shared" si="8"/>
        <v>4567421.4197520483</v>
      </c>
      <c r="AK34" s="50">
        <f t="shared" si="9"/>
        <v>5038119.5677735666</v>
      </c>
      <c r="AL34" s="50">
        <f t="shared" si="10"/>
        <v>5511411.3279706072</v>
      </c>
      <c r="AM34" s="50">
        <f t="shared" si="11"/>
        <v>5987310.9915065002</v>
      </c>
      <c r="AN34" s="50">
        <f t="shared" si="12"/>
        <v>6465832.9282908812</v>
      </c>
      <c r="AO34" s="50">
        <f t="shared" si="13"/>
        <v>6946991.5874135913</v>
      </c>
      <c r="AP34" s="50">
        <f t="shared" si="14"/>
        <v>7430801.4975809492</v>
      </c>
      <c r="AQ34" s="46">
        <f t="shared" si="15"/>
        <v>7917277.2675544694</v>
      </c>
    </row>
    <row r="35" spans="1:43" x14ac:dyDescent="0.25">
      <c r="A35" s="38" t="s">
        <v>72</v>
      </c>
      <c r="B35" s="37" t="s">
        <v>120</v>
      </c>
      <c r="C35" s="37" t="s">
        <v>100</v>
      </c>
      <c r="D35" s="39">
        <v>1.3085992711217465E-2</v>
      </c>
      <c r="E35" s="36"/>
      <c r="F35" s="49" t="s">
        <v>72</v>
      </c>
      <c r="G35" s="43">
        <v>23316.735000000001</v>
      </c>
      <c r="H35" s="141">
        <v>7.51E-2</v>
      </c>
      <c r="I35" s="39">
        <f t="shared" si="0"/>
        <v>1.3085992711217465E-2</v>
      </c>
      <c r="J35" s="88"/>
      <c r="K35" s="45">
        <f t="shared" si="1"/>
        <v>25067.821798500001</v>
      </c>
      <c r="L35" s="50">
        <f t="shared" ref="L35:AB35" si="44">K35*(1+$I35)</f>
        <v>25395.859131841269</v>
      </c>
      <c r="M35" s="50">
        <f t="shared" si="44"/>
        <v>25728.189159335649</v>
      </c>
      <c r="N35" s="50">
        <f t="shared" si="44"/>
        <v>26064.868055147541</v>
      </c>
      <c r="O35" s="50">
        <f t="shared" si="44"/>
        <v>26405.952728536045</v>
      </c>
      <c r="P35" s="50">
        <f t="shared" si="44"/>
        <v>26751.50083347442</v>
      </c>
      <c r="Q35" s="50">
        <f t="shared" si="44"/>
        <v>27101.570778395395</v>
      </c>
      <c r="R35" s="50">
        <f t="shared" si="44"/>
        <v>27456.221736064021</v>
      </c>
      <c r="S35" s="50">
        <f t="shared" si="44"/>
        <v>27815.513653579725</v>
      </c>
      <c r="T35" s="50">
        <f t="shared" si="44"/>
        <v>28179.50726250924</v>
      </c>
      <c r="U35" s="50">
        <f t="shared" si="44"/>
        <v>28548.264089152137</v>
      </c>
      <c r="V35" s="50">
        <f t="shared" si="44"/>
        <v>28921.846464940692</v>
      </c>
      <c r="W35" s="50">
        <f t="shared" si="44"/>
        <v>29300.317536975857</v>
      </c>
      <c r="X35" s="50">
        <f t="shared" si="44"/>
        <v>29683.74127870108</v>
      </c>
      <c r="Y35" s="50">
        <f t="shared" si="44"/>
        <v>30072.182500715826</v>
      </c>
      <c r="Z35" s="50">
        <f t="shared" si="44"/>
        <v>30465.706861730596</v>
      </c>
      <c r="AA35" s="50">
        <f t="shared" si="44"/>
        <v>30864.380879665292</v>
      </c>
      <c r="AB35" s="46">
        <f t="shared" si="44"/>
        <v>31268.271942892832</v>
      </c>
      <c r="AD35" s="45">
        <f>VLOOKUP(F35,'Mass Equivalents - States, Opt1'!$A$8:$K$56,11,0)</f>
        <v>0</v>
      </c>
      <c r="AE35" s="46">
        <f t="shared" si="5"/>
        <v>0</v>
      </c>
      <c r="AF35" s="50"/>
      <c r="AG35" s="49" t="s">
        <v>72</v>
      </c>
      <c r="AH35" s="50">
        <f t="shared" si="6"/>
        <v>2747691.8550797235</v>
      </c>
      <c r="AI35" s="50">
        <f t="shared" si="7"/>
        <v>3111685.4640092389</v>
      </c>
      <c r="AJ35" s="50">
        <f t="shared" si="8"/>
        <v>3480442.2906521359</v>
      </c>
      <c r="AK35" s="50">
        <f t="shared" si="9"/>
        <v>3854024.6664406913</v>
      </c>
      <c r="AL35" s="50">
        <f t="shared" si="10"/>
        <v>4232495.7384758564</v>
      </c>
      <c r="AM35" s="50">
        <f t="shared" si="11"/>
        <v>4615919.4802010786</v>
      </c>
      <c r="AN35" s="50">
        <f t="shared" si="12"/>
        <v>5004360.7022158252</v>
      </c>
      <c r="AO35" s="50">
        <f t="shared" si="13"/>
        <v>5397885.0632305946</v>
      </c>
      <c r="AP35" s="50">
        <f t="shared" si="14"/>
        <v>5796559.0811652914</v>
      </c>
      <c r="AQ35" s="46">
        <f t="shared" si="15"/>
        <v>6200450.1443928313</v>
      </c>
    </row>
    <row r="36" spans="1:43" x14ac:dyDescent="0.25">
      <c r="A36" s="38" t="s">
        <v>73</v>
      </c>
      <c r="B36" s="37" t="s">
        <v>133</v>
      </c>
      <c r="C36" s="37" t="s">
        <v>114</v>
      </c>
      <c r="D36" s="39">
        <v>2.474911100418975E-3</v>
      </c>
      <c r="E36" s="36"/>
      <c r="F36" s="49" t="s">
        <v>73</v>
      </c>
      <c r="G36" s="43">
        <v>144500.728</v>
      </c>
      <c r="H36" s="141">
        <v>7.51E-2</v>
      </c>
      <c r="I36" s="39">
        <f t="shared" si="0"/>
        <v>2.474911100418975E-3</v>
      </c>
      <c r="J36" s="88"/>
      <c r="K36" s="45">
        <f t="shared" si="1"/>
        <v>155352.73267279999</v>
      </c>
      <c r="L36" s="50">
        <f t="shared" ref="L36:AB36" si="45">K36*(1+$I36)</f>
        <v>155737.21687537234</v>
      </c>
      <c r="M36" s="50">
        <f t="shared" si="45"/>
        <v>156122.65264216554</v>
      </c>
      <c r="N36" s="50">
        <f t="shared" si="45"/>
        <v>156509.04232821648</v>
      </c>
      <c r="O36" s="50">
        <f t="shared" si="45"/>
        <v>156896.38829439052</v>
      </c>
      <c r="P36" s="50">
        <f t="shared" si="45"/>
        <v>157284.69290739595</v>
      </c>
      <c r="Q36" s="50">
        <f t="shared" si="45"/>
        <v>157673.95853979845</v>
      </c>
      <c r="R36" s="50">
        <f t="shared" si="45"/>
        <v>158064.1875700356</v>
      </c>
      <c r="S36" s="50">
        <f t="shared" si="45"/>
        <v>158455.38238243139</v>
      </c>
      <c r="T36" s="50">
        <f t="shared" si="45"/>
        <v>158847.54536721081</v>
      </c>
      <c r="U36" s="50">
        <f t="shared" si="45"/>
        <v>159240.67892051442</v>
      </c>
      <c r="V36" s="50">
        <f t="shared" si="45"/>
        <v>159634.78544441305</v>
      </c>
      <c r="W36" s="50">
        <f t="shared" si="45"/>
        <v>160029.86734692243</v>
      </c>
      <c r="X36" s="50">
        <f t="shared" si="45"/>
        <v>160425.92704201789</v>
      </c>
      <c r="Y36" s="50">
        <f t="shared" si="45"/>
        <v>160822.96694964918</v>
      </c>
      <c r="Z36" s="50">
        <f t="shared" si="45"/>
        <v>161220.98949575517</v>
      </c>
      <c r="AA36" s="50">
        <f t="shared" si="45"/>
        <v>161619.99711227874</v>
      </c>
      <c r="AB36" s="46">
        <f t="shared" si="45"/>
        <v>162019.99223718161</v>
      </c>
      <c r="AD36" s="45">
        <f>VLOOKUP(F36,'Mass Equivalents - States, Opt1'!$A$8:$K$56,11,0)</f>
        <v>0</v>
      </c>
      <c r="AE36" s="46">
        <f t="shared" si="5"/>
        <v>0</v>
      </c>
      <c r="AF36" s="50"/>
      <c r="AG36" s="49" t="s">
        <v>73</v>
      </c>
      <c r="AH36" s="50">
        <f t="shared" si="6"/>
        <v>3102649.7096313979</v>
      </c>
      <c r="AI36" s="50">
        <f t="shared" si="7"/>
        <v>3494812.6944108224</v>
      </c>
      <c r="AJ36" s="50">
        <f t="shared" si="8"/>
        <v>3887946.2477144264</v>
      </c>
      <c r="AK36" s="50">
        <f t="shared" si="9"/>
        <v>4282052.7716130596</v>
      </c>
      <c r="AL36" s="50">
        <f t="shared" si="10"/>
        <v>4677134.6741224406</v>
      </c>
      <c r="AM36" s="50">
        <f t="shared" si="11"/>
        <v>5073194.3692179043</v>
      </c>
      <c r="AN36" s="50">
        <f t="shared" si="12"/>
        <v>5470234.2768491944</v>
      </c>
      <c r="AO36" s="50">
        <f t="shared" si="13"/>
        <v>5868256.8229551837</v>
      </c>
      <c r="AP36" s="50">
        <f t="shared" si="14"/>
        <v>6267264.4394787494</v>
      </c>
      <c r="AQ36" s="46">
        <f t="shared" si="15"/>
        <v>6667259.5643816162</v>
      </c>
    </row>
    <row r="37" spans="1:43" x14ac:dyDescent="0.25">
      <c r="A37" s="38" t="s">
        <v>74</v>
      </c>
      <c r="B37" s="37" t="s">
        <v>134</v>
      </c>
      <c r="C37" s="37" t="s">
        <v>115</v>
      </c>
      <c r="D37" s="39">
        <v>1.1324209138421581E-2</v>
      </c>
      <c r="E37" s="36"/>
      <c r="F37" s="49" t="s">
        <v>74</v>
      </c>
      <c r="G37" s="43">
        <v>128555.117</v>
      </c>
      <c r="H37" s="141">
        <v>7.51E-2</v>
      </c>
      <c r="I37" s="39">
        <f t="shared" ref="I37:I53" si="46">VLOOKUP(F37,$A$5:$D$53,4,0)</f>
        <v>1.1324209138421581E-2</v>
      </c>
      <c r="J37" s="88"/>
      <c r="K37" s="45">
        <f t="shared" ref="K37:K53" si="47">G37*(1+$H37)</f>
        <v>138209.6062867</v>
      </c>
      <c r="L37" s="50">
        <f t="shared" ref="L37:AB37" si="48">K37*(1+$I37)</f>
        <v>139774.72077322949</v>
      </c>
      <c r="M37" s="50">
        <f t="shared" si="48"/>
        <v>141357.55894353002</v>
      </c>
      <c r="N37" s="50">
        <f t="shared" si="48"/>
        <v>142958.32150430331</v>
      </c>
      <c r="O37" s="50">
        <f t="shared" si="48"/>
        <v>144577.21143509576</v>
      </c>
      <c r="P37" s="50">
        <f t="shared" si="48"/>
        <v>146214.43401403658</v>
      </c>
      <c r="Q37" s="50">
        <f t="shared" si="48"/>
        <v>147870.19684386748</v>
      </c>
      <c r="R37" s="50">
        <f t="shared" si="48"/>
        <v>149544.70987826699</v>
      </c>
      <c r="S37" s="50">
        <f t="shared" si="48"/>
        <v>151238.18544847306</v>
      </c>
      <c r="T37" s="50">
        <f t="shared" si="48"/>
        <v>152950.83829020694</v>
      </c>
      <c r="U37" s="50">
        <f t="shared" si="48"/>
        <v>154682.88557090214</v>
      </c>
      <c r="V37" s="50">
        <f t="shared" si="48"/>
        <v>156434.54691724156</v>
      </c>
      <c r="W37" s="50">
        <f t="shared" si="48"/>
        <v>158206.04444300663</v>
      </c>
      <c r="X37" s="50">
        <f t="shared" si="48"/>
        <v>159997.60277724164</v>
      </c>
      <c r="Y37" s="50">
        <f t="shared" si="48"/>
        <v>161809.44909273722</v>
      </c>
      <c r="Z37" s="50">
        <f t="shared" si="48"/>
        <v>163641.81313483615</v>
      </c>
      <c r="AA37" s="50">
        <f t="shared" si="48"/>
        <v>165494.92725056552</v>
      </c>
      <c r="AB37" s="46">
        <f t="shared" si="48"/>
        <v>167369.0264180988</v>
      </c>
      <c r="AD37" s="45">
        <f>VLOOKUP(F37,'Mass Equivalents - States, Opt1'!$A$8:$K$56,11,0)</f>
        <v>2249</v>
      </c>
      <c r="AE37" s="46">
        <f t="shared" si="5"/>
        <v>10835.682000000001</v>
      </c>
      <c r="AF37" s="50"/>
      <c r="AG37" s="49" t="s">
        <v>74</v>
      </c>
      <c r="AH37" s="50">
        <f t="shared" si="6"/>
        <v>2192897.1617730567</v>
      </c>
      <c r="AI37" s="50">
        <f t="shared" si="7"/>
        <v>3905550.0035069417</v>
      </c>
      <c r="AJ37" s="50">
        <f t="shared" si="8"/>
        <v>5637597.2842021435</v>
      </c>
      <c r="AK37" s="50">
        <f t="shared" si="9"/>
        <v>7389258.6305415612</v>
      </c>
      <c r="AL37" s="50">
        <f t="shared" si="10"/>
        <v>9160756.1563066263</v>
      </c>
      <c r="AM37" s="50">
        <f t="shared" si="11"/>
        <v>10952314.490541641</v>
      </c>
      <c r="AN37" s="50">
        <f t="shared" si="12"/>
        <v>12764160.806037223</v>
      </c>
      <c r="AO37" s="50">
        <f t="shared" si="13"/>
        <v>14596524.848136149</v>
      </c>
      <c r="AP37" s="50">
        <f t="shared" si="14"/>
        <v>16449638.963865524</v>
      </c>
      <c r="AQ37" s="46">
        <f t="shared" si="15"/>
        <v>18323738.131398801</v>
      </c>
    </row>
    <row r="38" spans="1:43" x14ac:dyDescent="0.25">
      <c r="A38" s="38" t="s">
        <v>75</v>
      </c>
      <c r="B38" s="37" t="s">
        <v>128</v>
      </c>
      <c r="C38" s="37" t="s">
        <v>109</v>
      </c>
      <c r="D38" s="39">
        <v>5.2872137507693484E-3</v>
      </c>
      <c r="E38" s="36"/>
      <c r="F38" s="49" t="s">
        <v>75</v>
      </c>
      <c r="G38" s="43">
        <v>14727.286</v>
      </c>
      <c r="H38" s="141">
        <v>7.51E-2</v>
      </c>
      <c r="I38" s="39">
        <f t="shared" si="46"/>
        <v>5.2872137507693484E-3</v>
      </c>
      <c r="J38" s="88"/>
      <c r="K38" s="45">
        <f t="shared" si="47"/>
        <v>15833.3051786</v>
      </c>
      <c r="L38" s="50">
        <f t="shared" ref="L38:AB38" si="49">K38*(1+$I38)</f>
        <v>15917.019247460421</v>
      </c>
      <c r="M38" s="50">
        <f t="shared" si="49"/>
        <v>16001.175930496855</v>
      </c>
      <c r="N38" s="50">
        <f t="shared" si="49"/>
        <v>16085.777567905057</v>
      </c>
      <c r="O38" s="50">
        <f t="shared" si="49"/>
        <v>16170.826512253901</v>
      </c>
      <c r="P38" s="50">
        <f t="shared" si="49"/>
        <v>16256.325128550796</v>
      </c>
      <c r="Q38" s="50">
        <f t="shared" si="49"/>
        <v>16342.275794307447</v>
      </c>
      <c r="R38" s="50">
        <f t="shared" si="49"/>
        <v>16428.680899605974</v>
      </c>
      <c r="S38" s="50">
        <f t="shared" si="49"/>
        <v>16515.542847165372</v>
      </c>
      <c r="T38" s="50">
        <f t="shared" si="49"/>
        <v>16602.864052408324</v>
      </c>
      <c r="U38" s="50">
        <f t="shared" si="49"/>
        <v>16690.646943528373</v>
      </c>
      <c r="V38" s="50">
        <f t="shared" si="49"/>
        <v>16778.893961557431</v>
      </c>
      <c r="W38" s="50">
        <f t="shared" si="49"/>
        <v>16867.607560433677</v>
      </c>
      <c r="X38" s="50">
        <f t="shared" si="49"/>
        <v>16956.790207069782</v>
      </c>
      <c r="Y38" s="50">
        <f t="shared" si="49"/>
        <v>17046.444381421512</v>
      </c>
      <c r="Z38" s="50">
        <f t="shared" si="49"/>
        <v>17136.572576556689</v>
      </c>
      <c r="AA38" s="50">
        <f t="shared" si="49"/>
        <v>17227.177298724517</v>
      </c>
      <c r="AB38" s="46">
        <f t="shared" si="49"/>
        <v>17318.261067425276</v>
      </c>
      <c r="AD38" s="45">
        <f>VLOOKUP(F38,'Mass Equivalents - States, Opt1'!$A$8:$K$56,11,0)</f>
        <v>0</v>
      </c>
      <c r="AE38" s="46">
        <f t="shared" si="5"/>
        <v>0</v>
      </c>
      <c r="AF38" s="50"/>
      <c r="AG38" s="49" t="s">
        <v>75</v>
      </c>
      <c r="AH38" s="50">
        <f t="shared" si="6"/>
        <v>682237.66856537259</v>
      </c>
      <c r="AI38" s="50">
        <f t="shared" si="7"/>
        <v>769558.87380832434</v>
      </c>
      <c r="AJ38" s="50">
        <f t="shared" si="8"/>
        <v>857341.76492837281</v>
      </c>
      <c r="AK38" s="50">
        <f t="shared" si="9"/>
        <v>945588.78295743128</v>
      </c>
      <c r="AL38" s="50">
        <f t="shared" si="10"/>
        <v>1034302.3818336769</v>
      </c>
      <c r="AM38" s="50">
        <f t="shared" si="11"/>
        <v>1123485.0284697823</v>
      </c>
      <c r="AN38" s="50">
        <f t="shared" si="12"/>
        <v>1213139.2028215122</v>
      </c>
      <c r="AO38" s="50">
        <f t="shared" si="13"/>
        <v>1303267.3979566898</v>
      </c>
      <c r="AP38" s="50">
        <f t="shared" si="14"/>
        <v>1393872.120124517</v>
      </c>
      <c r="AQ38" s="46">
        <f t="shared" si="15"/>
        <v>1484955.8888252759</v>
      </c>
    </row>
    <row r="39" spans="1:43" x14ac:dyDescent="0.25">
      <c r="A39" s="38" t="s">
        <v>76</v>
      </c>
      <c r="B39" s="37" t="s">
        <v>127</v>
      </c>
      <c r="C39" s="37" t="s">
        <v>108</v>
      </c>
      <c r="D39" s="39">
        <v>4.4898290420094522E-3</v>
      </c>
      <c r="E39" s="36"/>
      <c r="F39" s="49" t="s">
        <v>76</v>
      </c>
      <c r="G39" s="43">
        <v>153780.36199999999</v>
      </c>
      <c r="H39" s="141">
        <v>7.51E-2</v>
      </c>
      <c r="I39" s="39">
        <f t="shared" si="46"/>
        <v>4.4898290420094522E-3</v>
      </c>
      <c r="J39" s="88"/>
      <c r="K39" s="45">
        <f t="shared" si="47"/>
        <v>165329.26718619998</v>
      </c>
      <c r="L39" s="50">
        <f t="shared" ref="L39:AB39" si="50">K39*(1+$I39)</f>
        <v>166071.56733150673</v>
      </c>
      <c r="M39" s="50">
        <f t="shared" si="50"/>
        <v>166817.20027756377</v>
      </c>
      <c r="N39" s="50">
        <f t="shared" si="50"/>
        <v>167566.18098807667</v>
      </c>
      <c r="O39" s="50">
        <f t="shared" si="50"/>
        <v>168318.52449393555</v>
      </c>
      <c r="P39" s="50">
        <f t="shared" si="50"/>
        <v>169074.24589351661</v>
      </c>
      <c r="Q39" s="50">
        <f t="shared" si="50"/>
        <v>169833.36035298515</v>
      </c>
      <c r="R39" s="50">
        <f t="shared" si="50"/>
        <v>170595.88310660006</v>
      </c>
      <c r="S39" s="50">
        <f t="shared" si="50"/>
        <v>171361.82945701931</v>
      </c>
      <c r="T39" s="50">
        <f t="shared" si="50"/>
        <v>172131.21477560731</v>
      </c>
      <c r="U39" s="50">
        <f t="shared" si="50"/>
        <v>172904.05450274321</v>
      </c>
      <c r="V39" s="50">
        <f t="shared" si="50"/>
        <v>173680.36414813082</v>
      </c>
      <c r="W39" s="50">
        <f t="shared" si="50"/>
        <v>174460.15929110986</v>
      </c>
      <c r="X39" s="50">
        <f t="shared" si="50"/>
        <v>175243.45558096867</v>
      </c>
      <c r="Y39" s="50">
        <f t="shared" si="50"/>
        <v>176030.26873725819</v>
      </c>
      <c r="Z39" s="50">
        <f t="shared" si="50"/>
        <v>176820.61455010745</v>
      </c>
      <c r="AA39" s="50">
        <f t="shared" si="50"/>
        <v>177614.5088805405</v>
      </c>
      <c r="AB39" s="46">
        <f t="shared" si="50"/>
        <v>178411.96766079459</v>
      </c>
      <c r="AC39" s="85"/>
      <c r="AD39" s="45">
        <f>VLOOKUP(F39,'Mass Equivalents - States, Opt1'!$A$8:$K$56,11,0)</f>
        <v>539</v>
      </c>
      <c r="AE39" s="46">
        <f t="shared" si="5"/>
        <v>2596.902</v>
      </c>
      <c r="AF39" s="50"/>
      <c r="AG39" s="49" t="s">
        <v>76</v>
      </c>
      <c r="AH39" s="50">
        <f t="shared" si="6"/>
        <v>3435660.2708193259</v>
      </c>
      <c r="AI39" s="50">
        <f t="shared" si="7"/>
        <v>4205045.5894073257</v>
      </c>
      <c r="AJ39" s="50">
        <f t="shared" si="8"/>
        <v>4977885.3165432243</v>
      </c>
      <c r="AK39" s="50">
        <f t="shared" si="9"/>
        <v>5754194.961930831</v>
      </c>
      <c r="AL39" s="50">
        <f t="shared" si="10"/>
        <v>6533990.1049098717</v>
      </c>
      <c r="AM39" s="50">
        <f t="shared" si="11"/>
        <v>7317286.394768687</v>
      </c>
      <c r="AN39" s="50">
        <f t="shared" si="12"/>
        <v>8104099.5510582011</v>
      </c>
      <c r="AO39" s="50">
        <f t="shared" si="13"/>
        <v>8894445.3639074657</v>
      </c>
      <c r="AP39" s="50">
        <f t="shared" si="14"/>
        <v>9688339.6943405122</v>
      </c>
      <c r="AQ39" s="46">
        <f t="shared" si="15"/>
        <v>10485798.474594602</v>
      </c>
    </row>
    <row r="40" spans="1:43" x14ac:dyDescent="0.25">
      <c r="A40" s="38" t="s">
        <v>77</v>
      </c>
      <c r="B40" s="37" t="s">
        <v>135</v>
      </c>
      <c r="C40" s="37" t="s">
        <v>116</v>
      </c>
      <c r="D40" s="39">
        <v>8.9286798717618243E-3</v>
      </c>
      <c r="E40" s="36"/>
      <c r="F40" s="49" t="s">
        <v>77</v>
      </c>
      <c r="G40" s="43">
        <v>59464.775000000001</v>
      </c>
      <c r="H40" s="141">
        <v>7.51E-2</v>
      </c>
      <c r="I40" s="39">
        <f t="shared" si="46"/>
        <v>8.9286798717618243E-3</v>
      </c>
      <c r="J40" s="88"/>
      <c r="K40" s="45">
        <f t="shared" si="47"/>
        <v>63930.579602500002</v>
      </c>
      <c r="L40" s="50">
        <f t="shared" ref="L40:AB40" si="51">K40*(1+$I40)</f>
        <v>64501.395281786914</v>
      </c>
      <c r="M40" s="50">
        <f t="shared" si="51"/>
        <v>65077.30759153996</v>
      </c>
      <c r="N40" s="50">
        <f t="shared" si="51"/>
        <v>65658.362037940999</v>
      </c>
      <c r="O40" s="50">
        <f t="shared" si="51"/>
        <v>66244.604533482008</v>
      </c>
      <c r="P40" s="50">
        <f t="shared" si="51"/>
        <v>66836.081400592928</v>
      </c>
      <c r="Q40" s="50">
        <f t="shared" si="51"/>
        <v>67432.839375301832</v>
      </c>
      <c r="R40" s="50">
        <f t="shared" si="51"/>
        <v>68034.925610927836</v>
      </c>
      <c r="S40" s="50">
        <f t="shared" si="51"/>
        <v>68642.38768180694</v>
      </c>
      <c r="T40" s="50">
        <f t="shared" si="51"/>
        <v>69255.273587051168</v>
      </c>
      <c r="U40" s="50">
        <f t="shared" si="51"/>
        <v>69873.63175434123</v>
      </c>
      <c r="V40" s="50">
        <f t="shared" si="51"/>
        <v>70497.511043753111</v>
      </c>
      <c r="W40" s="50">
        <f t="shared" si="51"/>
        <v>71126.960751618783</v>
      </c>
      <c r="X40" s="50">
        <f t="shared" si="51"/>
        <v>71762.030614421354</v>
      </c>
      <c r="Y40" s="50">
        <f t="shared" si="51"/>
        <v>72402.770812725095</v>
      </c>
      <c r="Z40" s="50">
        <f t="shared" si="51"/>
        <v>73049.231975140458</v>
      </c>
      <c r="AA40" s="50">
        <f t="shared" si="51"/>
        <v>73701.465182324551</v>
      </c>
      <c r="AB40" s="46">
        <f t="shared" si="51"/>
        <v>74359.521971017326</v>
      </c>
      <c r="AD40" s="45">
        <f>VLOOKUP(F40,'Mass Equivalents - States, Opt1'!$A$8:$K$56,11,0)</f>
        <v>0</v>
      </c>
      <c r="AE40" s="46">
        <f t="shared" si="5"/>
        <v>0</v>
      </c>
      <c r="AF40" s="50"/>
      <c r="AG40" s="49" t="s">
        <v>77</v>
      </c>
      <c r="AH40" s="50">
        <f t="shared" si="6"/>
        <v>4711808.0793069387</v>
      </c>
      <c r="AI40" s="50">
        <f t="shared" si="7"/>
        <v>5324693.9845511662</v>
      </c>
      <c r="AJ40" s="50">
        <f t="shared" si="8"/>
        <v>5943052.1518412279</v>
      </c>
      <c r="AK40" s="50">
        <f t="shared" si="9"/>
        <v>6566931.4412531089</v>
      </c>
      <c r="AL40" s="50">
        <f t="shared" si="10"/>
        <v>7196381.1491187811</v>
      </c>
      <c r="AM40" s="50">
        <f t="shared" si="11"/>
        <v>7831451.0119213518</v>
      </c>
      <c r="AN40" s="50">
        <f t="shared" si="12"/>
        <v>8472191.2102250941</v>
      </c>
      <c r="AO40" s="50">
        <f t="shared" si="13"/>
        <v>9118652.3726404551</v>
      </c>
      <c r="AP40" s="50">
        <f t="shared" si="14"/>
        <v>9770885.5798245501</v>
      </c>
      <c r="AQ40" s="46">
        <f t="shared" si="15"/>
        <v>10428942.368517324</v>
      </c>
    </row>
    <row r="41" spans="1:43" x14ac:dyDescent="0.25">
      <c r="A41" s="38" t="s">
        <v>78</v>
      </c>
      <c r="B41" s="37" t="s">
        <v>126</v>
      </c>
      <c r="C41" s="37" t="s">
        <v>107</v>
      </c>
      <c r="D41" s="39">
        <v>1.0580405460089759E-2</v>
      </c>
      <c r="E41" s="36"/>
      <c r="F41" s="49" t="s">
        <v>78</v>
      </c>
      <c r="G41" s="43">
        <v>47199.849000000002</v>
      </c>
      <c r="H41" s="141">
        <v>7.51E-2</v>
      </c>
      <c r="I41" s="39">
        <f t="shared" si="46"/>
        <v>1.0580405460089759E-2</v>
      </c>
      <c r="J41" s="88"/>
      <c r="K41" s="45">
        <f t="shared" si="47"/>
        <v>50744.557659899998</v>
      </c>
      <c r="L41" s="50">
        <f t="shared" ref="L41:AB41" si="52">K41*(1+$I41)</f>
        <v>51281.455654834645</v>
      </c>
      <c r="M41" s="50">
        <f t="shared" si="52"/>
        <v>51824.034248246411</v>
      </c>
      <c r="N41" s="50">
        <f t="shared" si="52"/>
        <v>52372.353543170437</v>
      </c>
      <c r="O41" s="50">
        <f t="shared" si="52"/>
        <v>52926.47427855635</v>
      </c>
      <c r="P41" s="50">
        <f t="shared" si="52"/>
        <v>53486.457835996487</v>
      </c>
      <c r="Q41" s="50">
        <f t="shared" si="52"/>
        <v>54052.366246525322</v>
      </c>
      <c r="R41" s="50">
        <f t="shared" si="52"/>
        <v>54624.262197490832</v>
      </c>
      <c r="S41" s="50">
        <f t="shared" si="52"/>
        <v>55202.209039498543</v>
      </c>
      <c r="T41" s="50">
        <f t="shared" si="52"/>
        <v>55786.270793429067</v>
      </c>
      <c r="U41" s="50">
        <f t="shared" si="52"/>
        <v>56376.512157529913</v>
      </c>
      <c r="V41" s="50">
        <f t="shared" si="52"/>
        <v>56972.998514582257</v>
      </c>
      <c r="W41" s="50">
        <f t="shared" si="52"/>
        <v>57575.795939143631</v>
      </c>
      <c r="X41" s="50">
        <f t="shared" si="52"/>
        <v>58184.971204867157</v>
      </c>
      <c r="Y41" s="50">
        <f t="shared" si="52"/>
        <v>58800.591791898296</v>
      </c>
      <c r="Z41" s="50">
        <f t="shared" si="52"/>
        <v>59422.725894349809</v>
      </c>
      <c r="AA41" s="50">
        <f t="shared" si="52"/>
        <v>60051.442427855807</v>
      </c>
      <c r="AB41" s="46">
        <f t="shared" si="52"/>
        <v>60686.811037205756</v>
      </c>
      <c r="AD41" s="45">
        <f>VLOOKUP(F41,'Mass Equivalents - States, Opt1'!$A$8:$K$56,11,0)</f>
        <v>0</v>
      </c>
      <c r="AE41" s="46">
        <f t="shared" si="5"/>
        <v>0</v>
      </c>
      <c r="AF41" s="50"/>
      <c r="AG41" s="49" t="s">
        <v>78</v>
      </c>
      <c r="AH41" s="50">
        <f t="shared" si="6"/>
        <v>4457651.3795985449</v>
      </c>
      <c r="AI41" s="50">
        <f t="shared" si="7"/>
        <v>5041713.1335290689</v>
      </c>
      <c r="AJ41" s="50">
        <f t="shared" si="8"/>
        <v>5631954.4976299144</v>
      </c>
      <c r="AK41" s="50">
        <f t="shared" si="9"/>
        <v>6228440.8546822593</v>
      </c>
      <c r="AL41" s="50">
        <f t="shared" si="10"/>
        <v>6831238.2792436332</v>
      </c>
      <c r="AM41" s="50">
        <f t="shared" si="11"/>
        <v>7440413.5449671596</v>
      </c>
      <c r="AN41" s="50">
        <f t="shared" si="12"/>
        <v>8056034.1319982978</v>
      </c>
      <c r="AO41" s="50">
        <f t="shared" si="13"/>
        <v>8678168.2344498113</v>
      </c>
      <c r="AP41" s="50">
        <f t="shared" si="14"/>
        <v>9306884.7679558098</v>
      </c>
      <c r="AQ41" s="46">
        <f t="shared" si="15"/>
        <v>9942253.3773057591</v>
      </c>
    </row>
    <row r="42" spans="1:43" x14ac:dyDescent="0.25">
      <c r="A42" s="38" t="s">
        <v>79</v>
      </c>
      <c r="B42" s="37" t="s">
        <v>125</v>
      </c>
      <c r="C42" s="37" t="s">
        <v>105</v>
      </c>
      <c r="D42" s="39">
        <v>5.5101388998850531E-3</v>
      </c>
      <c r="E42" s="36"/>
      <c r="F42" s="49" t="s">
        <v>79</v>
      </c>
      <c r="G42" s="43">
        <v>146243.70300000001</v>
      </c>
      <c r="H42" s="141">
        <v>7.51E-2</v>
      </c>
      <c r="I42" s="39">
        <f t="shared" si="46"/>
        <v>5.5101388998850531E-3</v>
      </c>
      <c r="J42" s="88"/>
      <c r="K42" s="45">
        <f t="shared" si="47"/>
        <v>157226.60509530001</v>
      </c>
      <c r="L42" s="50">
        <f t="shared" ref="L42:AB42" si="53">K42*(1+$I42)</f>
        <v>158092.94552813249</v>
      </c>
      <c r="M42" s="50">
        <f t="shared" si="53"/>
        <v>158964.05961708445</v>
      </c>
      <c r="N42" s="50">
        <f t="shared" si="53"/>
        <v>159839.97366566421</v>
      </c>
      <c r="O42" s="50">
        <f t="shared" si="53"/>
        <v>160720.71412231599</v>
      </c>
      <c r="P42" s="50">
        <f t="shared" si="53"/>
        <v>161606.30758121866</v>
      </c>
      <c r="Q42" s="50">
        <f t="shared" si="53"/>
        <v>162496.78078308873</v>
      </c>
      <c r="R42" s="50">
        <f t="shared" si="53"/>
        <v>163392.16061598773</v>
      </c>
      <c r="S42" s="50">
        <f t="shared" si="53"/>
        <v>164292.47411613414</v>
      </c>
      <c r="T42" s="50">
        <f t="shared" si="53"/>
        <v>165197.7484687198</v>
      </c>
      <c r="U42" s="50">
        <f t="shared" si="53"/>
        <v>166108.01100873071</v>
      </c>
      <c r="V42" s="50">
        <f t="shared" si="53"/>
        <v>167023.28922177246</v>
      </c>
      <c r="W42" s="50">
        <f t="shared" si="53"/>
        <v>167943.6107449001</v>
      </c>
      <c r="X42" s="50">
        <f t="shared" si="53"/>
        <v>168869.00336745274</v>
      </c>
      <c r="Y42" s="50">
        <f t="shared" si="53"/>
        <v>169799.49503189255</v>
      </c>
      <c r="Z42" s="50">
        <f t="shared" si="53"/>
        <v>170735.11383464863</v>
      </c>
      <c r="AA42" s="50">
        <f t="shared" si="53"/>
        <v>171675.88802696523</v>
      </c>
      <c r="AB42" s="46">
        <f t="shared" si="53"/>
        <v>172621.84601575491</v>
      </c>
      <c r="AD42" s="45">
        <f>VLOOKUP(F42,'Mass Equivalents - States, Opt1'!$A$8:$K$56,11,0)</f>
        <v>0</v>
      </c>
      <c r="AE42" s="46">
        <f t="shared" si="5"/>
        <v>0</v>
      </c>
      <c r="AF42" s="50"/>
      <c r="AG42" s="49" t="s">
        <v>79</v>
      </c>
      <c r="AH42" s="50">
        <f t="shared" si="6"/>
        <v>7065869.0208341284</v>
      </c>
      <c r="AI42" s="50">
        <f t="shared" si="7"/>
        <v>7971143.3734197924</v>
      </c>
      <c r="AJ42" s="50">
        <f t="shared" si="8"/>
        <v>8881405.9134307019</v>
      </c>
      <c r="AK42" s="50">
        <f t="shared" si="9"/>
        <v>9796684.1264724508</v>
      </c>
      <c r="AL42" s="50">
        <f t="shared" si="10"/>
        <v>10717005.64960009</v>
      </c>
      <c r="AM42" s="50">
        <f t="shared" si="11"/>
        <v>11642398.272152727</v>
      </c>
      <c r="AN42" s="50">
        <f t="shared" si="12"/>
        <v>12572889.936592545</v>
      </c>
      <c r="AO42" s="50">
        <f t="shared" si="13"/>
        <v>13508508.739348616</v>
      </c>
      <c r="AP42" s="50">
        <f t="shared" si="14"/>
        <v>14449282.931665221</v>
      </c>
      <c r="AQ42" s="46">
        <f t="shared" si="15"/>
        <v>15395240.920454904</v>
      </c>
    </row>
    <row r="43" spans="1:43" x14ac:dyDescent="0.25">
      <c r="A43" s="38" t="s">
        <v>80</v>
      </c>
      <c r="B43" s="37" t="s">
        <v>124</v>
      </c>
      <c r="C43" s="37" t="s">
        <v>104</v>
      </c>
      <c r="D43" s="39">
        <v>2.8959581528922307E-3</v>
      </c>
      <c r="E43" s="36"/>
      <c r="F43" s="49" t="s">
        <v>80</v>
      </c>
      <c r="G43" s="43">
        <v>7768.2939999999999</v>
      </c>
      <c r="H43" s="141">
        <v>7.51E-2</v>
      </c>
      <c r="I43" s="39">
        <f t="shared" si="46"/>
        <v>2.8959581528922307E-3</v>
      </c>
      <c r="J43" s="88"/>
      <c r="K43" s="45">
        <f t="shared" si="47"/>
        <v>8351.6928793999996</v>
      </c>
      <c r="L43" s="50">
        <f t="shared" ref="L43:AB43" si="54">K43*(1+$I43)</f>
        <v>8375.8790324845504</v>
      </c>
      <c r="M43" s="50">
        <f t="shared" si="54"/>
        <v>8400.1352276563139</v>
      </c>
      <c r="N43" s="50">
        <f t="shared" si="54"/>
        <v>8424.4616677542417</v>
      </c>
      <c r="O43" s="50">
        <f t="shared" si="54"/>
        <v>8448.8585562047028</v>
      </c>
      <c r="P43" s="50">
        <f t="shared" si="54"/>
        <v>8473.3260970231768</v>
      </c>
      <c r="Q43" s="50">
        <f t="shared" si="54"/>
        <v>8497.8644948159654</v>
      </c>
      <c r="R43" s="50">
        <f t="shared" si="54"/>
        <v>8522.4739547819008</v>
      </c>
      <c r="S43" s="50">
        <f t="shared" si="54"/>
        <v>8547.1546827140628</v>
      </c>
      <c r="T43" s="50">
        <f t="shared" si="54"/>
        <v>8571.9068850014992</v>
      </c>
      <c r="U43" s="50">
        <f t="shared" si="54"/>
        <v>8596.7307686309523</v>
      </c>
      <c r="V43" s="50">
        <f t="shared" si="54"/>
        <v>8621.6265411885888</v>
      </c>
      <c r="W43" s="50">
        <f t="shared" si="54"/>
        <v>8646.5944108617368</v>
      </c>
      <c r="X43" s="50">
        <f t="shared" si="54"/>
        <v>8671.6345864406248</v>
      </c>
      <c r="Y43" s="50">
        <f t="shared" si="54"/>
        <v>8696.7472773201298</v>
      </c>
      <c r="Z43" s="50">
        <f t="shared" si="54"/>
        <v>8721.9326935015288</v>
      </c>
      <c r="AA43" s="50">
        <f t="shared" si="54"/>
        <v>8747.1910455942525</v>
      </c>
      <c r="AB43" s="46">
        <f t="shared" si="54"/>
        <v>8772.5225448176479</v>
      </c>
      <c r="AD43" s="45">
        <f>VLOOKUP(F43,'Mass Equivalents - States, Opt1'!$A$8:$K$56,11,0)</f>
        <v>0</v>
      </c>
      <c r="AE43" s="46">
        <f t="shared" si="5"/>
        <v>0</v>
      </c>
      <c r="AF43" s="50"/>
      <c r="AG43" s="49" t="s">
        <v>80</v>
      </c>
      <c r="AH43" s="50">
        <f t="shared" si="6"/>
        <v>195461.80331406323</v>
      </c>
      <c r="AI43" s="50">
        <f t="shared" si="7"/>
        <v>220214.00560149958</v>
      </c>
      <c r="AJ43" s="50">
        <f t="shared" si="8"/>
        <v>245037.88923095271</v>
      </c>
      <c r="AK43" s="50">
        <f t="shared" si="9"/>
        <v>269933.6617885892</v>
      </c>
      <c r="AL43" s="50">
        <f t="shared" si="10"/>
        <v>294901.53146173724</v>
      </c>
      <c r="AM43" s="50">
        <f t="shared" si="11"/>
        <v>319941.70704062528</v>
      </c>
      <c r="AN43" s="50">
        <f t="shared" si="12"/>
        <v>345054.39792013023</v>
      </c>
      <c r="AO43" s="50">
        <f t="shared" si="13"/>
        <v>370239.81410152919</v>
      </c>
      <c r="AP43" s="50">
        <f t="shared" si="14"/>
        <v>395498.1661942529</v>
      </c>
      <c r="AQ43" s="46">
        <f t="shared" si="15"/>
        <v>420829.66541764839</v>
      </c>
    </row>
    <row r="44" spans="1:43" x14ac:dyDescent="0.25">
      <c r="A44" s="38" t="s">
        <v>81</v>
      </c>
      <c r="B44" s="37" t="s">
        <v>134</v>
      </c>
      <c r="C44" s="37" t="s">
        <v>115</v>
      </c>
      <c r="D44" s="39">
        <v>1.1324209138421581E-2</v>
      </c>
      <c r="E44" s="36"/>
      <c r="F44" s="49" t="s">
        <v>81</v>
      </c>
      <c r="G44" s="43">
        <v>78054.710999999996</v>
      </c>
      <c r="H44" s="141">
        <v>7.51E-2</v>
      </c>
      <c r="I44" s="39">
        <f t="shared" si="46"/>
        <v>1.1324209138421581E-2</v>
      </c>
      <c r="J44" s="88"/>
      <c r="K44" s="45">
        <f t="shared" si="47"/>
        <v>83916.619796099985</v>
      </c>
      <c r="L44" s="50">
        <f t="shared" ref="L44:AB44" si="55">K44*(1+$I44)</f>
        <v>84866.909148860432</v>
      </c>
      <c r="M44" s="50">
        <f t="shared" si="55"/>
        <v>85827.95977699355</v>
      </c>
      <c r="N44" s="50">
        <f t="shared" si="55"/>
        <v>86799.893543432263</v>
      </c>
      <c r="O44" s="50">
        <f t="shared" si="55"/>
        <v>87782.83369111082</v>
      </c>
      <c r="P44" s="50">
        <f t="shared" si="55"/>
        <v>88776.904858592243</v>
      </c>
      <c r="Q44" s="50">
        <f t="shared" si="55"/>
        <v>89782.233095872696</v>
      </c>
      <c r="R44" s="50">
        <f t="shared" si="55"/>
        <v>90798.945880364874</v>
      </c>
      <c r="S44" s="50">
        <f t="shared" si="55"/>
        <v>91827.172133062355</v>
      </c>
      <c r="T44" s="50">
        <f t="shared" si="55"/>
        <v>92867.042234886991</v>
      </c>
      <c r="U44" s="50">
        <f t="shared" si="55"/>
        <v>93918.688043221482</v>
      </c>
      <c r="V44" s="50">
        <f t="shared" si="55"/>
        <v>94982.242908629094</v>
      </c>
      <c r="W44" s="50">
        <f t="shared" si="55"/>
        <v>96057.841691762776</v>
      </c>
      <c r="X44" s="50">
        <f t="shared" si="55"/>
        <v>97145.620780465688</v>
      </c>
      <c r="Y44" s="50">
        <f t="shared" si="55"/>
        <v>98245.718107065477</v>
      </c>
      <c r="Z44" s="50">
        <f t="shared" si="55"/>
        <v>99358.273165864302</v>
      </c>
      <c r="AA44" s="50">
        <f t="shared" si="55"/>
        <v>100483.42703082698</v>
      </c>
      <c r="AB44" s="46">
        <f t="shared" si="55"/>
        <v>101621.32237346939</v>
      </c>
      <c r="AD44" s="45">
        <f>VLOOKUP(F44,'Mass Equivalents - States, Opt1'!$A$8:$K$56,11,0)</f>
        <v>0</v>
      </c>
      <c r="AE44" s="46">
        <f t="shared" si="5"/>
        <v>0</v>
      </c>
      <c r="AF44" s="50"/>
      <c r="AG44" s="49" t="s">
        <v>81</v>
      </c>
      <c r="AH44" s="50">
        <f t="shared" si="6"/>
        <v>7910552.3369623702</v>
      </c>
      <c r="AI44" s="50">
        <f t="shared" si="7"/>
        <v>8950422.4387870058</v>
      </c>
      <c r="AJ44" s="50">
        <f t="shared" si="8"/>
        <v>10002068.247121496</v>
      </c>
      <c r="AK44" s="50">
        <f t="shared" si="9"/>
        <v>11065623.112529108</v>
      </c>
      <c r="AL44" s="50">
        <f t="shared" si="10"/>
        <v>12141221.895662792</v>
      </c>
      <c r="AM44" s="50">
        <f t="shared" si="11"/>
        <v>13229000.984365702</v>
      </c>
      <c r="AN44" s="50">
        <f t="shared" si="12"/>
        <v>14329098.310965491</v>
      </c>
      <c r="AO44" s="50">
        <f t="shared" si="13"/>
        <v>15441653.369764317</v>
      </c>
      <c r="AP44" s="50">
        <f t="shared" si="14"/>
        <v>16566807.234726992</v>
      </c>
      <c r="AQ44" s="46">
        <f t="shared" si="15"/>
        <v>17704702.577369403</v>
      </c>
    </row>
    <row r="45" spans="1:43" x14ac:dyDescent="0.25">
      <c r="A45" s="38" t="s">
        <v>82</v>
      </c>
      <c r="B45" s="37" t="s">
        <v>128</v>
      </c>
      <c r="C45" s="37" t="s">
        <v>109</v>
      </c>
      <c r="D45" s="39">
        <v>5.2872137507693484E-3</v>
      </c>
      <c r="E45" s="36"/>
      <c r="F45" s="49" t="s">
        <v>82</v>
      </c>
      <c r="G45" s="43">
        <v>11749.464999999998</v>
      </c>
      <c r="H45" s="141">
        <v>7.51E-2</v>
      </c>
      <c r="I45" s="39">
        <f t="shared" si="46"/>
        <v>5.2872137507693484E-3</v>
      </c>
      <c r="J45" s="88"/>
      <c r="K45" s="45">
        <f t="shared" si="47"/>
        <v>12631.849821499998</v>
      </c>
      <c r="L45" s="50">
        <f t="shared" ref="L45:AB45" si="56">K45*(1+$I45)</f>
        <v>12698.637111573886</v>
      </c>
      <c r="M45" s="50">
        <f t="shared" si="56"/>
        <v>12765.77752032623</v>
      </c>
      <c r="N45" s="50">
        <f t="shared" si="56"/>
        <v>12833.272914770962</v>
      </c>
      <c r="O45" s="50">
        <f t="shared" si="56"/>
        <v>12901.125171793314</v>
      </c>
      <c r="P45" s="50">
        <f t="shared" si="56"/>
        <v>12969.336178202017</v>
      </c>
      <c r="Q45" s="50">
        <f t="shared" si="56"/>
        <v>13037.907830781756</v>
      </c>
      <c r="R45" s="50">
        <f t="shared" si="56"/>
        <v>13106.842036345928</v>
      </c>
      <c r="S45" s="50">
        <f t="shared" si="56"/>
        <v>13176.140711789658</v>
      </c>
      <c r="T45" s="50">
        <f t="shared" si="56"/>
        <v>13245.805784143104</v>
      </c>
      <c r="U45" s="50">
        <f t="shared" si="56"/>
        <v>13315.839190625045</v>
      </c>
      <c r="V45" s="50">
        <f t="shared" si="56"/>
        <v>13386.242878696752</v>
      </c>
      <c r="W45" s="50">
        <f t="shared" si="56"/>
        <v>13457.018806116135</v>
      </c>
      <c r="X45" s="50">
        <f t="shared" si="56"/>
        <v>13528.168940992195</v>
      </c>
      <c r="Y45" s="50">
        <f t="shared" si="56"/>
        <v>13599.695261839739</v>
      </c>
      <c r="Z45" s="50">
        <f t="shared" si="56"/>
        <v>13671.599757634411</v>
      </c>
      <c r="AA45" s="50">
        <f t="shared" si="56"/>
        <v>13743.88442786799</v>
      </c>
      <c r="AB45" s="46">
        <f t="shared" si="56"/>
        <v>13816.551282603998</v>
      </c>
      <c r="AD45" s="45">
        <f>VLOOKUP(F45,'Mass Equivalents - States, Opt1'!$A$8:$K$56,11,0)</f>
        <v>0</v>
      </c>
      <c r="AE45" s="46">
        <f t="shared" si="5"/>
        <v>0</v>
      </c>
      <c r="AF45" s="50"/>
      <c r="AG45" s="49" t="s">
        <v>82</v>
      </c>
      <c r="AH45" s="50">
        <f t="shared" si="6"/>
        <v>544290.89028965973</v>
      </c>
      <c r="AI45" s="50">
        <f t="shared" si="7"/>
        <v>613955.96264310554</v>
      </c>
      <c r="AJ45" s="50">
        <f t="shared" si="8"/>
        <v>683989.36912504723</v>
      </c>
      <c r="AK45" s="50">
        <f t="shared" si="9"/>
        <v>754393.05719675391</v>
      </c>
      <c r="AL45" s="50">
        <f t="shared" si="10"/>
        <v>825168.98461613711</v>
      </c>
      <c r="AM45" s="50">
        <f t="shared" si="11"/>
        <v>896319.11949219648</v>
      </c>
      <c r="AN45" s="50">
        <f t="shared" si="12"/>
        <v>967845.44033974083</v>
      </c>
      <c r="AO45" s="50">
        <f t="shared" si="13"/>
        <v>1039749.9361344125</v>
      </c>
      <c r="AP45" s="50">
        <f t="shared" si="14"/>
        <v>1112034.6063679918</v>
      </c>
      <c r="AQ45" s="46">
        <f t="shared" si="15"/>
        <v>1184701.4611039995</v>
      </c>
    </row>
    <row r="46" spans="1:43" x14ac:dyDescent="0.25">
      <c r="A46" s="38" t="s">
        <v>83</v>
      </c>
      <c r="B46" s="37" t="s">
        <v>130</v>
      </c>
      <c r="C46" s="37" t="s">
        <v>111</v>
      </c>
      <c r="D46" s="39">
        <v>1.004735933934664E-2</v>
      </c>
      <c r="E46" s="36"/>
      <c r="F46" s="49" t="s">
        <v>83</v>
      </c>
      <c r="G46" s="43">
        <v>96683.964999999997</v>
      </c>
      <c r="H46" s="141">
        <v>7.51E-2</v>
      </c>
      <c r="I46" s="39">
        <f t="shared" si="46"/>
        <v>1.004735933934664E-2</v>
      </c>
      <c r="J46" s="88"/>
      <c r="K46" s="45">
        <f t="shared" si="47"/>
        <v>103944.93077149999</v>
      </c>
      <c r="L46" s="50">
        <f t="shared" ref="L46:AB46" si="57">K46*(1+$I46)</f>
        <v>104989.30284246476</v>
      </c>
      <c r="M46" s="50">
        <f t="shared" si="57"/>
        <v>106044.16809491049</v>
      </c>
      <c r="N46" s="50">
        <f t="shared" si="57"/>
        <v>107109.63195760213</v>
      </c>
      <c r="O46" s="50">
        <f t="shared" si="57"/>
        <v>108185.80091858533</v>
      </c>
      <c r="P46" s="50">
        <f t="shared" si="57"/>
        <v>109272.78253582938</v>
      </c>
      <c r="Q46" s="50">
        <f t="shared" si="57"/>
        <v>110370.68544797714</v>
      </c>
      <c r="R46" s="50">
        <f t="shared" si="57"/>
        <v>111479.61938520297</v>
      </c>
      <c r="S46" s="50">
        <f t="shared" si="57"/>
        <v>112599.6951801797</v>
      </c>
      <c r="T46" s="50">
        <f t="shared" si="57"/>
        <v>113731.02477915586</v>
      </c>
      <c r="U46" s="50">
        <f t="shared" si="57"/>
        <v>114873.72125314418</v>
      </c>
      <c r="V46" s="50">
        <f t="shared" si="57"/>
        <v>116027.89880922246</v>
      </c>
      <c r="W46" s="50">
        <f t="shared" si="57"/>
        <v>117193.67280194807</v>
      </c>
      <c r="X46" s="50">
        <f t="shared" si="57"/>
        <v>118371.15974488705</v>
      </c>
      <c r="Y46" s="50">
        <f t="shared" si="57"/>
        <v>119560.47732225913</v>
      </c>
      <c r="Z46" s="50">
        <f t="shared" si="57"/>
        <v>120761.74440069968</v>
      </c>
      <c r="AA46" s="50">
        <f t="shared" si="57"/>
        <v>121975.08104113984</v>
      </c>
      <c r="AB46" s="46">
        <f t="shared" si="57"/>
        <v>123200.60851080609</v>
      </c>
      <c r="AD46" s="45">
        <f>VLOOKUP(F46,'Mass Equivalents - States, Opt1'!$A$8:$K$56,11,0)</f>
        <v>0</v>
      </c>
      <c r="AE46" s="46">
        <f t="shared" si="5"/>
        <v>0</v>
      </c>
      <c r="AF46" s="50"/>
      <c r="AG46" s="49" t="s">
        <v>83</v>
      </c>
      <c r="AH46" s="50">
        <f t="shared" si="6"/>
        <v>8654764.4086797088</v>
      </c>
      <c r="AI46" s="50">
        <f t="shared" si="7"/>
        <v>9786094.0076558758</v>
      </c>
      <c r="AJ46" s="50">
        <f t="shared" si="8"/>
        <v>10928790.481644187</v>
      </c>
      <c r="AK46" s="50">
        <f t="shared" si="9"/>
        <v>12082968.037722472</v>
      </c>
      <c r="AL46" s="50">
        <f t="shared" si="10"/>
        <v>13248742.030448077</v>
      </c>
      <c r="AM46" s="50">
        <f t="shared" si="11"/>
        <v>14426228.973387057</v>
      </c>
      <c r="AN46" s="50">
        <f t="shared" si="12"/>
        <v>15615546.550759144</v>
      </c>
      <c r="AO46" s="50">
        <f t="shared" si="13"/>
        <v>16816813.629199691</v>
      </c>
      <c r="AP46" s="50">
        <f t="shared" si="14"/>
        <v>18030150.269639853</v>
      </c>
      <c r="AQ46" s="46">
        <f t="shared" si="15"/>
        <v>19255677.739306107</v>
      </c>
    </row>
    <row r="47" spans="1:43" x14ac:dyDescent="0.25">
      <c r="A47" s="38" t="s">
        <v>84</v>
      </c>
      <c r="B47" s="37" t="s">
        <v>84</v>
      </c>
      <c r="C47" s="37" t="s">
        <v>117</v>
      </c>
      <c r="D47" s="39">
        <v>8.8574081338461674E-3</v>
      </c>
      <c r="E47" s="36"/>
      <c r="F47" s="49" t="s">
        <v>84</v>
      </c>
      <c r="G47" s="43">
        <v>366153.82</v>
      </c>
      <c r="H47" s="141">
        <v>7.51E-2</v>
      </c>
      <c r="I47" s="39">
        <f t="shared" si="46"/>
        <v>8.8574081338461674E-3</v>
      </c>
      <c r="J47" s="88"/>
      <c r="K47" s="45">
        <f t="shared" si="47"/>
        <v>393651.97188199998</v>
      </c>
      <c r="L47" s="50">
        <f t="shared" ref="L47:AB47" si="58">K47*(1+$I47)</f>
        <v>397138.70805965218</v>
      </c>
      <c r="M47" s="50">
        <f t="shared" si="58"/>
        <v>400656.32768268493</v>
      </c>
      <c r="N47" s="50">
        <f t="shared" si="58"/>
        <v>404205.10429837846</v>
      </c>
      <c r="O47" s="50">
        <f t="shared" si="58"/>
        <v>407785.31387693307</v>
      </c>
      <c r="P47" s="50">
        <f t="shared" si="58"/>
        <v>411397.23483292962</v>
      </c>
      <c r="Q47" s="50">
        <f t="shared" si="58"/>
        <v>415041.14804698061</v>
      </c>
      <c r="R47" s="50">
        <f t="shared" si="58"/>
        <v>418717.33688757278</v>
      </c>
      <c r="S47" s="50">
        <f t="shared" si="58"/>
        <v>422426.08723310317</v>
      </c>
      <c r="T47" s="50">
        <f t="shared" si="58"/>
        <v>426167.68749411049</v>
      </c>
      <c r="U47" s="50">
        <f t="shared" si="58"/>
        <v>429942.42863570323</v>
      </c>
      <c r="V47" s="50">
        <f t="shared" si="58"/>
        <v>433750.60420018667</v>
      </c>
      <c r="W47" s="50">
        <f t="shared" si="58"/>
        <v>437592.51032989012</v>
      </c>
      <c r="X47" s="50">
        <f t="shared" si="58"/>
        <v>441468.44579019625</v>
      </c>
      <c r="Y47" s="50">
        <f t="shared" si="58"/>
        <v>445378.71199277474</v>
      </c>
      <c r="Z47" s="50">
        <f t="shared" si="58"/>
        <v>449323.61301902146</v>
      </c>
      <c r="AA47" s="50">
        <f t="shared" si="58"/>
        <v>453303.45564370527</v>
      </c>
      <c r="AB47" s="46">
        <f t="shared" si="58"/>
        <v>457318.54935882438</v>
      </c>
      <c r="AD47" s="45">
        <f>VLOOKUP(F47,'Mass Equivalents - States, Opt1'!$A$8:$K$56,11,0)</f>
        <v>0</v>
      </c>
      <c r="AE47" s="46">
        <f t="shared" si="5"/>
        <v>0</v>
      </c>
      <c r="AF47" s="50"/>
      <c r="AG47" s="49" t="s">
        <v>84</v>
      </c>
      <c r="AH47" s="50">
        <f t="shared" si="6"/>
        <v>28774115.351103187</v>
      </c>
      <c r="AI47" s="50">
        <f t="shared" si="7"/>
        <v>32515715.612110507</v>
      </c>
      <c r="AJ47" s="50">
        <f t="shared" si="8"/>
        <v>36290456.753703244</v>
      </c>
      <c r="AK47" s="50">
        <f t="shared" si="9"/>
        <v>40098632.318186693</v>
      </c>
      <c r="AL47" s="50">
        <f t="shared" si="10"/>
        <v>43940538.44789014</v>
      </c>
      <c r="AM47" s="50">
        <f t="shared" si="11"/>
        <v>47816473.908196263</v>
      </c>
      <c r="AN47" s="50">
        <f t="shared" si="12"/>
        <v>51726740.110774755</v>
      </c>
      <c r="AO47" s="50">
        <f t="shared" si="13"/>
        <v>55671641.137021475</v>
      </c>
      <c r="AP47" s="50">
        <f t="shared" si="14"/>
        <v>59651483.761705287</v>
      </c>
      <c r="AQ47" s="46">
        <f t="shared" si="15"/>
        <v>63666577.476824403</v>
      </c>
    </row>
    <row r="48" spans="1:43" x14ac:dyDescent="0.25">
      <c r="A48" s="38" t="s">
        <v>85</v>
      </c>
      <c r="B48" s="37" t="s">
        <v>126</v>
      </c>
      <c r="C48" s="37" t="s">
        <v>107</v>
      </c>
      <c r="D48" s="39">
        <v>1.0580405460089759E-2</v>
      </c>
      <c r="E48" s="36"/>
      <c r="F48" s="49" t="s">
        <v>85</v>
      </c>
      <c r="G48" s="43">
        <v>29942.98</v>
      </c>
      <c r="H48" s="141">
        <v>7.51E-2</v>
      </c>
      <c r="I48" s="39">
        <f t="shared" si="46"/>
        <v>1.0580405460089759E-2</v>
      </c>
      <c r="J48" s="88"/>
      <c r="K48" s="45">
        <f t="shared" si="47"/>
        <v>32191.697797999997</v>
      </c>
      <c r="L48" s="50">
        <f t="shared" ref="L48:AB48" si="59">K48*(1+$I48)</f>
        <v>32532.299013151514</v>
      </c>
      <c r="M48" s="50">
        <f t="shared" si="59"/>
        <v>32876.503927259539</v>
      </c>
      <c r="N48" s="50">
        <f t="shared" si="59"/>
        <v>33224.350668920175</v>
      </c>
      <c r="O48" s="50">
        <f t="shared" si="59"/>
        <v>33575.877770145555</v>
      </c>
      <c r="P48" s="50">
        <f t="shared" si="59"/>
        <v>33931.124170632109</v>
      </c>
      <c r="Q48" s="50">
        <f t="shared" si="59"/>
        <v>34290.129222074051</v>
      </c>
      <c r="R48" s="50">
        <f t="shared" si="59"/>
        <v>34652.932692522467</v>
      </c>
      <c r="S48" s="50">
        <f t="shared" si="59"/>
        <v>35019.574770790554</v>
      </c>
      <c r="T48" s="50">
        <f t="shared" si="59"/>
        <v>35390.096070905449</v>
      </c>
      <c r="U48" s="50">
        <f t="shared" si="59"/>
        <v>35764.537636607158</v>
      </c>
      <c r="V48" s="50">
        <f t="shared" si="59"/>
        <v>36142.940945895105</v>
      </c>
      <c r="W48" s="50">
        <f t="shared" si="59"/>
        <v>36525.347915622755</v>
      </c>
      <c r="X48" s="50">
        <f t="shared" si="59"/>
        <v>36911.800906140888</v>
      </c>
      <c r="Y48" s="50">
        <f t="shared" si="59"/>
        <v>37302.342725989969</v>
      </c>
      <c r="Z48" s="50">
        <f t="shared" si="59"/>
        <v>37697.016636642176</v>
      </c>
      <c r="AA48" s="50">
        <f t="shared" si="59"/>
        <v>38095.866357293598</v>
      </c>
      <c r="AB48" s="46">
        <f t="shared" si="59"/>
        <v>38498.936069707161</v>
      </c>
      <c r="AD48" s="45">
        <f>VLOOKUP(F48,'Mass Equivalents - States, Opt1'!$A$8:$K$56,11,0)</f>
        <v>0</v>
      </c>
      <c r="AE48" s="46">
        <f t="shared" si="5"/>
        <v>0</v>
      </c>
      <c r="AF48" s="50"/>
      <c r="AG48" s="49" t="s">
        <v>85</v>
      </c>
      <c r="AH48" s="50">
        <f t="shared" si="6"/>
        <v>2827876.9727905565</v>
      </c>
      <c r="AI48" s="50">
        <f t="shared" si="7"/>
        <v>3198398.2729054512</v>
      </c>
      <c r="AJ48" s="50">
        <f t="shared" si="8"/>
        <v>3572839.8386071604</v>
      </c>
      <c r="AK48" s="50">
        <f t="shared" si="9"/>
        <v>3951243.1478951075</v>
      </c>
      <c r="AL48" s="50">
        <f t="shared" si="10"/>
        <v>4333650.1176227573</v>
      </c>
      <c r="AM48" s="50">
        <f t="shared" si="11"/>
        <v>4720103.1081408914</v>
      </c>
      <c r="AN48" s="50">
        <f t="shared" si="12"/>
        <v>5110644.9279899718</v>
      </c>
      <c r="AO48" s="50">
        <f t="shared" si="13"/>
        <v>5505318.838642179</v>
      </c>
      <c r="AP48" s="50">
        <f t="shared" si="14"/>
        <v>5904168.5592936007</v>
      </c>
      <c r="AQ48" s="46">
        <f t="shared" si="15"/>
        <v>6307238.2717071632</v>
      </c>
    </row>
    <row r="49" spans="1:43" x14ac:dyDescent="0.25">
      <c r="A49" s="38" t="s">
        <v>86</v>
      </c>
      <c r="B49" s="37" t="s">
        <v>134</v>
      </c>
      <c r="C49" s="37" t="s">
        <v>115</v>
      </c>
      <c r="D49" s="39">
        <v>1.1324209138421581E-2</v>
      </c>
      <c r="E49" s="36"/>
      <c r="F49" s="49" t="s">
        <v>86</v>
      </c>
      <c r="G49" s="43">
        <v>107824.908</v>
      </c>
      <c r="H49" s="141">
        <v>7.51E-2</v>
      </c>
      <c r="I49" s="39">
        <f t="shared" si="46"/>
        <v>1.1324209138421581E-2</v>
      </c>
      <c r="J49" s="88"/>
      <c r="K49" s="45">
        <f t="shared" si="47"/>
        <v>115922.55859079999</v>
      </c>
      <c r="L49" s="50">
        <f t="shared" ref="L49:AB49" si="60">K49*(1+$I49)</f>
        <v>117235.28988814315</v>
      </c>
      <c r="M49" s="50">
        <f t="shared" si="60"/>
        <v>118562.88682923996</v>
      </c>
      <c r="N49" s="50">
        <f t="shared" si="60"/>
        <v>119905.51775574929</v>
      </c>
      <c r="O49" s="50">
        <f t="shared" si="60"/>
        <v>121263.35291566611</v>
      </c>
      <c r="P49" s="50">
        <f t="shared" si="60"/>
        <v>122636.56448490934</v>
      </c>
      <c r="Q49" s="50">
        <f t="shared" si="60"/>
        <v>124025.32658915398</v>
      </c>
      <c r="R49" s="50">
        <f t="shared" si="60"/>
        <v>125429.81532591059</v>
      </c>
      <c r="S49" s="50">
        <f t="shared" si="60"/>
        <v>126850.2087868548</v>
      </c>
      <c r="T49" s="50">
        <f t="shared" si="60"/>
        <v>128286.68708040958</v>
      </c>
      <c r="U49" s="50">
        <f t="shared" si="60"/>
        <v>129739.43235458339</v>
      </c>
      <c r="V49" s="50">
        <f t="shared" si="60"/>
        <v>131208.62882006681</v>
      </c>
      <c r="W49" s="50">
        <f t="shared" si="60"/>
        <v>132694.46277359079</v>
      </c>
      <c r="X49" s="50">
        <f t="shared" si="60"/>
        <v>134197.12262154941</v>
      </c>
      <c r="Y49" s="50">
        <f t="shared" si="60"/>
        <v>135716.79890389025</v>
      </c>
      <c r="Z49" s="50">
        <f t="shared" si="60"/>
        <v>137253.68431827502</v>
      </c>
      <c r="AA49" s="50">
        <f t="shared" si="60"/>
        <v>138807.97374451405</v>
      </c>
      <c r="AB49" s="46">
        <f t="shared" si="60"/>
        <v>140379.86426927746</v>
      </c>
      <c r="AD49" s="45">
        <f>VLOOKUP(F49,'Mass Equivalents - States, Opt1'!$A$8:$K$56,11,0)</f>
        <v>1928</v>
      </c>
      <c r="AE49" s="46">
        <f t="shared" si="5"/>
        <v>9289.1039999999994</v>
      </c>
      <c r="AF49" s="50"/>
      <c r="AG49" s="49" t="s">
        <v>86</v>
      </c>
      <c r="AH49" s="50">
        <f t="shared" si="6"/>
        <v>1638546.1960548055</v>
      </c>
      <c r="AI49" s="50">
        <f t="shared" si="7"/>
        <v>3075024.4896095903</v>
      </c>
      <c r="AJ49" s="50">
        <f t="shared" si="8"/>
        <v>4527769.763783399</v>
      </c>
      <c r="AK49" s="50">
        <f t="shared" si="9"/>
        <v>5996966.2292668149</v>
      </c>
      <c r="AL49" s="50">
        <f t="shared" si="10"/>
        <v>7482800.1827907935</v>
      </c>
      <c r="AM49" s="50">
        <f t="shared" si="11"/>
        <v>8985460.0307494178</v>
      </c>
      <c r="AN49" s="50">
        <f t="shared" si="12"/>
        <v>10505136.313090254</v>
      </c>
      <c r="AO49" s="50">
        <f t="shared" si="13"/>
        <v>12042021.727475025</v>
      </c>
      <c r="AP49" s="50">
        <f t="shared" si="14"/>
        <v>13596311.153714057</v>
      </c>
      <c r="AQ49" s="46">
        <f t="shared" si="15"/>
        <v>15168201.678477468</v>
      </c>
    </row>
    <row r="50" spans="1:43" x14ac:dyDescent="0.25">
      <c r="A50" s="38" t="s">
        <v>87</v>
      </c>
      <c r="B50" s="37" t="s">
        <v>126</v>
      </c>
      <c r="C50" s="37" t="s">
        <v>107</v>
      </c>
      <c r="D50" s="39">
        <v>1.0580405460089759E-2</v>
      </c>
      <c r="E50" s="36"/>
      <c r="F50" s="49" t="s">
        <v>87</v>
      </c>
      <c r="G50" s="43">
        <v>93230.115000000005</v>
      </c>
      <c r="H50" s="141">
        <v>7.51E-2</v>
      </c>
      <c r="I50" s="39">
        <f t="shared" si="46"/>
        <v>1.0580405460089759E-2</v>
      </c>
      <c r="J50" s="88"/>
      <c r="K50" s="45">
        <f t="shared" si="47"/>
        <v>100231.6966365</v>
      </c>
      <c r="L50" s="50">
        <f t="shared" ref="L50:AB50" si="61">K50*(1+$I50)</f>
        <v>101292.18862686687</v>
      </c>
      <c r="M50" s="50">
        <f t="shared" si="61"/>
        <v>102363.90105247902</v>
      </c>
      <c r="N50" s="50">
        <f t="shared" si="61"/>
        <v>103446.95263009076</v>
      </c>
      <c r="O50" s="50">
        <f t="shared" si="61"/>
        <v>104541.46333252781</v>
      </c>
      <c r="P50" s="50">
        <f t="shared" si="61"/>
        <v>105647.55440197706</v>
      </c>
      <c r="Q50" s="50">
        <f t="shared" si="61"/>
        <v>106765.34836341687</v>
      </c>
      <c r="R50" s="50">
        <f t="shared" si="61"/>
        <v>107894.96903818955</v>
      </c>
      <c r="S50" s="50">
        <f t="shared" si="61"/>
        <v>109036.54155771743</v>
      </c>
      <c r="T50" s="50">
        <f t="shared" si="61"/>
        <v>110190.192377364</v>
      </c>
      <c r="U50" s="50">
        <f t="shared" si="61"/>
        <v>111356.04929044181</v>
      </c>
      <c r="V50" s="50">
        <f t="shared" si="61"/>
        <v>112534.24144236842</v>
      </c>
      <c r="W50" s="50">
        <f t="shared" si="61"/>
        <v>113724.89934497232</v>
      </c>
      <c r="X50" s="50">
        <f t="shared" si="61"/>
        <v>114928.15489095003</v>
      </c>
      <c r="Y50" s="50">
        <f t="shared" si="61"/>
        <v>116144.14136847628</v>
      </c>
      <c r="Z50" s="50">
        <f t="shared" si="61"/>
        <v>117372.99347596875</v>
      </c>
      <c r="AA50" s="50">
        <f t="shared" si="61"/>
        <v>118614.84733700896</v>
      </c>
      <c r="AB50" s="46">
        <f t="shared" si="61"/>
        <v>119869.84051542117</v>
      </c>
      <c r="AD50" s="45">
        <f>VLOOKUP(F50,'Mass Equivalents - States, Opt1'!$A$8:$K$56,11,0)</f>
        <v>0</v>
      </c>
      <c r="AE50" s="46">
        <f t="shared" si="5"/>
        <v>0</v>
      </c>
      <c r="AF50" s="50"/>
      <c r="AG50" s="49" t="s">
        <v>87</v>
      </c>
      <c r="AH50" s="50">
        <f t="shared" si="6"/>
        <v>8804844.9212174304</v>
      </c>
      <c r="AI50" s="50">
        <f t="shared" si="7"/>
        <v>9958495.7408640031</v>
      </c>
      <c r="AJ50" s="50">
        <f t="shared" si="8"/>
        <v>11124352.653941808</v>
      </c>
      <c r="AK50" s="50">
        <f t="shared" si="9"/>
        <v>12302544.805868426</v>
      </c>
      <c r="AL50" s="50">
        <f t="shared" si="10"/>
        <v>13493202.708472323</v>
      </c>
      <c r="AM50" s="50">
        <f t="shared" si="11"/>
        <v>14696458.254450031</v>
      </c>
      <c r="AN50" s="50">
        <f t="shared" si="12"/>
        <v>15912444.731976284</v>
      </c>
      <c r="AO50" s="50">
        <f t="shared" si="13"/>
        <v>17141296.839468747</v>
      </c>
      <c r="AP50" s="50">
        <f t="shared" si="14"/>
        <v>18383150.700508967</v>
      </c>
      <c r="AQ50" s="46">
        <f t="shared" si="15"/>
        <v>19638143.878921166</v>
      </c>
    </row>
    <row r="51" spans="1:43" x14ac:dyDescent="0.25">
      <c r="A51" s="38" t="s">
        <v>88</v>
      </c>
      <c r="B51" s="37" t="s">
        <v>127</v>
      </c>
      <c r="C51" s="37" t="s">
        <v>108</v>
      </c>
      <c r="D51" s="39">
        <v>4.4898290420094522E-3</v>
      </c>
      <c r="E51" s="36"/>
      <c r="F51" s="49" t="s">
        <v>88</v>
      </c>
      <c r="G51" s="43">
        <v>30871.787</v>
      </c>
      <c r="H51" s="141">
        <v>7.51E-2</v>
      </c>
      <c r="I51" s="39">
        <f t="shared" si="46"/>
        <v>4.4898290420094522E-3</v>
      </c>
      <c r="J51" s="88"/>
      <c r="K51" s="45">
        <f t="shared" si="47"/>
        <v>33190.258203699996</v>
      </c>
      <c r="L51" s="50">
        <f t="shared" ref="L51:AB51" si="62">K51*(1+$I51)</f>
        <v>33339.276788894764</v>
      </c>
      <c r="M51" s="50">
        <f t="shared" si="62"/>
        <v>33488.964442061137</v>
      </c>
      <c r="N51" s="50">
        <f t="shared" si="62"/>
        <v>33639.324167199928</v>
      </c>
      <c r="O51" s="50">
        <f t="shared" si="62"/>
        <v>33790.358981799392</v>
      </c>
      <c r="P51" s="50">
        <f t="shared" si="62"/>
        <v>33942.071916895802</v>
      </c>
      <c r="Q51" s="50">
        <f t="shared" si="62"/>
        <v>34094.466017134255</v>
      </c>
      <c r="R51" s="50">
        <f t="shared" si="62"/>
        <v>34247.544340829787</v>
      </c>
      <c r="S51" s="50">
        <f t="shared" si="62"/>
        <v>34401.309960028753</v>
      </c>
      <c r="T51" s="50">
        <f t="shared" si="62"/>
        <v>34555.765960570461</v>
      </c>
      <c r="U51" s="50">
        <f t="shared" si="62"/>
        <v>34710.915442149111</v>
      </c>
      <c r="V51" s="50">
        <f t="shared" si="62"/>
        <v>34866.761518376006</v>
      </c>
      <c r="W51" s="50">
        <f t="shared" si="62"/>
        <v>35023.307316842031</v>
      </c>
      <c r="X51" s="50">
        <f t="shared" si="62"/>
        <v>35180.555979180412</v>
      </c>
      <c r="Y51" s="50">
        <f t="shared" si="62"/>
        <v>35338.510661129774</v>
      </c>
      <c r="Z51" s="50">
        <f t="shared" si="62"/>
        <v>35497.174532597477</v>
      </c>
      <c r="AA51" s="50">
        <f t="shared" si="62"/>
        <v>35656.550777723212</v>
      </c>
      <c r="AB51" s="46">
        <f t="shared" si="62"/>
        <v>35816.642594942918</v>
      </c>
      <c r="AD51" s="45">
        <f>VLOOKUP(F51,'Mass Equivalents - States, Opt1'!$A$8:$K$56,11,0)</f>
        <v>0</v>
      </c>
      <c r="AE51" s="46">
        <f t="shared" si="5"/>
        <v>0</v>
      </c>
      <c r="AF51" s="50"/>
      <c r="AG51" s="49" t="s">
        <v>88</v>
      </c>
      <c r="AH51" s="50">
        <f t="shared" si="6"/>
        <v>1211051.7563287576</v>
      </c>
      <c r="AI51" s="50">
        <f t="shared" si="7"/>
        <v>1365507.7568704656</v>
      </c>
      <c r="AJ51" s="50">
        <f t="shared" si="8"/>
        <v>1520657.2384491155</v>
      </c>
      <c r="AK51" s="50">
        <f t="shared" si="9"/>
        <v>1676503.3146760105</v>
      </c>
      <c r="AL51" s="50">
        <f t="shared" si="10"/>
        <v>1833049.113142035</v>
      </c>
      <c r="AM51" s="50">
        <f t="shared" si="11"/>
        <v>1990297.7754804161</v>
      </c>
      <c r="AN51" s="50">
        <f t="shared" si="12"/>
        <v>2148252.4574297788</v>
      </c>
      <c r="AO51" s="50">
        <f t="shared" si="13"/>
        <v>2306916.3288974813</v>
      </c>
      <c r="AP51" s="50">
        <f t="shared" si="14"/>
        <v>2466292.574023217</v>
      </c>
      <c r="AQ51" s="46">
        <f t="shared" si="15"/>
        <v>2626384.3912429218</v>
      </c>
    </row>
    <row r="52" spans="1:43" x14ac:dyDescent="0.25">
      <c r="A52" s="38" t="s">
        <v>89</v>
      </c>
      <c r="B52" s="37" t="s">
        <v>136</v>
      </c>
      <c r="C52" s="37" t="s">
        <v>118</v>
      </c>
      <c r="D52" s="39">
        <v>3.9507729419134829E-3</v>
      </c>
      <c r="E52" s="36"/>
      <c r="F52" s="49" t="s">
        <v>89</v>
      </c>
      <c r="G52" s="43">
        <v>69541.974000000002</v>
      </c>
      <c r="H52" s="141">
        <v>7.51E-2</v>
      </c>
      <c r="I52" s="39">
        <f t="shared" si="46"/>
        <v>3.9507729419134829E-3</v>
      </c>
      <c r="J52" s="88"/>
      <c r="K52" s="45">
        <f t="shared" si="47"/>
        <v>74764.576247399993</v>
      </c>
      <c r="L52" s="50">
        <f t="shared" ref="L52:AB52" si="63">K52*(1+$I52)</f>
        <v>75059.954112251842</v>
      </c>
      <c r="M52" s="50">
        <f t="shared" si="63"/>
        <v>75356.498947979795</v>
      </c>
      <c r="N52" s="50">
        <f t="shared" si="63"/>
        <v>75654.215365020806</v>
      </c>
      <c r="O52" s="50">
        <f t="shared" si="63"/>
        <v>75953.10799202662</v>
      </c>
      <c r="P52" s="50">
        <f t="shared" si="63"/>
        <v>76253.181475935751</v>
      </c>
      <c r="Q52" s="50">
        <f t="shared" si="63"/>
        <v>76554.440482045698</v>
      </c>
      <c r="R52" s="50">
        <f t="shared" si="63"/>
        <v>76856.88969408549</v>
      </c>
      <c r="S52" s="50">
        <f t="shared" si="63"/>
        <v>77160.533814288516</v>
      </c>
      <c r="T52" s="50">
        <f t="shared" si="63"/>
        <v>77465.377563465605</v>
      </c>
      <c r="U52" s="50">
        <f t="shared" si="63"/>
        <v>77771.425681078457</v>
      </c>
      <c r="V52" s="50">
        <f t="shared" si="63"/>
        <v>78078.682925313304</v>
      </c>
      <c r="W52" s="50">
        <f t="shared" si="63"/>
        <v>78387.154073154874</v>
      </c>
      <c r="X52" s="50">
        <f t="shared" si="63"/>
        <v>78696.843920460698</v>
      </c>
      <c r="Y52" s="50">
        <f t="shared" si="63"/>
        <v>79007.757282035644</v>
      </c>
      <c r="Z52" s="50">
        <f t="shared" si="63"/>
        <v>79319.898991706781</v>
      </c>
      <c r="AA52" s="50">
        <f t="shared" si="63"/>
        <v>79633.27390239852</v>
      </c>
      <c r="AB52" s="46">
        <f t="shared" si="63"/>
        <v>79947.8868862081</v>
      </c>
      <c r="AD52" s="45">
        <f>VLOOKUP(F52,'Mass Equivalents - States, Opt1'!$A$8:$K$56,11,0)</f>
        <v>0</v>
      </c>
      <c r="AE52" s="46">
        <f t="shared" si="5"/>
        <v>0</v>
      </c>
      <c r="AF52" s="50"/>
      <c r="AG52" s="49" t="s">
        <v>89</v>
      </c>
      <c r="AH52" s="50">
        <f t="shared" si="6"/>
        <v>2395957.5668885228</v>
      </c>
      <c r="AI52" s="50">
        <f t="shared" si="7"/>
        <v>2700801.3160656118</v>
      </c>
      <c r="AJ52" s="50">
        <f t="shared" si="8"/>
        <v>3006849.433678464</v>
      </c>
      <c r="AK52" s="50">
        <f t="shared" si="9"/>
        <v>3314106.6779133109</v>
      </c>
      <c r="AL52" s="50">
        <f t="shared" si="10"/>
        <v>3622577.8257548809</v>
      </c>
      <c r="AM52" s="50">
        <f t="shared" si="11"/>
        <v>3932267.6730607054</v>
      </c>
      <c r="AN52" s="50">
        <f t="shared" si="12"/>
        <v>4243181.0346356509</v>
      </c>
      <c r="AO52" s="50">
        <f t="shared" si="13"/>
        <v>4555322.7443067878</v>
      </c>
      <c r="AP52" s="50">
        <f t="shared" si="14"/>
        <v>4868697.6549985269</v>
      </c>
      <c r="AQ52" s="46">
        <f t="shared" si="15"/>
        <v>5183310.638808107</v>
      </c>
    </row>
    <row r="53" spans="1:43" ht="15.75" thickBot="1" x14ac:dyDescent="0.3">
      <c r="A53" s="40" t="s">
        <v>90</v>
      </c>
      <c r="B53" s="41" t="s">
        <v>126</v>
      </c>
      <c r="C53" s="41" t="s">
        <v>107</v>
      </c>
      <c r="D53" s="42">
        <v>1.0580405460089759E-2</v>
      </c>
      <c r="E53" s="36"/>
      <c r="F53" s="49" t="s">
        <v>90</v>
      </c>
      <c r="G53" s="43">
        <v>16994.958999999999</v>
      </c>
      <c r="H53" s="141">
        <v>7.51E-2</v>
      </c>
      <c r="I53" s="39">
        <f t="shared" si="46"/>
        <v>1.0580405460089759E-2</v>
      </c>
      <c r="J53" s="88"/>
      <c r="K53" s="45">
        <f t="shared" si="47"/>
        <v>18271.280420899999</v>
      </c>
      <c r="L53" s="50">
        <f t="shared" ref="L53:AB53" si="64">K53*(1+$I53)</f>
        <v>18464.597976028119</v>
      </c>
      <c r="M53" s="50">
        <f t="shared" si="64"/>
        <v>18659.960909272049</v>
      </c>
      <c r="N53" s="50">
        <f t="shared" si="64"/>
        <v>18857.390861561573</v>
      </c>
      <c r="O53" s="50">
        <f t="shared" si="64"/>
        <v>19056.909702796285</v>
      </c>
      <c r="P53" s="50">
        <f t="shared" si="64"/>
        <v>19258.539534268188</v>
      </c>
      <c r="Q53" s="50">
        <f t="shared" si="64"/>
        <v>19462.302691109915</v>
      </c>
      <c r="R53" s="50">
        <f t="shared" si="64"/>
        <v>19668.221744768853</v>
      </c>
      <c r="S53" s="50">
        <f t="shared" si="64"/>
        <v>19876.319505507461</v>
      </c>
      <c r="T53" s="50">
        <f t="shared" si="64"/>
        <v>20086.61902493002</v>
      </c>
      <c r="U53" s="50">
        <f t="shared" si="64"/>
        <v>20299.143598536131</v>
      </c>
      <c r="V53" s="50">
        <f t="shared" si="64"/>
        <v>20513.916768301227</v>
      </c>
      <c r="W53" s="50">
        <f t="shared" si="64"/>
        <v>20730.962325284388</v>
      </c>
      <c r="X53" s="50">
        <f t="shared" si="64"/>
        <v>20950.304312263743</v>
      </c>
      <c r="Y53" s="50">
        <f t="shared" si="64"/>
        <v>21171.967026399761</v>
      </c>
      <c r="Z53" s="50">
        <f t="shared" si="64"/>
        <v>21395.975021926723</v>
      </c>
      <c r="AA53" s="50">
        <f t="shared" si="64"/>
        <v>21622.353112872661</v>
      </c>
      <c r="AB53" s="46">
        <f t="shared" si="64"/>
        <v>21851.126375808086</v>
      </c>
      <c r="AD53" s="47">
        <f>VLOOKUP(F53,'Mass Equivalents - States, Opt1'!$A$8:$K$56,11,0)</f>
        <v>220</v>
      </c>
      <c r="AE53" s="48">
        <f t="shared" si="5"/>
        <v>1059.96</v>
      </c>
      <c r="AF53" s="50"/>
      <c r="AG53" s="49" t="s">
        <v>90</v>
      </c>
      <c r="AH53" s="50">
        <f t="shared" si="6"/>
        <v>545079.0846074624</v>
      </c>
      <c r="AI53" s="50">
        <f t="shared" si="7"/>
        <v>755378.604030021</v>
      </c>
      <c r="AJ53" s="50">
        <f t="shared" si="8"/>
        <v>967903.17763613258</v>
      </c>
      <c r="AK53" s="50">
        <f t="shared" si="9"/>
        <v>1182676.3474012287</v>
      </c>
      <c r="AL53" s="50">
        <f t="shared" si="10"/>
        <v>1399721.9043843898</v>
      </c>
      <c r="AM53" s="50">
        <f t="shared" si="11"/>
        <v>1619063.8913637439</v>
      </c>
      <c r="AN53" s="50">
        <f t="shared" si="12"/>
        <v>1840726.6054997626</v>
      </c>
      <c r="AO53" s="50">
        <f t="shared" si="13"/>
        <v>2064734.6010267239</v>
      </c>
      <c r="AP53" s="50">
        <f t="shared" si="14"/>
        <v>2291112.6919726622</v>
      </c>
      <c r="AQ53" s="46">
        <f t="shared" si="15"/>
        <v>2519885.9549080869</v>
      </c>
    </row>
    <row r="54" spans="1:43" x14ac:dyDescent="0.25">
      <c r="A54" s="123" t="s">
        <v>186</v>
      </c>
      <c r="B54" s="143" t="s">
        <v>197</v>
      </c>
      <c r="C54" s="143" t="s">
        <v>197</v>
      </c>
      <c r="D54" s="144">
        <v>0</v>
      </c>
      <c r="F54" s="123" t="s">
        <v>186</v>
      </c>
      <c r="G54" s="125">
        <v>18150.330000000002</v>
      </c>
      <c r="H54" s="148">
        <v>7.51E-2</v>
      </c>
      <c r="I54" s="144">
        <v>0</v>
      </c>
      <c r="K54" s="128">
        <f t="shared" ref="K54:K58" si="65">G54*(1+$H54)</f>
        <v>19513.419783000001</v>
      </c>
      <c r="L54" s="125">
        <f t="shared" ref="L54:L58" si="66">K54*(1+$I54)</f>
        <v>19513.419783000001</v>
      </c>
      <c r="M54" s="125">
        <f t="shared" ref="M54:M58" si="67">L54*(1+$I54)</f>
        <v>19513.419783000001</v>
      </c>
      <c r="N54" s="125">
        <f t="shared" ref="N54:N58" si="68">M54*(1+$I54)</f>
        <v>19513.419783000001</v>
      </c>
      <c r="O54" s="125">
        <f t="shared" ref="O54:O58" si="69">N54*(1+$I54)</f>
        <v>19513.419783000001</v>
      </c>
      <c r="P54" s="125">
        <f t="shared" ref="P54:P58" si="70">O54*(1+$I54)</f>
        <v>19513.419783000001</v>
      </c>
      <c r="Q54" s="125">
        <f t="shared" ref="Q54:Q58" si="71">P54*(1+$I54)</f>
        <v>19513.419783000001</v>
      </c>
      <c r="R54" s="125">
        <f t="shared" ref="R54:R58" si="72">Q54*(1+$I54)</f>
        <v>19513.419783000001</v>
      </c>
      <c r="S54" s="125">
        <f t="shared" ref="S54:S58" si="73">R54*(1+$I54)</f>
        <v>19513.419783000001</v>
      </c>
      <c r="T54" s="125">
        <f t="shared" ref="T54:T58" si="74">S54*(1+$I54)</f>
        <v>19513.419783000001</v>
      </c>
      <c r="U54" s="125">
        <f t="shared" ref="U54:U58" si="75">T54*(1+$I54)</f>
        <v>19513.419783000001</v>
      </c>
      <c r="V54" s="125">
        <f t="shared" ref="V54:V58" si="76">U54*(1+$I54)</f>
        <v>19513.419783000001</v>
      </c>
      <c r="W54" s="125">
        <f t="shared" ref="W54:W58" si="77">V54*(1+$I54)</f>
        <v>19513.419783000001</v>
      </c>
      <c r="X54" s="125">
        <f t="shared" ref="X54:X58" si="78">W54*(1+$I54)</f>
        <v>19513.419783000001</v>
      </c>
      <c r="Y54" s="125">
        <f t="shared" ref="Y54:Y58" si="79">X54*(1+$I54)</f>
        <v>19513.419783000001</v>
      </c>
      <c r="Z54" s="125">
        <f t="shared" ref="Z54:Z58" si="80">Y54*(1+$I54)</f>
        <v>19513.419783000001</v>
      </c>
      <c r="AA54" s="125">
        <f t="shared" ref="AA54:AA58" si="81">Z54*(1+$I54)</f>
        <v>19513.419783000001</v>
      </c>
      <c r="AB54" s="129">
        <f t="shared" ref="AB54:AB58" si="82">AA54*(1+$I54)</f>
        <v>19513.419783000001</v>
      </c>
      <c r="AD54" s="128">
        <f>VLOOKUP($A54,'Mass Equivalents - AoIC, PR, GU'!$A$9:$K$14,11,0)</f>
        <v>0</v>
      </c>
      <c r="AE54" s="129">
        <f t="shared" si="5"/>
        <v>0</v>
      </c>
      <c r="AG54" s="123" t="s">
        <v>186</v>
      </c>
      <c r="AH54" s="125">
        <f t="shared" ref="AH54:AH58" si="83">(S54-$K54-$AE54)*10^3</f>
        <v>0</v>
      </c>
      <c r="AI54" s="125">
        <f t="shared" ref="AI54:AI58" si="84">(T54-$K54-$AE54)*10^3</f>
        <v>0</v>
      </c>
      <c r="AJ54" s="125">
        <f t="shared" ref="AJ54:AJ58" si="85">(U54-$K54-$AE54)*10^3</f>
        <v>0</v>
      </c>
      <c r="AK54" s="125">
        <f t="shared" ref="AK54:AK58" si="86">(V54-$K54-$AE54)*10^3</f>
        <v>0</v>
      </c>
      <c r="AL54" s="125">
        <f t="shared" ref="AL54:AL58" si="87">(W54-$K54-$AE54)*10^3</f>
        <v>0</v>
      </c>
      <c r="AM54" s="125">
        <f t="shared" ref="AM54:AM58" si="88">(X54-$K54-$AE54)*10^3</f>
        <v>0</v>
      </c>
      <c r="AN54" s="125">
        <f t="shared" ref="AN54:AN58" si="89">(Y54-$K54-$AE54)*10^3</f>
        <v>0</v>
      </c>
      <c r="AO54" s="125">
        <f t="shared" ref="AO54:AO58" si="90">(Z54-$K54-$AE54)*10^3</f>
        <v>0</v>
      </c>
      <c r="AP54" s="125">
        <f t="shared" ref="AP54:AP58" si="91">(AA54-$K54-$AE54)*10^3</f>
        <v>0</v>
      </c>
      <c r="AQ54" s="129">
        <f t="shared" ref="AQ54:AQ58" si="92">(AB54-$K54-$AE54)*10^3</f>
        <v>0</v>
      </c>
    </row>
    <row r="55" spans="1:43" ht="15.75" thickBot="1" x14ac:dyDescent="0.3">
      <c r="A55" s="61" t="s">
        <v>187</v>
      </c>
      <c r="B55" s="145" t="s">
        <v>197</v>
      </c>
      <c r="C55" s="145" t="s">
        <v>197</v>
      </c>
      <c r="D55" s="146">
        <v>0</v>
      </c>
      <c r="F55" s="61" t="s">
        <v>187</v>
      </c>
      <c r="G55" s="51">
        <v>1563.4750000000001</v>
      </c>
      <c r="H55" s="142">
        <v>7.51E-2</v>
      </c>
      <c r="I55" s="146">
        <v>0</v>
      </c>
      <c r="K55" s="45">
        <f t="shared" si="65"/>
        <v>1680.8919725000001</v>
      </c>
      <c r="L55" s="50">
        <f t="shared" si="66"/>
        <v>1680.8919725000001</v>
      </c>
      <c r="M55" s="50">
        <f t="shared" si="67"/>
        <v>1680.8919725000001</v>
      </c>
      <c r="N55" s="50">
        <f t="shared" si="68"/>
        <v>1680.8919725000001</v>
      </c>
      <c r="O55" s="50">
        <f t="shared" si="69"/>
        <v>1680.8919725000001</v>
      </c>
      <c r="P55" s="50">
        <f t="shared" si="70"/>
        <v>1680.8919725000001</v>
      </c>
      <c r="Q55" s="50">
        <f t="shared" si="71"/>
        <v>1680.8919725000001</v>
      </c>
      <c r="R55" s="50">
        <f t="shared" si="72"/>
        <v>1680.8919725000001</v>
      </c>
      <c r="S55" s="50">
        <f t="shared" si="73"/>
        <v>1680.8919725000001</v>
      </c>
      <c r="T55" s="50">
        <f t="shared" si="74"/>
        <v>1680.8919725000001</v>
      </c>
      <c r="U55" s="50">
        <f t="shared" si="75"/>
        <v>1680.8919725000001</v>
      </c>
      <c r="V55" s="50">
        <f t="shared" si="76"/>
        <v>1680.8919725000001</v>
      </c>
      <c r="W55" s="50">
        <f t="shared" si="77"/>
        <v>1680.8919725000001</v>
      </c>
      <c r="X55" s="50">
        <f t="shared" si="78"/>
        <v>1680.8919725000001</v>
      </c>
      <c r="Y55" s="50">
        <f t="shared" si="79"/>
        <v>1680.8919725000001</v>
      </c>
      <c r="Z55" s="50">
        <f t="shared" si="80"/>
        <v>1680.8919725000001</v>
      </c>
      <c r="AA55" s="50">
        <f t="shared" si="81"/>
        <v>1680.8919725000001</v>
      </c>
      <c r="AB55" s="46">
        <f t="shared" si="82"/>
        <v>1680.8919725000001</v>
      </c>
      <c r="AD55" s="47">
        <f>VLOOKUP($A55,'Mass Equivalents - AoIC, PR, GU'!$A$9:$K$14,11,0)</f>
        <v>0</v>
      </c>
      <c r="AE55" s="48">
        <f t="shared" si="5"/>
        <v>0</v>
      </c>
      <c r="AG55" s="49" t="s">
        <v>187</v>
      </c>
      <c r="AH55" s="50">
        <f t="shared" si="83"/>
        <v>0</v>
      </c>
      <c r="AI55" s="50">
        <f t="shared" si="84"/>
        <v>0</v>
      </c>
      <c r="AJ55" s="50">
        <f t="shared" si="85"/>
        <v>0</v>
      </c>
      <c r="AK55" s="50">
        <f t="shared" si="86"/>
        <v>0</v>
      </c>
      <c r="AL55" s="50">
        <f t="shared" si="87"/>
        <v>0</v>
      </c>
      <c r="AM55" s="50">
        <f t="shared" si="88"/>
        <v>0</v>
      </c>
      <c r="AN55" s="50">
        <f t="shared" si="89"/>
        <v>0</v>
      </c>
      <c r="AO55" s="50">
        <f t="shared" si="90"/>
        <v>0</v>
      </c>
      <c r="AP55" s="50">
        <f t="shared" si="91"/>
        <v>0</v>
      </c>
      <c r="AQ55" s="46">
        <f t="shared" si="92"/>
        <v>0</v>
      </c>
    </row>
    <row r="56" spans="1:43" x14ac:dyDescent="0.25">
      <c r="A56" s="123" t="s">
        <v>188</v>
      </c>
      <c r="B56" s="140" t="s">
        <v>120</v>
      </c>
      <c r="C56" s="140" t="s">
        <v>100</v>
      </c>
      <c r="D56" s="147">
        <v>1.3085992711217465E-2</v>
      </c>
      <c r="F56" s="49" t="s">
        <v>188</v>
      </c>
      <c r="G56" s="50">
        <v>676.01400000000001</v>
      </c>
      <c r="H56" s="141">
        <v>7.51E-2</v>
      </c>
      <c r="I56" s="39">
        <v>1.3085992711217465E-2</v>
      </c>
      <c r="K56" s="128">
        <f t="shared" si="65"/>
        <v>726.78265139999996</v>
      </c>
      <c r="L56" s="125">
        <f t="shared" si="66"/>
        <v>736.29332387885961</v>
      </c>
      <c r="M56" s="125">
        <f t="shared" si="67"/>
        <v>745.92845294845642</v>
      </c>
      <c r="N56" s="125">
        <f t="shared" si="68"/>
        <v>755.68966724682969</v>
      </c>
      <c r="O56" s="125">
        <f t="shared" si="69"/>
        <v>765.578616724364</v>
      </c>
      <c r="P56" s="125">
        <f t="shared" si="70"/>
        <v>775.59697292268299</v>
      </c>
      <c r="Q56" s="125">
        <f t="shared" si="71"/>
        <v>785.74642925719161</v>
      </c>
      <c r="R56" s="125">
        <f t="shared" si="72"/>
        <v>796.02870130331632</v>
      </c>
      <c r="S56" s="125">
        <f t="shared" si="73"/>
        <v>806.44552708649144</v>
      </c>
      <c r="T56" s="125">
        <f t="shared" si="74"/>
        <v>816.99866737593914</v>
      </c>
      <c r="U56" s="125">
        <f t="shared" si="75"/>
        <v>827.68990598229504</v>
      </c>
      <c r="V56" s="125">
        <f t="shared" si="76"/>
        <v>838.52105005912767</v>
      </c>
      <c r="W56" s="125">
        <f t="shared" si="77"/>
        <v>849.4939304084038</v>
      </c>
      <c r="X56" s="125">
        <f t="shared" si="78"/>
        <v>860.61040178995165</v>
      </c>
      <c r="Y56" s="125">
        <f t="shared" si="79"/>
        <v>871.87234323497285</v>
      </c>
      <c r="Z56" s="125">
        <f t="shared" si="80"/>
        <v>883.28165836365781</v>
      </c>
      <c r="AA56" s="125">
        <f t="shared" si="81"/>
        <v>894.84027570695673</v>
      </c>
      <c r="AB56" s="129">
        <f t="shared" si="82"/>
        <v>906.55014903256176</v>
      </c>
      <c r="AD56" s="128">
        <f>VLOOKUP($A56,'Mass Equivalents - AoIC, PR, GU'!$A$9:$K$14,11,0)</f>
        <v>0</v>
      </c>
      <c r="AE56" s="129">
        <f t="shared" si="5"/>
        <v>0</v>
      </c>
      <c r="AG56" s="123" t="s">
        <v>188</v>
      </c>
      <c r="AH56" s="125">
        <f t="shared" si="83"/>
        <v>79662.875686491476</v>
      </c>
      <c r="AI56" s="125">
        <f t="shared" si="84"/>
        <v>90216.015975939168</v>
      </c>
      <c r="AJ56" s="125">
        <f t="shared" si="85"/>
        <v>100907.25458229508</v>
      </c>
      <c r="AK56" s="125">
        <f t="shared" si="86"/>
        <v>111738.39865912771</v>
      </c>
      <c r="AL56" s="125">
        <f t="shared" si="87"/>
        <v>122711.27900840383</v>
      </c>
      <c r="AM56" s="125">
        <f t="shared" si="88"/>
        <v>133827.75038995169</v>
      </c>
      <c r="AN56" s="125">
        <f t="shared" si="89"/>
        <v>145089.69183497288</v>
      </c>
      <c r="AO56" s="125">
        <f t="shared" si="90"/>
        <v>156499.00696365786</v>
      </c>
      <c r="AP56" s="125">
        <f t="shared" si="91"/>
        <v>168057.62430695677</v>
      </c>
      <c r="AQ56" s="129">
        <f t="shared" si="92"/>
        <v>179767.4976325618</v>
      </c>
    </row>
    <row r="57" spans="1:43" x14ac:dyDescent="0.25">
      <c r="A57" s="49" t="s">
        <v>189</v>
      </c>
      <c r="B57" s="37" t="s">
        <v>126</v>
      </c>
      <c r="C57" s="37" t="s">
        <v>107</v>
      </c>
      <c r="D57" s="39">
        <v>1.0580405460089759E-2</v>
      </c>
      <c r="F57" s="49" t="s">
        <v>189</v>
      </c>
      <c r="G57" s="50">
        <v>470</v>
      </c>
      <c r="H57" s="141">
        <v>7.51E-2</v>
      </c>
      <c r="I57" s="39">
        <v>1.0580405460089759E-2</v>
      </c>
      <c r="K57" s="45">
        <f t="shared" si="65"/>
        <v>505.29699999999997</v>
      </c>
      <c r="L57" s="50">
        <f t="shared" si="66"/>
        <v>510.64324713776693</v>
      </c>
      <c r="M57" s="50">
        <f t="shared" si="67"/>
        <v>516.04605973794128</v>
      </c>
      <c r="N57" s="50">
        <f t="shared" si="68"/>
        <v>521.5060362860504</v>
      </c>
      <c r="O57" s="50">
        <f t="shared" si="69"/>
        <v>527.02378159984107</v>
      </c>
      <c r="P57" s="50">
        <f t="shared" si="70"/>
        <v>532.59990689627716</v>
      </c>
      <c r="Q57" s="50">
        <f t="shared" si="71"/>
        <v>538.23502985924586</v>
      </c>
      <c r="R57" s="50">
        <f t="shared" si="72"/>
        <v>543.92977470798019</v>
      </c>
      <c r="S57" s="50">
        <f t="shared" si="73"/>
        <v>549.68477226620587</v>
      </c>
      <c r="T57" s="50">
        <f t="shared" si="74"/>
        <v>555.50066003201948</v>
      </c>
      <c r="U57" s="50">
        <f t="shared" si="75"/>
        <v>561.37808224850573</v>
      </c>
      <c r="V57" s="50">
        <f t="shared" si="76"/>
        <v>567.31768997510255</v>
      </c>
      <c r="W57" s="50">
        <f t="shared" si="77"/>
        <v>573.32014115972061</v>
      </c>
      <c r="X57" s="50">
        <f t="shared" si="78"/>
        <v>579.38610071162634</v>
      </c>
      <c r="Y57" s="50">
        <f t="shared" si="79"/>
        <v>585.51624057509571</v>
      </c>
      <c r="Z57" s="50">
        <f t="shared" si="80"/>
        <v>591.71123980384766</v>
      </c>
      <c r="AA57" s="50">
        <f t="shared" si="81"/>
        <v>597.97178463626472</v>
      </c>
      <c r="AB57" s="46">
        <f t="shared" si="82"/>
        <v>604.29856857140987</v>
      </c>
      <c r="AD57" s="45">
        <f>VLOOKUP($A57,'Mass Equivalents - AoIC, PR, GU'!$A$9:$K$14,11,0)</f>
        <v>0</v>
      </c>
      <c r="AE57" s="46">
        <f t="shared" si="5"/>
        <v>0</v>
      </c>
      <c r="AG57" s="49" t="s">
        <v>189</v>
      </c>
      <c r="AH57" s="50">
        <f t="shared" si="83"/>
        <v>44387.772266205902</v>
      </c>
      <c r="AI57" s="50">
        <f t="shared" si="84"/>
        <v>50203.660032019514</v>
      </c>
      <c r="AJ57" s="50">
        <f t="shared" si="85"/>
        <v>56081.082248505765</v>
      </c>
      <c r="AK57" s="50">
        <f t="shared" si="86"/>
        <v>62020.689975102585</v>
      </c>
      <c r="AL57" s="50">
        <f t="shared" si="87"/>
        <v>68023.141159720632</v>
      </c>
      <c r="AM57" s="50">
        <f t="shared" si="88"/>
        <v>74089.100711626379</v>
      </c>
      <c r="AN57" s="50">
        <f t="shared" si="89"/>
        <v>80219.24057509574</v>
      </c>
      <c r="AO57" s="50">
        <f t="shared" si="90"/>
        <v>86414.239803847697</v>
      </c>
      <c r="AP57" s="50">
        <f t="shared" si="91"/>
        <v>92674.78463626474</v>
      </c>
      <c r="AQ57" s="46">
        <f t="shared" si="92"/>
        <v>99001.568571409909</v>
      </c>
    </row>
    <row r="58" spans="1:43" ht="15.75" thickBot="1" x14ac:dyDescent="0.3">
      <c r="A58" s="61" t="s">
        <v>190</v>
      </c>
      <c r="B58" s="41" t="s">
        <v>120</v>
      </c>
      <c r="C58" s="41" t="s">
        <v>100</v>
      </c>
      <c r="D58" s="42">
        <v>1.3085992711217465E-2</v>
      </c>
      <c r="F58" s="61" t="s">
        <v>190</v>
      </c>
      <c r="G58" s="51">
        <v>48</v>
      </c>
      <c r="H58" s="142">
        <v>7.51E-2</v>
      </c>
      <c r="I58" s="42">
        <v>1.3085992711217465E-2</v>
      </c>
      <c r="K58" s="47">
        <f t="shared" si="65"/>
        <v>51.604799999999997</v>
      </c>
      <c r="L58" s="51">
        <f t="shared" si="66"/>
        <v>52.280100036663832</v>
      </c>
      <c r="M58" s="51">
        <f t="shared" si="67"/>
        <v>52.964237044685333</v>
      </c>
      <c r="N58" s="51">
        <f t="shared" si="68"/>
        <v>53.657326664607282</v>
      </c>
      <c r="O58" s="51">
        <f t="shared" si="69"/>
        <v>54.359486050243746</v>
      </c>
      <c r="P58" s="51">
        <f t="shared" si="70"/>
        <v>55.07083388848276</v>
      </c>
      <c r="Q58" s="51">
        <f t="shared" si="71"/>
        <v>55.791490419348115</v>
      </c>
      <c r="R58" s="51">
        <f t="shared" si="72"/>
        <v>56.521577456323662</v>
      </c>
      <c r="S58" s="51">
        <f t="shared" si="73"/>
        <v>57.261218406943627</v>
      </c>
      <c r="T58" s="51">
        <f t="shared" si="74"/>
        <v>58.010538293652324</v>
      </c>
      <c r="U58" s="51">
        <f t="shared" si="75"/>
        <v>58.769663774936859</v>
      </c>
      <c r="V58" s="51">
        <f t="shared" si="76"/>
        <v>59.538723166736382</v>
      </c>
      <c r="W58" s="51">
        <f t="shared" si="77"/>
        <v>60.317846464131492</v>
      </c>
      <c r="X58" s="51">
        <f t="shared" si="78"/>
        <v>61.107165363317449</v>
      </c>
      <c r="Y58" s="51">
        <f t="shared" si="79"/>
        <v>61.906813283864984</v>
      </c>
      <c r="Z58" s="51">
        <f t="shared" si="80"/>
        <v>62.716925391272341</v>
      </c>
      <c r="AA58" s="51">
        <f t="shared" si="81"/>
        <v>63.537638619812498</v>
      </c>
      <c r="AB58" s="48">
        <f t="shared" si="82"/>
        <v>64.36909169567933</v>
      </c>
      <c r="AD58" s="47">
        <f>VLOOKUP($A58,'Mass Equivalents - AoIC, PR, GU'!$A$9:$K$14,11,0)</f>
        <v>0</v>
      </c>
      <c r="AE58" s="48">
        <f t="shared" si="5"/>
        <v>0</v>
      </c>
      <c r="AG58" s="61" t="s">
        <v>190</v>
      </c>
      <c r="AH58" s="51">
        <f t="shared" si="83"/>
        <v>5656.4184069436296</v>
      </c>
      <c r="AI58" s="51">
        <f t="shared" si="84"/>
        <v>6405.7382936523272</v>
      </c>
      <c r="AJ58" s="51">
        <f t="shared" si="85"/>
        <v>7164.8637749368618</v>
      </c>
      <c r="AK58" s="51">
        <f t="shared" si="86"/>
        <v>7933.9231667363847</v>
      </c>
      <c r="AL58" s="51">
        <f t="shared" si="87"/>
        <v>8713.0464641314938</v>
      </c>
      <c r="AM58" s="51">
        <f t="shared" si="88"/>
        <v>9502.3653633174526</v>
      </c>
      <c r="AN58" s="51">
        <f t="shared" si="89"/>
        <v>10302.013283864988</v>
      </c>
      <c r="AO58" s="51">
        <f t="shared" si="90"/>
        <v>11112.125391272344</v>
      </c>
      <c r="AP58" s="51">
        <f t="shared" si="91"/>
        <v>11932.838619812501</v>
      </c>
      <c r="AQ58" s="48">
        <f t="shared" si="92"/>
        <v>12764.291695679332</v>
      </c>
    </row>
    <row r="59" spans="1:43" x14ac:dyDescent="0.25">
      <c r="AD59" s="85"/>
      <c r="AE59" s="85"/>
    </row>
    <row r="63" spans="1:43" ht="21.75" thickBot="1" x14ac:dyDescent="0.4">
      <c r="A63" s="94" t="s">
        <v>175</v>
      </c>
    </row>
    <row r="64" spans="1:43" ht="21" x14ac:dyDescent="0.35">
      <c r="A64" s="263"/>
      <c r="B64" s="264" t="s">
        <v>154</v>
      </c>
      <c r="C64" s="264" t="s">
        <v>153</v>
      </c>
      <c r="D64" s="265" t="s">
        <v>169</v>
      </c>
      <c r="F64" s="241"/>
      <c r="G64" s="264" t="s">
        <v>143</v>
      </c>
      <c r="H64" s="264" t="s">
        <v>142</v>
      </c>
      <c r="I64" s="265" t="s">
        <v>141</v>
      </c>
      <c r="J64" s="91"/>
      <c r="K64" s="274" t="s">
        <v>172</v>
      </c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3"/>
      <c r="X64" s="93"/>
      <c r="Y64" s="93"/>
      <c r="Z64" s="93"/>
      <c r="AA64" s="93"/>
      <c r="AB64" s="93"/>
      <c r="AD64" s="274" t="s">
        <v>139</v>
      </c>
      <c r="AE64" s="243"/>
      <c r="AF64" s="81"/>
      <c r="AG64" s="241"/>
      <c r="AH64" s="247" t="s">
        <v>171</v>
      </c>
      <c r="AI64" s="247"/>
      <c r="AJ64" s="247"/>
      <c r="AK64" s="247"/>
      <c r="AL64" s="248"/>
      <c r="AM64" s="93"/>
      <c r="AN64" s="93"/>
      <c r="AO64" s="93"/>
      <c r="AP64" s="93"/>
      <c r="AQ64" s="93"/>
    </row>
    <row r="65" spans="1:43" ht="28.5" customHeight="1" x14ac:dyDescent="0.25">
      <c r="A65" s="266"/>
      <c r="B65" s="267"/>
      <c r="C65" s="267"/>
      <c r="D65" s="268"/>
      <c r="E65" s="53"/>
      <c r="F65" s="269"/>
      <c r="G65" s="270"/>
      <c r="H65" s="270"/>
      <c r="I65" s="271"/>
      <c r="J65" s="91"/>
      <c r="K65" s="272">
        <v>2012</v>
      </c>
      <c r="L65" s="261">
        <v>2013</v>
      </c>
      <c r="M65" s="273">
        <v>2014</v>
      </c>
      <c r="N65" s="261">
        <v>2015</v>
      </c>
      <c r="O65" s="273">
        <v>2016</v>
      </c>
      <c r="P65" s="261">
        <v>2017</v>
      </c>
      <c r="Q65" s="273">
        <v>2018</v>
      </c>
      <c r="R65" s="261">
        <v>2019</v>
      </c>
      <c r="S65" s="273">
        <v>2020</v>
      </c>
      <c r="T65" s="261">
        <v>2021</v>
      </c>
      <c r="U65" s="273">
        <v>2022</v>
      </c>
      <c r="V65" s="261">
        <v>2023</v>
      </c>
      <c r="W65" s="275">
        <v>2024</v>
      </c>
      <c r="X65" s="52"/>
      <c r="Y65" s="91"/>
      <c r="Z65" s="52"/>
      <c r="AA65" s="91"/>
      <c r="AB65" s="52"/>
      <c r="AD65" s="260" t="s">
        <v>140</v>
      </c>
      <c r="AE65" s="262" t="s">
        <v>98</v>
      </c>
      <c r="AF65" s="52"/>
      <c r="AG65" s="269"/>
      <c r="AH65" s="261">
        <v>2020</v>
      </c>
      <c r="AI65" s="261">
        <v>2021</v>
      </c>
      <c r="AJ65" s="261">
        <v>2022</v>
      </c>
      <c r="AK65" s="261">
        <v>2023</v>
      </c>
      <c r="AL65" s="262">
        <v>2024</v>
      </c>
      <c r="AM65" s="52"/>
      <c r="AN65" s="52"/>
      <c r="AO65" s="52"/>
      <c r="AP65" s="52"/>
      <c r="AQ65" s="52"/>
    </row>
    <row r="66" spans="1:43" x14ac:dyDescent="0.25">
      <c r="A66" s="38" t="s">
        <v>42</v>
      </c>
      <c r="B66" s="37" t="s">
        <v>119</v>
      </c>
      <c r="C66" s="37" t="s">
        <v>99</v>
      </c>
      <c r="D66" s="39">
        <v>1.1494808945367696E-2</v>
      </c>
      <c r="E66" s="36"/>
      <c r="F66" s="49" t="s">
        <v>42</v>
      </c>
      <c r="G66" s="43">
        <v>86238.592999999993</v>
      </c>
      <c r="H66" s="44">
        <v>7.51E-2</v>
      </c>
      <c r="I66" s="39">
        <f>VLOOKUP(F66,$A$66:$D$114,4,0)</f>
        <v>1.1494808945367696E-2</v>
      </c>
      <c r="J66" s="88"/>
      <c r="K66" s="45">
        <f t="shared" ref="K66:K114" si="93">G66*(1+$H66)</f>
        <v>92715.111334299989</v>
      </c>
      <c r="L66" s="50">
        <f>K66*(1+$I66)</f>
        <v>93780.853825436265</v>
      </c>
      <c r="M66" s="50">
        <f t="shared" ref="M66:M114" si="94">L66*(1+$I66)</f>
        <v>94858.846822893116</v>
      </c>
      <c r="N66" s="50">
        <f t="shared" ref="N66:N114" si="95">M66*(1+$I66)</f>
        <v>95949.231143900179</v>
      </c>
      <c r="O66" s="50">
        <f t="shared" ref="O66:O114" si="96">N66*(1+$I66)</f>
        <v>97052.149224354231</v>
      </c>
      <c r="P66" s="50">
        <f t="shared" ref="P66:P114" si="97">O66*(1+$I66)</f>
        <v>98167.745137425503</v>
      </c>
      <c r="Q66" s="50">
        <f t="shared" ref="Q66:Q114" si="98">P66*(1+$I66)</f>
        <v>99296.164612377761</v>
      </c>
      <c r="R66" s="50">
        <f t="shared" ref="R66:R114" si="99">Q66*(1+$I66)</f>
        <v>100437.55505360482</v>
      </c>
      <c r="S66" s="50">
        <f t="shared" ref="S66:S114" si="100">R66*(1+$I66)</f>
        <v>101592.06555988586</v>
      </c>
      <c r="T66" s="50">
        <f t="shared" ref="T66:T114" si="101">S66*(1+$I66)</f>
        <v>102759.84694386201</v>
      </c>
      <c r="U66" s="50">
        <f t="shared" ref="U66:U114" si="102">T66*(1+$I66)</f>
        <v>103941.05175173693</v>
      </c>
      <c r="V66" s="50">
        <f t="shared" ref="V66:V114" si="103">U66*(1+$I66)</f>
        <v>105135.83428320372</v>
      </c>
      <c r="W66" s="46">
        <f t="shared" ref="W66:W114" si="104">V66*(1+$I66)</f>
        <v>106344.35061160098</v>
      </c>
      <c r="X66" s="50"/>
      <c r="Y66" s="50"/>
      <c r="Z66" s="50"/>
      <c r="AA66" s="50"/>
      <c r="AB66" s="50"/>
      <c r="AD66" s="45">
        <f>VLOOKUP(F66,'Mass Equivalents - States, Opt1'!$A$8:$K$56,11,0)</f>
        <v>0</v>
      </c>
      <c r="AE66" s="46">
        <f>AD66*8760*0.55*10^-3</f>
        <v>0</v>
      </c>
      <c r="AF66" s="50"/>
      <c r="AG66" s="49" t="s">
        <v>42</v>
      </c>
      <c r="AH66" s="50">
        <f>(S66-$K66-$AE66)*10^3</f>
        <v>8876954.2255858686</v>
      </c>
      <c r="AI66" s="50">
        <f t="shared" ref="AI66:AI114" si="105">(T66-$K66-$AE66)*10^3</f>
        <v>10044735.609562021</v>
      </c>
      <c r="AJ66" s="50">
        <f t="shared" ref="AJ66:AJ114" si="106">(U66-$K66-$AE66)*10^3</f>
        <v>11225940.417436941</v>
      </c>
      <c r="AK66" s="50">
        <f t="shared" ref="AK66:AK114" si="107">(V66-$K66-$AE66)*10^3</f>
        <v>12420722.948903726</v>
      </c>
      <c r="AL66" s="46">
        <f t="shared" ref="AL66:AL114" si="108">(W66-$K66-$AE66)*10^3</f>
        <v>13629239.277300993</v>
      </c>
      <c r="AM66" s="50"/>
      <c r="AN66" s="50"/>
      <c r="AO66" s="50"/>
      <c r="AP66" s="50"/>
      <c r="AQ66" s="50"/>
    </row>
    <row r="67" spans="1:43" x14ac:dyDescent="0.25">
      <c r="A67" s="38" t="s">
        <v>43</v>
      </c>
      <c r="B67" s="37" t="s">
        <v>138</v>
      </c>
      <c r="C67" s="37" t="s">
        <v>137</v>
      </c>
      <c r="D67" s="39">
        <v>8.4784190786613145E-3</v>
      </c>
      <c r="E67" s="36"/>
      <c r="F67" s="49" t="s">
        <v>43</v>
      </c>
      <c r="G67" s="43">
        <v>6417.9279999999999</v>
      </c>
      <c r="H67" s="44">
        <v>7.51E-2</v>
      </c>
      <c r="I67" s="39">
        <f t="shared" ref="I67:I114" si="109">VLOOKUP(F67,$A$66:$D$114,4,0)</f>
        <v>8.4784190786613145E-3</v>
      </c>
      <c r="J67" s="88"/>
      <c r="K67" s="45">
        <f t="shared" si="93"/>
        <v>6899.9143927999994</v>
      </c>
      <c r="L67" s="50">
        <f t="shared" ref="L67:L114" si="110">K67*(1+$I67)</f>
        <v>6958.4147586290446</v>
      </c>
      <c r="M67" s="50">
        <f t="shared" si="94"/>
        <v>7017.4111150758436</v>
      </c>
      <c r="N67" s="50">
        <f t="shared" si="95"/>
        <v>7076.9076673567124</v>
      </c>
      <c r="O67" s="50">
        <f t="shared" si="96"/>
        <v>7136.908656341554</v>
      </c>
      <c r="P67" s="50">
        <f t="shared" si="97"/>
        <v>7197.4183588561436</v>
      </c>
      <c r="Q67" s="50">
        <f t="shared" si="98"/>
        <v>7258.4410879869765</v>
      </c>
      <c r="R67" s="50">
        <f t="shared" si="99"/>
        <v>7319.9811933887049</v>
      </c>
      <c r="S67" s="50">
        <f t="shared" si="100"/>
        <v>7382.0430615941741</v>
      </c>
      <c r="T67" s="50">
        <f t="shared" si="101"/>
        <v>7444.6311163270939</v>
      </c>
      <c r="U67" s="50">
        <f t="shared" si="102"/>
        <v>7507.7498188173568</v>
      </c>
      <c r="V67" s="50">
        <f t="shared" si="103"/>
        <v>7571.4036681190337</v>
      </c>
      <c r="W67" s="46">
        <f t="shared" si="104"/>
        <v>7635.5972014310601</v>
      </c>
      <c r="X67" s="50"/>
      <c r="Y67" s="50"/>
      <c r="Z67" s="50"/>
      <c r="AA67" s="50"/>
      <c r="AB67" s="50"/>
      <c r="AD67" s="45">
        <f>VLOOKUP(F67,'Mass Equivalents - States, Opt1'!$A$8:$K$56,11,0)</f>
        <v>0</v>
      </c>
      <c r="AE67" s="46">
        <f t="shared" ref="AE67:AE114" si="111">AD67*8760*0.55*10^-3</f>
        <v>0</v>
      </c>
      <c r="AF67" s="50"/>
      <c r="AG67" s="49" t="s">
        <v>43</v>
      </c>
      <c r="AH67" s="50">
        <f t="shared" ref="AH67:AH114" si="112">(S67-$K67-$AE67)*10^3</f>
        <v>482128.66879417468</v>
      </c>
      <c r="AI67" s="50">
        <f t="shared" si="105"/>
        <v>544716.72352709447</v>
      </c>
      <c r="AJ67" s="50">
        <f t="shared" si="106"/>
        <v>607835.42601735739</v>
      </c>
      <c r="AK67" s="50">
        <f t="shared" si="107"/>
        <v>671489.27531903423</v>
      </c>
      <c r="AL67" s="46">
        <f t="shared" si="108"/>
        <v>735682.80863106064</v>
      </c>
      <c r="AM67" s="50"/>
      <c r="AN67" s="50"/>
      <c r="AO67" s="50"/>
      <c r="AP67" s="50"/>
      <c r="AQ67" s="50"/>
    </row>
    <row r="68" spans="1:43" x14ac:dyDescent="0.25">
      <c r="A68" s="38" t="s">
        <v>44</v>
      </c>
      <c r="B68" s="37" t="s">
        <v>120</v>
      </c>
      <c r="C68" s="37" t="s">
        <v>100</v>
      </c>
      <c r="D68" s="39">
        <v>1.3247413603107328E-2</v>
      </c>
      <c r="E68" s="36"/>
      <c r="F68" s="49" t="s">
        <v>44</v>
      </c>
      <c r="G68" s="43">
        <v>76274.51400000001</v>
      </c>
      <c r="H68" s="44">
        <v>7.51E-2</v>
      </c>
      <c r="I68" s="39">
        <f t="shared" si="109"/>
        <v>1.3247413603107328E-2</v>
      </c>
      <c r="J68" s="88"/>
      <c r="K68" s="45">
        <f t="shared" si="93"/>
        <v>82002.730001400007</v>
      </c>
      <c r="L68" s="50">
        <f t="shared" si="110"/>
        <v>83089.05408231249</v>
      </c>
      <c r="M68" s="50">
        <f t="shared" si="94"/>
        <v>84189.769147631843</v>
      </c>
      <c r="N68" s="50">
        <f t="shared" si="95"/>
        <v>85305.065840680647</v>
      </c>
      <c r="O68" s="50">
        <f t="shared" si="96"/>
        <v>86435.137330312442</v>
      </c>
      <c r="P68" s="50">
        <f t="shared" si="97"/>
        <v>87580.179344368473</v>
      </c>
      <c r="Q68" s="50">
        <f t="shared" si="98"/>
        <v>88740.390203577641</v>
      </c>
      <c r="R68" s="50">
        <f t="shared" si="99"/>
        <v>89915.970855905573</v>
      </c>
      <c r="S68" s="50">
        <f t="shared" si="100"/>
        <v>91107.124911358696</v>
      </c>
      <c r="T68" s="50">
        <f t="shared" si="101"/>
        <v>92314.058677249428</v>
      </c>
      <c r="U68" s="50">
        <f t="shared" si="102"/>
        <v>93536.98119392847</v>
      </c>
      <c r="V68" s="50">
        <f t="shared" si="103"/>
        <v>94776.104270990516</v>
      </c>
      <c r="W68" s="46">
        <f t="shared" si="104"/>
        <v>96031.642523959556</v>
      </c>
      <c r="X68" s="50"/>
      <c r="Y68" s="50"/>
      <c r="Z68" s="50"/>
      <c r="AA68" s="50"/>
      <c r="AB68" s="50"/>
      <c r="AD68" s="45">
        <f>VLOOKUP(F68,'Mass Equivalents - States, Opt1'!$A$8:$K$56,11,0)</f>
        <v>0</v>
      </c>
      <c r="AE68" s="46">
        <f t="shared" si="111"/>
        <v>0</v>
      </c>
      <c r="AF68" s="50"/>
      <c r="AG68" s="49" t="s">
        <v>44</v>
      </c>
      <c r="AH68" s="50">
        <f t="shared" si="112"/>
        <v>9104394.9099586904</v>
      </c>
      <c r="AI68" s="50">
        <f t="shared" si="105"/>
        <v>10311328.675849421</v>
      </c>
      <c r="AJ68" s="50">
        <f t="shared" si="106"/>
        <v>11534251.192528464</v>
      </c>
      <c r="AK68" s="50">
        <f t="shared" si="107"/>
        <v>12773374.26959051</v>
      </c>
      <c r="AL68" s="46">
        <f t="shared" si="108"/>
        <v>14028912.52255955</v>
      </c>
      <c r="AM68" s="50"/>
      <c r="AN68" s="50"/>
      <c r="AO68" s="50"/>
      <c r="AP68" s="50"/>
      <c r="AQ68" s="50"/>
    </row>
    <row r="69" spans="1:43" x14ac:dyDescent="0.25">
      <c r="A69" s="38" t="s">
        <v>45</v>
      </c>
      <c r="B69" s="37" t="s">
        <v>121</v>
      </c>
      <c r="C69" s="37" t="s">
        <v>101</v>
      </c>
      <c r="D69" s="39">
        <v>1.0065527652824757E-2</v>
      </c>
      <c r="E69" s="36"/>
      <c r="F69" s="49" t="s">
        <v>45</v>
      </c>
      <c r="G69" s="43">
        <v>46912.103999999999</v>
      </c>
      <c r="H69" s="44">
        <v>7.51E-2</v>
      </c>
      <c r="I69" s="39">
        <f t="shared" si="109"/>
        <v>1.0065527652824757E-2</v>
      </c>
      <c r="J69" s="88"/>
      <c r="K69" s="45">
        <f t="shared" si="93"/>
        <v>50435.203010399993</v>
      </c>
      <c r="L69" s="50">
        <f t="shared" si="110"/>
        <v>50942.859940977003</v>
      </c>
      <c r="M69" s="50">
        <f t="shared" si="94"/>
        <v>51455.626706426883</v>
      </c>
      <c r="N69" s="50">
        <f t="shared" si="95"/>
        <v>51973.554739933854</v>
      </c>
      <c r="O69" s="50">
        <f t="shared" si="96"/>
        <v>52496.695992384259</v>
      </c>
      <c r="P69" s="50">
        <f t="shared" si="97"/>
        <v>53025.10293757754</v>
      </c>
      <c r="Q69" s="50">
        <f t="shared" si="98"/>
        <v>53558.828577489607</v>
      </c>
      <c r="R69" s="50">
        <f t="shared" si="99"/>
        <v>54097.926447589227</v>
      </c>
      <c r="S69" s="50">
        <f t="shared" si="100"/>
        <v>54642.450622207914</v>
      </c>
      <c r="T69" s="50">
        <f t="shared" si="101"/>
        <v>55192.455719963858</v>
      </c>
      <c r="U69" s="50">
        <f t="shared" si="102"/>
        <v>55747.996909240457</v>
      </c>
      <c r="V69" s="50">
        <f t="shared" si="103"/>
        <v>56309.129913720004</v>
      </c>
      <c r="W69" s="46">
        <f t="shared" si="104"/>
        <v>56875.911017973056</v>
      </c>
      <c r="X69" s="50"/>
      <c r="Y69" s="50"/>
      <c r="Z69" s="50"/>
      <c r="AA69" s="50"/>
      <c r="AB69" s="50"/>
      <c r="AD69" s="45">
        <f>VLOOKUP(F69,'Mass Equivalents - States, Opt1'!$A$8:$K$56,11,0)</f>
        <v>0</v>
      </c>
      <c r="AE69" s="46">
        <f t="shared" si="111"/>
        <v>0</v>
      </c>
      <c r="AF69" s="50"/>
      <c r="AG69" s="49" t="s">
        <v>45</v>
      </c>
      <c r="AH69" s="50">
        <f t="shared" si="112"/>
        <v>4207247.611807921</v>
      </c>
      <c r="AI69" s="50">
        <f t="shared" si="105"/>
        <v>4757252.7095638653</v>
      </c>
      <c r="AJ69" s="50">
        <f t="shared" si="106"/>
        <v>5312793.8988404637</v>
      </c>
      <c r="AK69" s="50">
        <f t="shared" si="107"/>
        <v>5873926.9033200108</v>
      </c>
      <c r="AL69" s="46">
        <f t="shared" si="108"/>
        <v>6440708.0075730626</v>
      </c>
      <c r="AM69" s="50"/>
      <c r="AN69" s="50"/>
      <c r="AO69" s="50"/>
      <c r="AP69" s="50"/>
      <c r="AQ69" s="50"/>
    </row>
    <row r="70" spans="1:43" x14ac:dyDescent="0.25">
      <c r="A70" s="38" t="s">
        <v>46</v>
      </c>
      <c r="B70" s="37" t="s">
        <v>122</v>
      </c>
      <c r="C70" s="37" t="s">
        <v>102</v>
      </c>
      <c r="D70" s="39">
        <v>9.1711304435075913E-3</v>
      </c>
      <c r="E70" s="36"/>
      <c r="F70" s="49" t="s">
        <v>46</v>
      </c>
      <c r="G70" s="43">
        <v>262823.777</v>
      </c>
      <c r="H70" s="44">
        <v>7.51E-2</v>
      </c>
      <c r="I70" s="39">
        <f t="shared" si="109"/>
        <v>9.1711304435075913E-3</v>
      </c>
      <c r="J70" s="88"/>
      <c r="K70" s="45">
        <f t="shared" si="93"/>
        <v>282561.84265269997</v>
      </c>
      <c r="L70" s="50">
        <f t="shared" si="110"/>
        <v>285153.25417002576</v>
      </c>
      <c r="M70" s="50">
        <f t="shared" si="94"/>
        <v>287768.43186040974</v>
      </c>
      <c r="N70" s="50">
        <f t="shared" si="95"/>
        <v>290407.59368652519</v>
      </c>
      <c r="O70" s="50">
        <f t="shared" si="96"/>
        <v>293070.95961000945</v>
      </c>
      <c r="P70" s="50">
        <f t="shared" si="97"/>
        <v>295758.75160979677</v>
      </c>
      <c r="Q70" s="50">
        <f t="shared" si="98"/>
        <v>298471.19370061916</v>
      </c>
      <c r="R70" s="50">
        <f t="shared" si="99"/>
        <v>301208.51195167698</v>
      </c>
      <c r="S70" s="50">
        <f t="shared" si="100"/>
        <v>303970.93450548063</v>
      </c>
      <c r="T70" s="50">
        <f t="shared" si="101"/>
        <v>306758.6915968653</v>
      </c>
      <c r="U70" s="50">
        <f t="shared" si="102"/>
        <v>309572.01557217987</v>
      </c>
      <c r="V70" s="50">
        <f t="shared" si="103"/>
        <v>312411.14090865187</v>
      </c>
      <c r="W70" s="46">
        <f t="shared" si="104"/>
        <v>315276.30423393013</v>
      </c>
      <c r="X70" s="50"/>
      <c r="Y70" s="50"/>
      <c r="Z70" s="50"/>
      <c r="AA70" s="50"/>
      <c r="AB70" s="50"/>
      <c r="AD70" s="45">
        <f>VLOOKUP(F70,'Mass Equivalents - States, Opt1'!$A$8:$K$56,11,0)</f>
        <v>1855.2</v>
      </c>
      <c r="AE70" s="46">
        <f t="shared" si="111"/>
        <v>8938.3536000000022</v>
      </c>
      <c r="AF70" s="50"/>
      <c r="AG70" s="49" t="s">
        <v>46</v>
      </c>
      <c r="AH70" s="50">
        <f t="shared" si="112"/>
        <v>12470738.252780663</v>
      </c>
      <c r="AI70" s="50">
        <f t="shared" si="105"/>
        <v>15258495.344165334</v>
      </c>
      <c r="AJ70" s="50">
        <f t="shared" si="106"/>
        <v>18071819.319479894</v>
      </c>
      <c r="AK70" s="50">
        <f t="shared" si="107"/>
        <v>20910944.655951899</v>
      </c>
      <c r="AL70" s="46">
        <f t="shared" si="108"/>
        <v>23776107.981230162</v>
      </c>
      <c r="AM70" s="50"/>
      <c r="AN70" s="50"/>
      <c r="AO70" s="50"/>
      <c r="AP70" s="50"/>
      <c r="AQ70" s="50"/>
    </row>
    <row r="71" spans="1:43" x14ac:dyDescent="0.25">
      <c r="A71" s="38" t="s">
        <v>47</v>
      </c>
      <c r="B71" s="37" t="s">
        <v>123</v>
      </c>
      <c r="C71" s="37" t="s">
        <v>103</v>
      </c>
      <c r="D71" s="39">
        <v>1.3678541918819898E-2</v>
      </c>
      <c r="E71" s="36"/>
      <c r="F71" s="49" t="s">
        <v>47</v>
      </c>
      <c r="G71" s="43">
        <v>54144.661</v>
      </c>
      <c r="H71" s="44">
        <v>7.51E-2</v>
      </c>
      <c r="I71" s="39">
        <f t="shared" si="109"/>
        <v>1.3678541918819898E-2</v>
      </c>
      <c r="J71" s="88"/>
      <c r="K71" s="45">
        <f t="shared" si="93"/>
        <v>58210.925041099996</v>
      </c>
      <c r="L71" s="50">
        <f t="shared" si="110"/>
        <v>59007.165619407962</v>
      </c>
      <c r="M71" s="50">
        <f t="shared" si="94"/>
        <v>59814.297607843786</v>
      </c>
      <c r="N71" s="50">
        <f t="shared" si="95"/>
        <v>60632.469985017444</v>
      </c>
      <c r="O71" s="50">
        <f t="shared" si="96"/>
        <v>61461.833767349097</v>
      </c>
      <c r="P71" s="50">
        <f t="shared" si="97"/>
        <v>62302.54203694332</v>
      </c>
      <c r="Q71" s="50">
        <f t="shared" si="98"/>
        <v>63154.749969844685</v>
      </c>
      <c r="R71" s="50">
        <f t="shared" si="99"/>
        <v>64018.614864679796</v>
      </c>
      <c r="S71" s="50">
        <f t="shared" si="100"/>
        <v>64894.296171691101</v>
      </c>
      <c r="T71" s="50">
        <f t="shared" si="101"/>
        <v>65781.955522167889</v>
      </c>
      <c r="U71" s="50">
        <f t="shared" si="102"/>
        <v>66681.756758279807</v>
      </c>
      <c r="V71" s="50">
        <f t="shared" si="103"/>
        <v>67593.865963318487</v>
      </c>
      <c r="W71" s="46">
        <f t="shared" si="104"/>
        <v>68518.451492352833</v>
      </c>
      <c r="X71" s="50"/>
      <c r="Y71" s="50"/>
      <c r="Z71" s="50"/>
      <c r="AA71" s="50"/>
      <c r="AB71" s="50"/>
      <c r="AD71" s="45">
        <f>VLOOKUP(F71,'Mass Equivalents - States, Opt1'!$A$8:$K$56,11,0)</f>
        <v>200</v>
      </c>
      <c r="AE71" s="46">
        <f t="shared" si="111"/>
        <v>963.60000000000014</v>
      </c>
      <c r="AF71" s="50"/>
      <c r="AG71" s="49" t="s">
        <v>47</v>
      </c>
      <c r="AH71" s="50">
        <f t="shared" si="112"/>
        <v>5719771.1305911057</v>
      </c>
      <c r="AI71" s="50">
        <f t="shared" si="105"/>
        <v>6607430.4810678931</v>
      </c>
      <c r="AJ71" s="50">
        <f t="shared" si="106"/>
        <v>7507231.7171798116</v>
      </c>
      <c r="AK71" s="50">
        <f t="shared" si="107"/>
        <v>8419340.9222184904</v>
      </c>
      <c r="AL71" s="46">
        <f t="shared" si="108"/>
        <v>9343926.4512528367</v>
      </c>
      <c r="AM71" s="50"/>
      <c r="AN71" s="50"/>
      <c r="AO71" s="50"/>
      <c r="AP71" s="50"/>
      <c r="AQ71" s="50"/>
    </row>
    <row r="72" spans="1:43" x14ac:dyDescent="0.25">
      <c r="A72" s="38" t="s">
        <v>48</v>
      </c>
      <c r="B72" s="37" t="s">
        <v>124</v>
      </c>
      <c r="C72" s="37" t="s">
        <v>104</v>
      </c>
      <c r="D72" s="39">
        <v>4.0930755788939344E-3</v>
      </c>
      <c r="E72" s="36"/>
      <c r="F72" s="49" t="s">
        <v>48</v>
      </c>
      <c r="G72" s="43">
        <v>29843.811999999998</v>
      </c>
      <c r="H72" s="44">
        <v>7.51E-2</v>
      </c>
      <c r="I72" s="39">
        <f t="shared" si="109"/>
        <v>4.0930755788939344E-3</v>
      </c>
      <c r="J72" s="88"/>
      <c r="K72" s="45">
        <f t="shared" si="93"/>
        <v>32085.082281199997</v>
      </c>
      <c r="L72" s="50">
        <f t="shared" si="110"/>
        <v>32216.408947931981</v>
      </c>
      <c r="M72" s="50">
        <f t="shared" si="94"/>
        <v>32348.27314463642</v>
      </c>
      <c r="N72" s="50">
        <f t="shared" si="95"/>
        <v>32480.677071464121</v>
      </c>
      <c r="O72" s="50">
        <f t="shared" si="96"/>
        <v>32613.622937571272</v>
      </c>
      <c r="P72" s="50">
        <f t="shared" si="97"/>
        <v>32747.112961156301</v>
      </c>
      <c r="Q72" s="50">
        <f t="shared" si="98"/>
        <v>32881.149369496889</v>
      </c>
      <c r="R72" s="50">
        <f t="shared" si="99"/>
        <v>33015.734398987137</v>
      </c>
      <c r="S72" s="50">
        <f t="shared" si="100"/>
        <v>33150.870295174878</v>
      </c>
      <c r="T72" s="50">
        <f t="shared" si="101"/>
        <v>33286.559312799138</v>
      </c>
      <c r="U72" s="50">
        <f t="shared" si="102"/>
        <v>33422.803715827758</v>
      </c>
      <c r="V72" s="50">
        <f t="shared" si="103"/>
        <v>33559.605777495177</v>
      </c>
      <c r="W72" s="46">
        <f t="shared" si="104"/>
        <v>33696.967780340354</v>
      </c>
      <c r="X72" s="50"/>
      <c r="Y72" s="50"/>
      <c r="Z72" s="50"/>
      <c r="AA72" s="50"/>
      <c r="AB72" s="50"/>
      <c r="AD72" s="45">
        <f>VLOOKUP(F72,'Mass Equivalents - States, Opt1'!$A$8:$K$56,11,0)</f>
        <v>0</v>
      </c>
      <c r="AE72" s="46">
        <f t="shared" si="111"/>
        <v>0</v>
      </c>
      <c r="AF72" s="50"/>
      <c r="AG72" s="49" t="s">
        <v>48</v>
      </c>
      <c r="AH72" s="50">
        <f t="shared" si="112"/>
        <v>1065788.0139748813</v>
      </c>
      <c r="AI72" s="50">
        <f t="shared" si="105"/>
        <v>1201477.031599141</v>
      </c>
      <c r="AJ72" s="50">
        <f t="shared" si="106"/>
        <v>1337721.4346277616</v>
      </c>
      <c r="AK72" s="50">
        <f t="shared" si="107"/>
        <v>1474523.4962951799</v>
      </c>
      <c r="AL72" s="46">
        <f t="shared" si="108"/>
        <v>1611885.4991403569</v>
      </c>
      <c r="AM72" s="50"/>
      <c r="AN72" s="50"/>
      <c r="AO72" s="50"/>
      <c r="AP72" s="50"/>
      <c r="AQ72" s="50"/>
    </row>
    <row r="73" spans="1:43" x14ac:dyDescent="0.25">
      <c r="A73" s="38" t="s">
        <v>49</v>
      </c>
      <c r="B73" s="37" t="s">
        <v>125</v>
      </c>
      <c r="C73" s="37" t="s">
        <v>105</v>
      </c>
      <c r="D73" s="39">
        <v>5.7453291968199149E-3</v>
      </c>
      <c r="E73" s="36"/>
      <c r="F73" s="49" t="s">
        <v>49</v>
      </c>
      <c r="G73" s="43">
        <v>11530.091</v>
      </c>
      <c r="H73" s="44">
        <v>7.51E-2</v>
      </c>
      <c r="I73" s="39">
        <f t="shared" si="109"/>
        <v>5.7453291968199149E-3</v>
      </c>
      <c r="J73" s="88"/>
      <c r="K73" s="45">
        <f t="shared" si="93"/>
        <v>12396.000834099999</v>
      </c>
      <c r="L73" s="50">
        <f t="shared" si="110"/>
        <v>12467.219939615958</v>
      </c>
      <c r="M73" s="50">
        <f t="shared" si="94"/>
        <v>12538.848222338209</v>
      </c>
      <c r="N73" s="50">
        <f t="shared" si="95"/>
        <v>12610.888033124502</v>
      </c>
      <c r="O73" s="50">
        <f t="shared" si="96"/>
        <v>12683.341736339038</v>
      </c>
      <c r="P73" s="50">
        <f t="shared" si="97"/>
        <v>12756.211709930072</v>
      </c>
      <c r="Q73" s="50">
        <f t="shared" si="98"/>
        <v>12829.50034550795</v>
      </c>
      <c r="R73" s="50">
        <f t="shared" si="99"/>
        <v>12903.210048423607</v>
      </c>
      <c r="S73" s="50">
        <f t="shared" si="100"/>
        <v>12977.343237847515</v>
      </c>
      <c r="T73" s="50">
        <f t="shared" si="101"/>
        <v>13051.902346849074</v>
      </c>
      <c r="U73" s="50">
        <f t="shared" si="102"/>
        <v>13126.889822476469</v>
      </c>
      <c r="V73" s="50">
        <f t="shared" si="103"/>
        <v>13202.30812583698</v>
      </c>
      <c r="W73" s="46">
        <f t="shared" si="104"/>
        <v>13278.159732177764</v>
      </c>
      <c r="X73" s="50"/>
      <c r="Y73" s="50"/>
      <c r="Z73" s="50"/>
      <c r="AA73" s="50"/>
      <c r="AB73" s="50"/>
      <c r="AD73" s="45">
        <f>VLOOKUP(F73,'Mass Equivalents - States, Opt1'!$A$8:$K$56,11,0)</f>
        <v>0</v>
      </c>
      <c r="AE73" s="46">
        <f t="shared" si="111"/>
        <v>0</v>
      </c>
      <c r="AF73" s="50"/>
      <c r="AG73" s="49" t="s">
        <v>49</v>
      </c>
      <c r="AH73" s="50">
        <f t="shared" si="112"/>
        <v>581342.4037475161</v>
      </c>
      <c r="AI73" s="50">
        <f t="shared" si="105"/>
        <v>655901.51274907473</v>
      </c>
      <c r="AJ73" s="50">
        <f t="shared" si="106"/>
        <v>730888.98837646958</v>
      </c>
      <c r="AK73" s="50">
        <f t="shared" si="107"/>
        <v>806307.2917369809</v>
      </c>
      <c r="AL73" s="46">
        <f t="shared" si="108"/>
        <v>882158.89807776513</v>
      </c>
      <c r="AM73" s="50"/>
      <c r="AN73" s="50"/>
      <c r="AO73" s="50"/>
      <c r="AP73" s="50"/>
      <c r="AQ73" s="50"/>
    </row>
    <row r="74" spans="1:43" x14ac:dyDescent="0.25">
      <c r="A74" s="38" t="s">
        <v>50</v>
      </c>
      <c r="B74" s="37" t="s">
        <v>50</v>
      </c>
      <c r="C74" s="37" t="s">
        <v>106</v>
      </c>
      <c r="D74" s="39">
        <v>1.0446513063958607E-2</v>
      </c>
      <c r="E74" s="36"/>
      <c r="F74" s="49" t="s">
        <v>50</v>
      </c>
      <c r="G74" s="43">
        <v>221261.41600000003</v>
      </c>
      <c r="H74" s="44">
        <v>7.51E-2</v>
      </c>
      <c r="I74" s="39">
        <f t="shared" si="109"/>
        <v>1.0446513063958607E-2</v>
      </c>
      <c r="J74" s="88"/>
      <c r="K74" s="45">
        <f t="shared" si="93"/>
        <v>237878.14834160003</v>
      </c>
      <c r="L74" s="50">
        <f t="shared" si="110"/>
        <v>240363.14552588083</v>
      </c>
      <c r="M74" s="50">
        <f t="shared" si="94"/>
        <v>242874.10226571112</v>
      </c>
      <c r="N74" s="50">
        <f t="shared" si="95"/>
        <v>245411.28974792708</v>
      </c>
      <c r="O74" s="50">
        <f t="shared" si="96"/>
        <v>247974.98199232173</v>
      </c>
      <c r="P74" s="50">
        <f t="shared" si="97"/>
        <v>250565.45588123941</v>
      </c>
      <c r="Q74" s="50">
        <f t="shared" si="98"/>
        <v>253182.99118947951</v>
      </c>
      <c r="R74" s="50">
        <f t="shared" si="99"/>
        <v>255827.87061451253</v>
      </c>
      <c r="S74" s="50">
        <f t="shared" si="100"/>
        <v>258500.37980701175</v>
      </c>
      <c r="T74" s="50">
        <f t="shared" si="101"/>
        <v>261200.80740170396</v>
      </c>
      <c r="U74" s="50">
        <f t="shared" si="102"/>
        <v>263929.4450485424</v>
      </c>
      <c r="V74" s="50">
        <f t="shared" si="103"/>
        <v>266686.58744420536</v>
      </c>
      <c r="W74" s="46">
        <f t="shared" si="104"/>
        <v>269472.53236392379</v>
      </c>
      <c r="X74" s="50"/>
      <c r="Y74" s="50"/>
      <c r="Z74" s="50"/>
      <c r="AA74" s="50"/>
      <c r="AB74" s="50"/>
      <c r="AD74" s="45">
        <f>VLOOKUP(F74,'Mass Equivalents - States, Opt1'!$A$8:$K$56,11,0)</f>
        <v>1157</v>
      </c>
      <c r="AE74" s="46">
        <f t="shared" si="111"/>
        <v>5574.4260000000004</v>
      </c>
      <c r="AF74" s="50"/>
      <c r="AG74" s="49" t="s">
        <v>50</v>
      </c>
      <c r="AH74" s="50">
        <f t="shared" si="112"/>
        <v>15047805.465411723</v>
      </c>
      <c r="AI74" s="50">
        <f t="shared" si="105"/>
        <v>17748233.060103934</v>
      </c>
      <c r="AJ74" s="50">
        <f t="shared" si="106"/>
        <v>20476870.706942376</v>
      </c>
      <c r="AK74" s="50">
        <f t="shared" si="107"/>
        <v>23234013.102605335</v>
      </c>
      <c r="AL74" s="46">
        <f t="shared" si="108"/>
        <v>26019958.022323765</v>
      </c>
      <c r="AM74" s="50"/>
      <c r="AN74" s="50"/>
      <c r="AO74" s="50"/>
      <c r="AP74" s="50"/>
      <c r="AQ74" s="50"/>
    </row>
    <row r="75" spans="1:43" x14ac:dyDescent="0.25">
      <c r="A75" s="38" t="s">
        <v>51</v>
      </c>
      <c r="B75" s="37" t="s">
        <v>119</v>
      </c>
      <c r="C75" s="37" t="s">
        <v>99</v>
      </c>
      <c r="D75" s="39">
        <v>1.1494808945367696E-2</v>
      </c>
      <c r="E75" s="36"/>
      <c r="F75" s="49" t="s">
        <v>51</v>
      </c>
      <c r="G75" s="43">
        <v>131220.133</v>
      </c>
      <c r="H75" s="44">
        <v>7.51E-2</v>
      </c>
      <c r="I75" s="39">
        <f t="shared" si="109"/>
        <v>1.1494808945367696E-2</v>
      </c>
      <c r="J75" s="88"/>
      <c r="K75" s="45">
        <f t="shared" si="93"/>
        <v>141074.76498829998</v>
      </c>
      <c r="L75" s="50">
        <f t="shared" si="110"/>
        <v>142696.39245885314</v>
      </c>
      <c r="M75" s="50">
        <f t="shared" si="94"/>
        <v>144336.66022736087</v>
      </c>
      <c r="N75" s="50">
        <f t="shared" si="95"/>
        <v>145995.78256048684</v>
      </c>
      <c r="O75" s="50">
        <f t="shared" si="96"/>
        <v>147673.97618784907</v>
      </c>
      <c r="P75" s="50">
        <f t="shared" si="97"/>
        <v>149371.46033033117</v>
      </c>
      <c r="Q75" s="50">
        <f t="shared" si="98"/>
        <v>151088.45672871891</v>
      </c>
      <c r="R75" s="50">
        <f t="shared" si="99"/>
        <v>152825.18967266599</v>
      </c>
      <c r="S75" s="50">
        <f t="shared" si="100"/>
        <v>154581.88602999286</v>
      </c>
      <c r="T75" s="50">
        <f t="shared" si="101"/>
        <v>156358.77527632224</v>
      </c>
      <c r="U75" s="50">
        <f t="shared" si="102"/>
        <v>158156.08952505526</v>
      </c>
      <c r="V75" s="50">
        <f t="shared" si="103"/>
        <v>159974.06355769225</v>
      </c>
      <c r="W75" s="46">
        <f t="shared" si="104"/>
        <v>161812.93485450203</v>
      </c>
      <c r="X75" s="50"/>
      <c r="Y75" s="50"/>
      <c r="Z75" s="50"/>
      <c r="AA75" s="50"/>
      <c r="AB75" s="50"/>
      <c r="AD75" s="45">
        <f>VLOOKUP(F75,'Mass Equivalents - States, Opt1'!$A$8:$K$56,11,0)</f>
        <v>0</v>
      </c>
      <c r="AE75" s="46">
        <f t="shared" si="111"/>
        <v>0</v>
      </c>
      <c r="AF75" s="50"/>
      <c r="AG75" s="49" t="s">
        <v>51</v>
      </c>
      <c r="AH75" s="50">
        <f t="shared" si="112"/>
        <v>13507121.041692881</v>
      </c>
      <c r="AI75" s="50">
        <f t="shared" si="105"/>
        <v>15284010.288022256</v>
      </c>
      <c r="AJ75" s="50">
        <f t="shared" si="106"/>
        <v>17081324.536755275</v>
      </c>
      <c r="AK75" s="50">
        <f t="shared" si="107"/>
        <v>18899298.569392268</v>
      </c>
      <c r="AL75" s="46">
        <f t="shared" si="108"/>
        <v>20738169.866202049</v>
      </c>
      <c r="AM75" s="50"/>
      <c r="AN75" s="50"/>
      <c r="AO75" s="50"/>
      <c r="AP75" s="50"/>
      <c r="AQ75" s="50"/>
    </row>
    <row r="76" spans="1:43" x14ac:dyDescent="0.25">
      <c r="A76" s="38" t="s">
        <v>53</v>
      </c>
      <c r="B76" s="37" t="s">
        <v>126</v>
      </c>
      <c r="C76" s="37" t="s">
        <v>107</v>
      </c>
      <c r="D76" s="39">
        <v>1.1548387384267E-2</v>
      </c>
      <c r="E76" s="36"/>
      <c r="F76" s="82" t="s">
        <v>52</v>
      </c>
      <c r="G76" s="43">
        <v>9643.4470000000001</v>
      </c>
      <c r="H76" s="44">
        <v>7.51E-2</v>
      </c>
      <c r="I76" s="39">
        <f t="shared" si="109"/>
        <v>8.4784190786613145E-3</v>
      </c>
      <c r="J76" s="88"/>
      <c r="K76" s="45">
        <f t="shared" si="93"/>
        <v>10367.669869699999</v>
      </c>
      <c r="L76" s="50">
        <f t="shared" si="110"/>
        <v>10455.571319724526</v>
      </c>
      <c r="M76" s="50">
        <f t="shared" si="94"/>
        <v>10544.218035079983</v>
      </c>
      <c r="N76" s="50">
        <f t="shared" si="95"/>
        <v>10633.616334438169</v>
      </c>
      <c r="O76" s="50">
        <f t="shared" si="96"/>
        <v>10723.772590043234</v>
      </c>
      <c r="P76" s="50">
        <f t="shared" si="97"/>
        <v>10814.693228165883</v>
      </c>
      <c r="Q76" s="50">
        <f t="shared" si="98"/>
        <v>10906.384729561434</v>
      </c>
      <c r="R76" s="50">
        <f t="shared" si="99"/>
        <v>10998.853629931768</v>
      </c>
      <c r="S76" s="50">
        <f t="shared" si="100"/>
        <v>11092.106520391184</v>
      </c>
      <c r="T76" s="50">
        <f t="shared" si="101"/>
        <v>11186.150047936213</v>
      </c>
      <c r="U76" s="50">
        <f t="shared" si="102"/>
        <v>11280.990915919403</v>
      </c>
      <c r="V76" s="50">
        <f t="shared" si="103"/>
        <v>11376.635884527139</v>
      </c>
      <c r="W76" s="46">
        <f t="shared" si="104"/>
        <v>11473.091771261497</v>
      </c>
      <c r="X76" s="50"/>
      <c r="Y76" s="50"/>
      <c r="Z76" s="50"/>
      <c r="AA76" s="50"/>
      <c r="AB76" s="50"/>
      <c r="AD76" s="45">
        <f>VLOOKUP(F76,'Mass Equivalents - States, Opt1'!$A$8:$K$56,11,0)</f>
        <v>0</v>
      </c>
      <c r="AE76" s="46">
        <f t="shared" si="111"/>
        <v>0</v>
      </c>
      <c r="AF76" s="50"/>
      <c r="AG76" s="82" t="s">
        <v>52</v>
      </c>
      <c r="AH76" s="50">
        <f t="shared" si="112"/>
        <v>724436.65069118468</v>
      </c>
      <c r="AI76" s="50">
        <f t="shared" si="105"/>
        <v>818480.17823621375</v>
      </c>
      <c r="AJ76" s="50">
        <f t="shared" si="106"/>
        <v>913321.04621940386</v>
      </c>
      <c r="AK76" s="50">
        <f t="shared" si="107"/>
        <v>1008966.0148271396</v>
      </c>
      <c r="AL76" s="46">
        <f t="shared" si="108"/>
        <v>1105421.9015614982</v>
      </c>
      <c r="AM76" s="50"/>
      <c r="AN76" s="50"/>
      <c r="AO76" s="50"/>
      <c r="AP76" s="50"/>
      <c r="AQ76" s="50"/>
    </row>
    <row r="77" spans="1:43" x14ac:dyDescent="0.25">
      <c r="A77" s="38" t="s">
        <v>52</v>
      </c>
      <c r="B77" s="37" t="s">
        <v>138</v>
      </c>
      <c r="C77" s="37" t="s">
        <v>137</v>
      </c>
      <c r="D77" s="39">
        <v>8.4784190786613145E-3</v>
      </c>
      <c r="E77" s="36"/>
      <c r="F77" s="49" t="s">
        <v>53</v>
      </c>
      <c r="G77" s="43">
        <v>23919.899999999998</v>
      </c>
      <c r="H77" s="44">
        <v>7.51E-2</v>
      </c>
      <c r="I77" s="39">
        <f t="shared" si="109"/>
        <v>1.1548387384267E-2</v>
      </c>
      <c r="J77" s="88"/>
      <c r="K77" s="45">
        <f t="shared" si="93"/>
        <v>25716.284489999995</v>
      </c>
      <c r="L77" s="50">
        <f t="shared" si="110"/>
        <v>26013.266105374532</v>
      </c>
      <c r="M77" s="50">
        <f t="shared" si="94"/>
        <v>26313.677379489422</v>
      </c>
      <c r="N77" s="50">
        <f t="shared" si="95"/>
        <v>26617.55791937239</v>
      </c>
      <c r="O77" s="50">
        <f t="shared" si="96"/>
        <v>26924.947789448466</v>
      </c>
      <c r="P77" s="50">
        <f t="shared" si="97"/>
        <v>27235.887516822182</v>
      </c>
      <c r="Q77" s="50">
        <f t="shared" si="98"/>
        <v>27550.418096620768</v>
      </c>
      <c r="R77" s="50">
        <f t="shared" si="99"/>
        <v>27868.580997399065</v>
      </c>
      <c r="S77" s="50">
        <f t="shared" si="100"/>
        <v>28190.418166606851</v>
      </c>
      <c r="T77" s="50">
        <f t="shared" si="101"/>
        <v>28515.972036119303</v>
      </c>
      <c r="U77" s="50">
        <f t="shared" si="102"/>
        <v>28845.285527831333</v>
      </c>
      <c r="V77" s="50">
        <f t="shared" si="103"/>
        <v>29178.402059316519</v>
      </c>
      <c r="W77" s="46">
        <f t="shared" si="104"/>
        <v>29515.365549551399</v>
      </c>
      <c r="X77" s="50"/>
      <c r="Y77" s="50"/>
      <c r="Z77" s="50"/>
      <c r="AA77" s="50"/>
      <c r="AB77" s="50"/>
      <c r="AD77" s="45">
        <f>VLOOKUP(F77,'Mass Equivalents - States, Opt1'!$A$8:$K$56,11,0)</f>
        <v>0</v>
      </c>
      <c r="AE77" s="46">
        <f t="shared" si="111"/>
        <v>0</v>
      </c>
      <c r="AF77" s="50"/>
      <c r="AG77" s="49" t="s">
        <v>53</v>
      </c>
      <c r="AH77" s="50">
        <f t="shared" si="112"/>
        <v>2474133.6766068563</v>
      </c>
      <c r="AI77" s="50">
        <f t="shared" si="105"/>
        <v>2799687.5461193086</v>
      </c>
      <c r="AJ77" s="50">
        <f t="shared" si="106"/>
        <v>3129001.0378313381</v>
      </c>
      <c r="AK77" s="50">
        <f t="shared" si="107"/>
        <v>3462117.5693165241</v>
      </c>
      <c r="AL77" s="46">
        <f t="shared" si="108"/>
        <v>3799081.0595514048</v>
      </c>
      <c r="AM77" s="50"/>
      <c r="AN77" s="50"/>
      <c r="AO77" s="50"/>
      <c r="AP77" s="50"/>
      <c r="AQ77" s="50"/>
    </row>
    <row r="78" spans="1:43" x14ac:dyDescent="0.25">
      <c r="A78" s="38" t="s">
        <v>54</v>
      </c>
      <c r="B78" s="37" t="s">
        <v>127</v>
      </c>
      <c r="C78" s="37" t="s">
        <v>108</v>
      </c>
      <c r="D78" s="39">
        <v>5.4307049398412133E-3</v>
      </c>
      <c r="E78" s="36"/>
      <c r="F78" s="49" t="s">
        <v>54</v>
      </c>
      <c r="G78" s="43">
        <v>144868.70699999999</v>
      </c>
      <c r="H78" s="44">
        <v>7.51E-2</v>
      </c>
      <c r="I78" s="39">
        <f t="shared" si="109"/>
        <v>5.4307049398412133E-3</v>
      </c>
      <c r="J78" s="88"/>
      <c r="K78" s="45">
        <f t="shared" si="93"/>
        <v>155748.3468957</v>
      </c>
      <c r="L78" s="50">
        <f t="shared" si="110"/>
        <v>156594.17021255859</v>
      </c>
      <c r="M78" s="50">
        <f t="shared" si="94"/>
        <v>157444.58694628227</v>
      </c>
      <c r="N78" s="50">
        <f t="shared" si="95"/>
        <v>158299.62204236269</v>
      </c>
      <c r="O78" s="50">
        <f t="shared" si="96"/>
        <v>159159.30058176315</v>
      </c>
      <c r="P78" s="50">
        <f t="shared" si="97"/>
        <v>160023.6477816542</v>
      </c>
      <c r="Q78" s="50">
        <f t="shared" si="98"/>
        <v>160892.68899615345</v>
      </c>
      <c r="R78" s="50">
        <f t="shared" si="99"/>
        <v>161766.44971706919</v>
      </c>
      <c r="S78" s="50">
        <f t="shared" si="100"/>
        <v>162644.95557464825</v>
      </c>
      <c r="T78" s="50">
        <f t="shared" si="101"/>
        <v>163528.23233832774</v>
      </c>
      <c r="U78" s="50">
        <f t="shared" si="102"/>
        <v>164416.305917491</v>
      </c>
      <c r="V78" s="50">
        <f t="shared" si="103"/>
        <v>165309.20236222757</v>
      </c>
      <c r="W78" s="46">
        <f t="shared" si="104"/>
        <v>166206.94786409734</v>
      </c>
      <c r="X78" s="50"/>
      <c r="Y78" s="50"/>
      <c r="Z78" s="50"/>
      <c r="AA78" s="50"/>
      <c r="AB78" s="50"/>
      <c r="AD78" s="45">
        <f>VLOOKUP(F78,'Mass Equivalents - States, Opt1'!$A$8:$K$56,11,0)</f>
        <v>0</v>
      </c>
      <c r="AE78" s="46">
        <f t="shared" si="111"/>
        <v>0</v>
      </c>
      <c r="AF78" s="50"/>
      <c r="AG78" s="49" t="s">
        <v>54</v>
      </c>
      <c r="AH78" s="50">
        <f t="shared" si="112"/>
        <v>6896608.6789482506</v>
      </c>
      <c r="AI78" s="50">
        <f t="shared" si="105"/>
        <v>7779885.4426277392</v>
      </c>
      <c r="AJ78" s="50">
        <f t="shared" si="106"/>
        <v>8667959.0217909999</v>
      </c>
      <c r="AK78" s="50">
        <f t="shared" si="107"/>
        <v>9560855.4665275738</v>
      </c>
      <c r="AL78" s="46">
        <f t="shared" si="108"/>
        <v>10458600.968397338</v>
      </c>
      <c r="AM78" s="50"/>
      <c r="AN78" s="50"/>
      <c r="AO78" s="50"/>
      <c r="AP78" s="50"/>
      <c r="AQ78" s="50"/>
    </row>
    <row r="79" spans="1:43" x14ac:dyDescent="0.25">
      <c r="A79" s="38" t="s">
        <v>55</v>
      </c>
      <c r="B79" s="37" t="s">
        <v>127</v>
      </c>
      <c r="C79" s="37" t="s">
        <v>108</v>
      </c>
      <c r="D79" s="39">
        <v>5.4307049398412133E-3</v>
      </c>
      <c r="E79" s="36"/>
      <c r="F79" s="49" t="s">
        <v>55</v>
      </c>
      <c r="G79" s="43">
        <v>105788.443</v>
      </c>
      <c r="H79" s="44">
        <v>7.51E-2</v>
      </c>
      <c r="I79" s="39">
        <f t="shared" si="109"/>
        <v>5.4307049398412133E-3</v>
      </c>
      <c r="J79" s="88"/>
      <c r="K79" s="45">
        <f t="shared" si="93"/>
        <v>113733.15506929999</v>
      </c>
      <c r="L79" s="50">
        <f t="shared" si="110"/>
        <v>114350.80627635856</v>
      </c>
      <c r="M79" s="50">
        <f t="shared" si="94"/>
        <v>114971.81176487841</v>
      </c>
      <c r="N79" s="50">
        <f t="shared" si="95"/>
        <v>115596.18975097242</v>
      </c>
      <c r="O79" s="50">
        <f t="shared" si="96"/>
        <v>116223.95854967985</v>
      </c>
      <c r="P79" s="50">
        <f t="shared" si="97"/>
        <v>116855.13657550351</v>
      </c>
      <c r="Q79" s="50">
        <f t="shared" si="98"/>
        <v>117489.74234294992</v>
      </c>
      <c r="R79" s="50">
        <f t="shared" si="99"/>
        <v>118127.79446707245</v>
      </c>
      <c r="S79" s="50">
        <f t="shared" si="100"/>
        <v>118769.31166401732</v>
      </c>
      <c r="T79" s="50">
        <f t="shared" si="101"/>
        <v>119414.31275157264</v>
      </c>
      <c r="U79" s="50">
        <f t="shared" si="102"/>
        <v>120062.81664972035</v>
      </c>
      <c r="V79" s="50">
        <f t="shared" si="103"/>
        <v>120714.84238119124</v>
      </c>
      <c r="W79" s="46">
        <f t="shared" si="104"/>
        <v>121370.40907202293</v>
      </c>
      <c r="X79" s="50"/>
      <c r="Y79" s="50"/>
      <c r="Z79" s="50"/>
      <c r="AA79" s="50"/>
      <c r="AB79" s="50"/>
      <c r="AD79" s="45">
        <f>VLOOKUP(F79,'Mass Equivalents - States, Opt1'!$A$8:$K$56,11,0)</f>
        <v>0</v>
      </c>
      <c r="AE79" s="46">
        <f t="shared" si="111"/>
        <v>0</v>
      </c>
      <c r="AF79" s="50"/>
      <c r="AG79" s="49" t="s">
        <v>55</v>
      </c>
      <c r="AH79" s="50">
        <f t="shared" si="112"/>
        <v>5036156.5947173368</v>
      </c>
      <c r="AI79" s="50">
        <f t="shared" si="105"/>
        <v>5681157.6822726494</v>
      </c>
      <c r="AJ79" s="50">
        <f t="shared" si="106"/>
        <v>6329661.5804203609</v>
      </c>
      <c r="AK79" s="50">
        <f t="shared" si="107"/>
        <v>6981687.3118912484</v>
      </c>
      <c r="AL79" s="46">
        <f t="shared" si="108"/>
        <v>7637254.0027229404</v>
      </c>
      <c r="AM79" s="50"/>
      <c r="AN79" s="50"/>
      <c r="AO79" s="50"/>
      <c r="AP79" s="50"/>
      <c r="AQ79" s="50"/>
    </row>
    <row r="80" spans="1:43" x14ac:dyDescent="0.25">
      <c r="A80" s="38" t="s">
        <v>56</v>
      </c>
      <c r="B80" s="37" t="s">
        <v>128</v>
      </c>
      <c r="C80" s="37" t="s">
        <v>109</v>
      </c>
      <c r="D80" s="39">
        <v>5.9003972076903111E-3</v>
      </c>
      <c r="E80" s="36"/>
      <c r="F80" s="49" t="s">
        <v>56</v>
      </c>
      <c r="G80" s="43">
        <v>46190.370999999999</v>
      </c>
      <c r="H80" s="44">
        <v>7.51E-2</v>
      </c>
      <c r="I80" s="39">
        <f t="shared" si="109"/>
        <v>5.9003972076903111E-3</v>
      </c>
      <c r="J80" s="88"/>
      <c r="K80" s="45">
        <f t="shared" si="93"/>
        <v>49659.267862099994</v>
      </c>
      <c r="L80" s="50">
        <f t="shared" si="110"/>
        <v>49952.277267529476</v>
      </c>
      <c r="M80" s="50">
        <f t="shared" si="94"/>
        <v>50247.015544836577</v>
      </c>
      <c r="N80" s="50">
        <f t="shared" si="95"/>
        <v>50543.492895052099</v>
      </c>
      <c r="O80" s="50">
        <f t="shared" si="96"/>
        <v>50841.71957939698</v>
      </c>
      <c r="P80" s="50">
        <f t="shared" si="97"/>
        <v>51141.705919637425</v>
      </c>
      <c r="Q80" s="50">
        <f t="shared" si="98"/>
        <v>51443.462298442173</v>
      </c>
      <c r="R80" s="50">
        <f t="shared" si="99"/>
        <v>51746.999159741827</v>
      </c>
      <c r="S80" s="50">
        <f t="shared" si="100"/>
        <v>52052.327009090317</v>
      </c>
      <c r="T80" s="50">
        <f t="shared" si="101"/>
        <v>52359.456414028537</v>
      </c>
      <c r="U80" s="50">
        <f t="shared" si="102"/>
        <v>52668.398004450049</v>
      </c>
      <c r="V80" s="50">
        <f t="shared" si="103"/>
        <v>52979.16247296903</v>
      </c>
      <c r="W80" s="46">
        <f t="shared" si="104"/>
        <v>53291.760575290311</v>
      </c>
      <c r="X80" s="50"/>
      <c r="Y80" s="50"/>
      <c r="Z80" s="50"/>
      <c r="AA80" s="50"/>
      <c r="AB80" s="50"/>
      <c r="AD80" s="45">
        <f>VLOOKUP(F80,'Mass Equivalents - States, Opt1'!$A$8:$K$56,11,0)</f>
        <v>0</v>
      </c>
      <c r="AE80" s="46">
        <f t="shared" si="111"/>
        <v>0</v>
      </c>
      <c r="AF80" s="50"/>
      <c r="AG80" s="49" t="s">
        <v>56</v>
      </c>
      <c r="AH80" s="50">
        <f t="shared" si="112"/>
        <v>2393059.146990323</v>
      </c>
      <c r="AI80" s="50">
        <f t="shared" si="105"/>
        <v>2700188.5519285426</v>
      </c>
      <c r="AJ80" s="50">
        <f t="shared" si="106"/>
        <v>3009130.1423500553</v>
      </c>
      <c r="AK80" s="50">
        <f t="shared" si="107"/>
        <v>3319894.6108690361</v>
      </c>
      <c r="AL80" s="46">
        <f t="shared" si="108"/>
        <v>3632492.7131903167</v>
      </c>
      <c r="AM80" s="50"/>
      <c r="AN80" s="50"/>
      <c r="AO80" s="50"/>
      <c r="AP80" s="50"/>
      <c r="AQ80" s="50"/>
    </row>
    <row r="81" spans="1:43" x14ac:dyDescent="0.25">
      <c r="A81" s="38" t="s">
        <v>57</v>
      </c>
      <c r="B81" s="37" t="s">
        <v>129</v>
      </c>
      <c r="C81" s="37" t="s">
        <v>110</v>
      </c>
      <c r="D81" s="39">
        <v>4.6103941492179334E-3</v>
      </c>
      <c r="E81" s="36"/>
      <c r="F81" s="49" t="s">
        <v>57</v>
      </c>
      <c r="G81" s="43">
        <v>40302.383000000002</v>
      </c>
      <c r="H81" s="44">
        <v>7.51E-2</v>
      </c>
      <c r="I81" s="39">
        <f t="shared" si="109"/>
        <v>4.6103941492179334E-3</v>
      </c>
      <c r="J81" s="88"/>
      <c r="K81" s="45">
        <f t="shared" si="93"/>
        <v>43329.091963300001</v>
      </c>
      <c r="L81" s="50">
        <f t="shared" si="110"/>
        <v>43528.856155378526</v>
      </c>
      <c r="M81" s="50">
        <f t="shared" si="94"/>
        <v>43729.541339119431</v>
      </c>
      <c r="N81" s="50">
        <f t="shared" si="95"/>
        <v>43931.151760657289</v>
      </c>
      <c r="O81" s="50">
        <f t="shared" si="96"/>
        <v>44133.69168570303</v>
      </c>
      <c r="P81" s="50">
        <f t="shared" si="97"/>
        <v>44337.165399634185</v>
      </c>
      <c r="Q81" s="50">
        <f t="shared" si="98"/>
        <v>44541.577207585564</v>
      </c>
      <c r="R81" s="50">
        <f t="shared" si="99"/>
        <v>44746.931434540355</v>
      </c>
      <c r="S81" s="50">
        <f t="shared" si="100"/>
        <v>44953.232425421615</v>
      </c>
      <c r="T81" s="50">
        <f t="shared" si="101"/>
        <v>45160.484545184212</v>
      </c>
      <c r="U81" s="50">
        <f t="shared" si="102"/>
        <v>45368.692178907178</v>
      </c>
      <c r="V81" s="50">
        <f t="shared" si="103"/>
        <v>45577.859731886485</v>
      </c>
      <c r="W81" s="46">
        <f t="shared" si="104"/>
        <v>45787.991629728247</v>
      </c>
      <c r="X81" s="50"/>
      <c r="Y81" s="50"/>
      <c r="Z81" s="50"/>
      <c r="AA81" s="50"/>
      <c r="AB81" s="50"/>
      <c r="AD81" s="45">
        <f>VLOOKUP(F81,'Mass Equivalents - States, Opt1'!$A$8:$K$56,11,0)</f>
        <v>0</v>
      </c>
      <c r="AE81" s="46">
        <f t="shared" si="111"/>
        <v>0</v>
      </c>
      <c r="AF81" s="50"/>
      <c r="AG81" s="49" t="s">
        <v>57</v>
      </c>
      <c r="AH81" s="50">
        <f t="shared" si="112"/>
        <v>1624140.4621216133</v>
      </c>
      <c r="AI81" s="50">
        <f t="shared" si="105"/>
        <v>1831392.5818842109</v>
      </c>
      <c r="AJ81" s="50">
        <f t="shared" si="106"/>
        <v>2039600.2156071772</v>
      </c>
      <c r="AK81" s="50">
        <f t="shared" si="107"/>
        <v>2248767.7685864838</v>
      </c>
      <c r="AL81" s="46">
        <f t="shared" si="108"/>
        <v>2458899.6664282456</v>
      </c>
      <c r="AM81" s="50"/>
      <c r="AN81" s="50"/>
      <c r="AO81" s="50"/>
      <c r="AP81" s="50"/>
      <c r="AQ81" s="50"/>
    </row>
    <row r="82" spans="1:43" x14ac:dyDescent="0.25">
      <c r="A82" s="38" t="s">
        <v>58</v>
      </c>
      <c r="B82" s="37" t="s">
        <v>130</v>
      </c>
      <c r="C82" s="37" t="s">
        <v>111</v>
      </c>
      <c r="D82" s="39">
        <v>1.1735662775064881E-2</v>
      </c>
      <c r="E82" s="36"/>
      <c r="F82" s="49" t="s">
        <v>58</v>
      </c>
      <c r="G82" s="43">
        <v>89248.979000000007</v>
      </c>
      <c r="H82" s="44">
        <v>7.51E-2</v>
      </c>
      <c r="I82" s="39">
        <f t="shared" si="109"/>
        <v>1.1735662775064881E-2</v>
      </c>
      <c r="J82" s="88"/>
      <c r="K82" s="45">
        <f t="shared" si="93"/>
        <v>95951.577322900004</v>
      </c>
      <c r="L82" s="50">
        <f t="shared" si="110"/>
        <v>97077.632677097121</v>
      </c>
      <c r="M82" s="50">
        <f t="shared" si="94"/>
        <v>98216.903037197146</v>
      </c>
      <c r="N82" s="50">
        <f t="shared" si="95"/>
        <v>99369.543490052936</v>
      </c>
      <c r="O82" s="50">
        <f t="shared" si="96"/>
        <v>100535.71094256434</v>
      </c>
      <c r="P82" s="50">
        <f t="shared" si="97"/>
        <v>101715.56414303769</v>
      </c>
      <c r="Q82" s="50">
        <f t="shared" si="98"/>
        <v>102909.26370279586</v>
      </c>
      <c r="R82" s="50">
        <f t="shared" si="99"/>
        <v>104116.97211804209</v>
      </c>
      <c r="S82" s="50">
        <f t="shared" si="100"/>
        <v>105338.85379198026</v>
      </c>
      <c r="T82" s="50">
        <f t="shared" si="101"/>
        <v>106575.0750571948</v>
      </c>
      <c r="U82" s="50">
        <f t="shared" si="102"/>
        <v>107825.80419829326</v>
      </c>
      <c r="V82" s="50">
        <f t="shared" si="103"/>
        <v>109091.21147481461</v>
      </c>
      <c r="W82" s="46">
        <f t="shared" si="104"/>
        <v>110371.46914440632</v>
      </c>
      <c r="X82" s="50"/>
      <c r="Y82" s="50"/>
      <c r="Z82" s="50"/>
      <c r="AA82" s="50"/>
      <c r="AB82" s="50"/>
      <c r="AD82" s="45">
        <f>VLOOKUP(F82,'Mass Equivalents - States, Opt1'!$A$8:$K$56,11,0)</f>
        <v>640</v>
      </c>
      <c r="AE82" s="46">
        <f t="shared" si="111"/>
        <v>3083.5200000000004</v>
      </c>
      <c r="AF82" s="50"/>
      <c r="AG82" s="49" t="s">
        <v>58</v>
      </c>
      <c r="AH82" s="50">
        <f t="shared" si="112"/>
        <v>6303756.4690802572</v>
      </c>
      <c r="AI82" s="50">
        <f t="shared" si="105"/>
        <v>7539977.7342947964</v>
      </c>
      <c r="AJ82" s="50">
        <f t="shared" si="106"/>
        <v>8790706.8753932584</v>
      </c>
      <c r="AK82" s="50">
        <f t="shared" si="107"/>
        <v>10056114.151914608</v>
      </c>
      <c r="AL82" s="46">
        <f t="shared" si="108"/>
        <v>11336371.821506316</v>
      </c>
      <c r="AM82" s="50"/>
      <c r="AN82" s="50"/>
      <c r="AO82" s="50"/>
      <c r="AP82" s="50"/>
      <c r="AQ82" s="50"/>
    </row>
    <row r="83" spans="1:43" x14ac:dyDescent="0.25">
      <c r="A83" s="38" t="s">
        <v>59</v>
      </c>
      <c r="B83" s="37" t="s">
        <v>121</v>
      </c>
      <c r="C83" s="37" t="s">
        <v>101</v>
      </c>
      <c r="D83" s="39">
        <v>1.0065527652824757E-2</v>
      </c>
      <c r="E83" s="36"/>
      <c r="F83" s="49" t="s">
        <v>59</v>
      </c>
      <c r="G83" s="43">
        <v>84730.743000000002</v>
      </c>
      <c r="H83" s="44">
        <v>7.51E-2</v>
      </c>
      <c r="I83" s="39">
        <f t="shared" si="109"/>
        <v>1.0065527652824757E-2</v>
      </c>
      <c r="J83" s="88"/>
      <c r="K83" s="45">
        <f t="shared" si="93"/>
        <v>91094.021799299997</v>
      </c>
      <c r="L83" s="50">
        <f t="shared" si="110"/>
        <v>92010.931194727877</v>
      </c>
      <c r="M83" s="50">
        <f t="shared" si="94"/>
        <v>92937.069767030567</v>
      </c>
      <c r="N83" s="50">
        <f t="shared" si="95"/>
        <v>93872.530412743115</v>
      </c>
      <c r="O83" s="50">
        <f t="shared" si="96"/>
        <v>94817.406963453221</v>
      </c>
      <c r="P83" s="50">
        <f t="shared" si="97"/>
        <v>95771.794195212991</v>
      </c>
      <c r="Q83" s="50">
        <f t="shared" si="98"/>
        <v>96735.787838045551</v>
      </c>
      <c r="R83" s="50">
        <f t="shared" si="99"/>
        <v>97709.484585547194</v>
      </c>
      <c r="S83" s="50">
        <f t="shared" si="100"/>
        <v>98692.982104586277</v>
      </c>
      <c r="T83" s="50">
        <f t="shared" si="101"/>
        <v>99686.379045099733</v>
      </c>
      <c r="U83" s="50">
        <f t="shared" si="102"/>
        <v>100689.77504998815</v>
      </c>
      <c r="V83" s="50">
        <f t="shared" si="103"/>
        <v>101703.27076511052</v>
      </c>
      <c r="W83" s="46">
        <f t="shared" si="104"/>
        <v>102726.96784937946</v>
      </c>
      <c r="X83" s="50"/>
      <c r="Y83" s="50"/>
      <c r="Z83" s="50"/>
      <c r="AA83" s="50"/>
      <c r="AB83" s="50"/>
      <c r="AD83" s="45">
        <f>VLOOKUP(F83,'Mass Equivalents - States, Opt1'!$A$8:$K$56,11,0)</f>
        <v>0</v>
      </c>
      <c r="AE83" s="46">
        <f t="shared" si="111"/>
        <v>0</v>
      </c>
      <c r="AF83" s="50"/>
      <c r="AG83" s="49" t="s">
        <v>59</v>
      </c>
      <c r="AH83" s="50">
        <f t="shared" si="112"/>
        <v>7598960.3052862808</v>
      </c>
      <c r="AI83" s="50">
        <f t="shared" si="105"/>
        <v>8592357.2457997352</v>
      </c>
      <c r="AJ83" s="50">
        <f t="shared" si="106"/>
        <v>9595753.2506881543</v>
      </c>
      <c r="AK83" s="50">
        <f t="shared" si="107"/>
        <v>10609248.965810519</v>
      </c>
      <c r="AL83" s="46">
        <f t="shared" si="108"/>
        <v>11632946.050079467</v>
      </c>
      <c r="AM83" s="50"/>
      <c r="AN83" s="50"/>
      <c r="AO83" s="50"/>
      <c r="AP83" s="50"/>
      <c r="AQ83" s="50"/>
    </row>
    <row r="84" spans="1:43" x14ac:dyDescent="0.25">
      <c r="A84" s="38" t="s">
        <v>60</v>
      </c>
      <c r="B84" s="37" t="s">
        <v>124</v>
      </c>
      <c r="C84" s="37" t="s">
        <v>104</v>
      </c>
      <c r="D84" s="39">
        <v>4.0930755788939344E-3</v>
      </c>
      <c r="E84" s="36"/>
      <c r="F84" s="49" t="s">
        <v>60</v>
      </c>
      <c r="G84" s="43">
        <v>11787.5</v>
      </c>
      <c r="H84" s="44">
        <v>7.51E-2</v>
      </c>
      <c r="I84" s="39">
        <f t="shared" si="109"/>
        <v>4.0930755788939344E-3</v>
      </c>
      <c r="J84" s="88"/>
      <c r="K84" s="45">
        <f t="shared" si="93"/>
        <v>12672.741249999999</v>
      </c>
      <c r="L84" s="50">
        <f t="shared" si="110"/>
        <v>12724.611737728015</v>
      </c>
      <c r="M84" s="50">
        <f t="shared" si="94"/>
        <v>12776.694535282617</v>
      </c>
      <c r="N84" s="50">
        <f t="shared" si="95"/>
        <v>12828.990511663969</v>
      </c>
      <c r="O84" s="50">
        <f t="shared" si="96"/>
        <v>12881.500539429124</v>
      </c>
      <c r="P84" s="50">
        <f t="shared" si="97"/>
        <v>12934.22549470657</v>
      </c>
      <c r="Q84" s="50">
        <f t="shared" si="98"/>
        <v>12987.166257210862</v>
      </c>
      <c r="R84" s="50">
        <f t="shared" si="99"/>
        <v>13040.323710257288</v>
      </c>
      <c r="S84" s="50">
        <f t="shared" si="100"/>
        <v>13093.698740776614</v>
      </c>
      <c r="T84" s="50">
        <f t="shared" si="101"/>
        <v>13147.292239329881</v>
      </c>
      <c r="U84" s="50">
        <f t="shared" si="102"/>
        <v>13201.105100123264</v>
      </c>
      <c r="V84" s="50">
        <f t="shared" si="103"/>
        <v>13255.138221022991</v>
      </c>
      <c r="W84" s="46">
        <f t="shared" si="104"/>
        <v>13309.392503570323</v>
      </c>
      <c r="X84" s="50"/>
      <c r="Y84" s="50"/>
      <c r="Z84" s="50"/>
      <c r="AA84" s="50"/>
      <c r="AB84" s="50"/>
      <c r="AD84" s="45">
        <f>VLOOKUP(F84,'Mass Equivalents - States, Opt1'!$A$8:$K$56,11,0)</f>
        <v>0</v>
      </c>
      <c r="AE84" s="46">
        <f t="shared" si="111"/>
        <v>0</v>
      </c>
      <c r="AF84" s="50"/>
      <c r="AG84" s="49" t="s">
        <v>60</v>
      </c>
      <c r="AH84" s="50">
        <f t="shared" si="112"/>
        <v>420957.49077661458</v>
      </c>
      <c r="AI84" s="50">
        <f t="shared" si="105"/>
        <v>474550.9893298822</v>
      </c>
      <c r="AJ84" s="50">
        <f t="shared" si="106"/>
        <v>528363.85012326541</v>
      </c>
      <c r="AK84" s="50">
        <f t="shared" si="107"/>
        <v>582396.97102299216</v>
      </c>
      <c r="AL84" s="46">
        <f t="shared" si="108"/>
        <v>636651.25357032416</v>
      </c>
      <c r="AM84" s="50"/>
      <c r="AN84" s="50"/>
      <c r="AO84" s="50"/>
      <c r="AP84" s="50"/>
      <c r="AQ84" s="50"/>
    </row>
    <row r="85" spans="1:43" x14ac:dyDescent="0.25">
      <c r="A85" s="38" t="s">
        <v>61</v>
      </c>
      <c r="B85" s="37" t="s">
        <v>125</v>
      </c>
      <c r="C85" s="37" t="s">
        <v>105</v>
      </c>
      <c r="D85" s="39">
        <v>5.7453291968199149E-3</v>
      </c>
      <c r="E85" s="36"/>
      <c r="F85" s="49" t="s">
        <v>61</v>
      </c>
      <c r="G85" s="43">
        <v>62384.328999999998</v>
      </c>
      <c r="H85" s="44">
        <v>7.51E-2</v>
      </c>
      <c r="I85" s="39">
        <f t="shared" si="109"/>
        <v>5.7453291968199149E-3</v>
      </c>
      <c r="J85" s="88"/>
      <c r="K85" s="45">
        <f t="shared" si="93"/>
        <v>67069.392107899999</v>
      </c>
      <c r="L85" s="50">
        <f t="shared" si="110"/>
        <v>67454.727844590481</v>
      </c>
      <c r="M85" s="50">
        <f t="shared" si="94"/>
        <v>67842.27746193955</v>
      </c>
      <c r="N85" s="50">
        <f t="shared" si="95"/>
        <v>68232.053679420394</v>
      </c>
      <c r="O85" s="50">
        <f t="shared" si="96"/>
        <v>68624.069289583756</v>
      </c>
      <c r="P85" s="50">
        <f t="shared" si="97"/>
        <v>69018.337158477792</v>
      </c>
      <c r="Q85" s="50">
        <f t="shared" si="98"/>
        <v>69414.870226070358</v>
      </c>
      <c r="R85" s="50">
        <f t="shared" si="99"/>
        <v>69813.68150667366</v>
      </c>
      <c r="S85" s="50">
        <f t="shared" si="100"/>
        <v>70214.784089371446</v>
      </c>
      <c r="T85" s="50">
        <f t="shared" si="101"/>
        <v>70618.191138448514</v>
      </c>
      <c r="U85" s="50">
        <f t="shared" si="102"/>
        <v>71023.91589382285</v>
      </c>
      <c r="V85" s="50">
        <f t="shared" si="103"/>
        <v>71431.971671480118</v>
      </c>
      <c r="W85" s="46">
        <f t="shared" si="104"/>
        <v>71842.371863910681</v>
      </c>
      <c r="X85" s="50"/>
      <c r="Y85" s="50"/>
      <c r="Z85" s="50"/>
      <c r="AA85" s="50"/>
      <c r="AB85" s="50"/>
      <c r="AD85" s="45">
        <f>VLOOKUP(F85,'Mass Equivalents - States, Opt1'!$A$8:$K$56,11,0)</f>
        <v>0</v>
      </c>
      <c r="AE85" s="46">
        <f t="shared" si="111"/>
        <v>0</v>
      </c>
      <c r="AF85" s="50"/>
      <c r="AG85" s="49" t="s">
        <v>61</v>
      </c>
      <c r="AH85" s="50">
        <f t="shared" si="112"/>
        <v>3145391.9814714463</v>
      </c>
      <c r="AI85" s="50">
        <f t="shared" si="105"/>
        <v>3548799.0305485148</v>
      </c>
      <c r="AJ85" s="50">
        <f t="shared" si="106"/>
        <v>3954523.7859228509</v>
      </c>
      <c r="AK85" s="50">
        <f t="shared" si="107"/>
        <v>4362579.5635801191</v>
      </c>
      <c r="AL85" s="46">
        <f t="shared" si="108"/>
        <v>4772979.7560106814</v>
      </c>
      <c r="AM85" s="50"/>
      <c r="AN85" s="50"/>
      <c r="AO85" s="50"/>
      <c r="AP85" s="50"/>
      <c r="AQ85" s="50"/>
    </row>
    <row r="86" spans="1:43" x14ac:dyDescent="0.25">
      <c r="A86" s="38" t="s">
        <v>62</v>
      </c>
      <c r="B86" s="37" t="s">
        <v>124</v>
      </c>
      <c r="C86" s="37" t="s">
        <v>104</v>
      </c>
      <c r="D86" s="39">
        <v>4.0930755788939344E-3</v>
      </c>
      <c r="E86" s="36"/>
      <c r="F86" s="49" t="s">
        <v>62</v>
      </c>
      <c r="G86" s="43">
        <v>55833.643000000004</v>
      </c>
      <c r="H86" s="44">
        <v>7.51E-2</v>
      </c>
      <c r="I86" s="39">
        <f t="shared" si="109"/>
        <v>4.0930755788939344E-3</v>
      </c>
      <c r="J86" s="88"/>
      <c r="K86" s="45">
        <f t="shared" si="93"/>
        <v>60026.749589300001</v>
      </c>
      <c r="L86" s="50">
        <f t="shared" si="110"/>
        <v>60272.443612124349</v>
      </c>
      <c r="M86" s="50">
        <f t="shared" si="94"/>
        <v>60519.143279153395</v>
      </c>
      <c r="N86" s="50">
        <f t="shared" si="95"/>
        <v>60766.852706564881</v>
      </c>
      <c r="O86" s="50">
        <f t="shared" si="96"/>
        <v>61015.57602738437</v>
      </c>
      <c r="P86" s="50">
        <f t="shared" si="97"/>
        <v>61265.317391554207</v>
      </c>
      <c r="Q86" s="50">
        <f t="shared" si="98"/>
        <v>61516.080966002766</v>
      </c>
      <c r="R86" s="50">
        <f t="shared" si="99"/>
        <v>61767.870934713974</v>
      </c>
      <c r="S86" s="50">
        <f t="shared" si="100"/>
        <v>62020.691498797125</v>
      </c>
      <c r="T86" s="50">
        <f t="shared" si="101"/>
        <v>62274.546876556968</v>
      </c>
      <c r="U86" s="50">
        <f t="shared" si="102"/>
        <v>62529.44130356409</v>
      </c>
      <c r="V86" s="50">
        <f t="shared" si="103"/>
        <v>62785.379032725592</v>
      </c>
      <c r="W86" s="46">
        <f t="shared" si="104"/>
        <v>63042.36433435604</v>
      </c>
      <c r="X86" s="50"/>
      <c r="Y86" s="50"/>
      <c r="Z86" s="50"/>
      <c r="AA86" s="50"/>
      <c r="AB86" s="50"/>
      <c r="AD86" s="45">
        <f>VLOOKUP(F86,'Mass Equivalents - States, Opt1'!$A$8:$K$56,11,0)</f>
        <v>0</v>
      </c>
      <c r="AE86" s="46">
        <f t="shared" si="111"/>
        <v>0</v>
      </c>
      <c r="AF86" s="50"/>
      <c r="AG86" s="49" t="s">
        <v>62</v>
      </c>
      <c r="AH86" s="50">
        <f t="shared" si="112"/>
        <v>1993941.9094971237</v>
      </c>
      <c r="AI86" s="50">
        <f t="shared" si="105"/>
        <v>2247797.2872569663</v>
      </c>
      <c r="AJ86" s="50">
        <f t="shared" si="106"/>
        <v>2502691.7142640888</v>
      </c>
      <c r="AK86" s="50">
        <f t="shared" si="107"/>
        <v>2758629.4434255906</v>
      </c>
      <c r="AL86" s="46">
        <f t="shared" si="108"/>
        <v>3015614.7450560383</v>
      </c>
      <c r="AM86" s="50"/>
      <c r="AN86" s="50"/>
      <c r="AO86" s="50"/>
      <c r="AP86" s="50"/>
      <c r="AQ86" s="50"/>
    </row>
    <row r="87" spans="1:43" x14ac:dyDescent="0.25">
      <c r="A87" s="38" t="s">
        <v>63</v>
      </c>
      <c r="B87" s="37" t="s">
        <v>131</v>
      </c>
      <c r="C87" s="37" t="s">
        <v>112</v>
      </c>
      <c r="D87" s="39">
        <v>3.4692598440018152E-3</v>
      </c>
      <c r="E87" s="36"/>
      <c r="F87" s="49" t="s">
        <v>63</v>
      </c>
      <c r="G87" s="43">
        <v>105880.22300000001</v>
      </c>
      <c r="H87" s="44">
        <v>7.51E-2</v>
      </c>
      <c r="I87" s="39">
        <f t="shared" si="109"/>
        <v>3.4692598440018152E-3</v>
      </c>
      <c r="J87" s="88"/>
      <c r="K87" s="45">
        <f t="shared" si="93"/>
        <v>113831.82774730001</v>
      </c>
      <c r="L87" s="50">
        <f t="shared" si="110"/>
        <v>114226.73993627305</v>
      </c>
      <c r="M87" s="50">
        <f t="shared" si="94"/>
        <v>114623.0221782452</v>
      </c>
      <c r="N87" s="50">
        <f t="shared" si="95"/>
        <v>115020.67922628632</v>
      </c>
      <c r="O87" s="50">
        <f t="shared" si="96"/>
        <v>115419.71584995589</v>
      </c>
      <c r="P87" s="50">
        <f t="shared" si="97"/>
        <v>115820.13683536024</v>
      </c>
      <c r="Q87" s="50">
        <f t="shared" si="98"/>
        <v>116221.94698520996</v>
      </c>
      <c r="R87" s="50">
        <f t="shared" si="99"/>
        <v>116625.15111887746</v>
      </c>
      <c r="S87" s="50">
        <f t="shared" si="100"/>
        <v>117029.75407245483</v>
      </c>
      <c r="T87" s="50">
        <f t="shared" si="101"/>
        <v>117435.76069881181</v>
      </c>
      <c r="U87" s="50">
        <f t="shared" si="102"/>
        <v>117843.175867654</v>
      </c>
      <c r="V87" s="50">
        <f t="shared" si="103"/>
        <v>118252.0044655813</v>
      </c>
      <c r="W87" s="46">
        <f t="shared" si="104"/>
        <v>118662.25139614646</v>
      </c>
      <c r="X87" s="50"/>
      <c r="Y87" s="50"/>
      <c r="Z87" s="50"/>
      <c r="AA87" s="50"/>
      <c r="AB87" s="50"/>
      <c r="AD87" s="45">
        <f>VLOOKUP(F87,'Mass Equivalents - States, Opt1'!$A$8:$K$56,11,0)</f>
        <v>0</v>
      </c>
      <c r="AE87" s="46">
        <f t="shared" si="111"/>
        <v>0</v>
      </c>
      <c r="AF87" s="50"/>
      <c r="AG87" s="49" t="s">
        <v>63</v>
      </c>
      <c r="AH87" s="50">
        <f t="shared" si="112"/>
        <v>3197926.3251548256</v>
      </c>
      <c r="AI87" s="50">
        <f t="shared" si="105"/>
        <v>3603932.9515118008</v>
      </c>
      <c r="AJ87" s="50">
        <f t="shared" si="106"/>
        <v>4011348.1203539995</v>
      </c>
      <c r="AK87" s="50">
        <f t="shared" si="107"/>
        <v>4420176.7182812914</v>
      </c>
      <c r="AL87" s="46">
        <f t="shared" si="108"/>
        <v>4830423.6488464521</v>
      </c>
      <c r="AM87" s="50"/>
      <c r="AN87" s="50"/>
      <c r="AO87" s="50"/>
      <c r="AP87" s="50"/>
      <c r="AQ87" s="50"/>
    </row>
    <row r="88" spans="1:43" x14ac:dyDescent="0.25">
      <c r="A88" s="38" t="s">
        <v>64</v>
      </c>
      <c r="B88" s="37" t="s">
        <v>128</v>
      </c>
      <c r="C88" s="37" t="s">
        <v>109</v>
      </c>
      <c r="D88" s="39">
        <v>5.9003972076903111E-3</v>
      </c>
      <c r="E88" s="36"/>
      <c r="F88" s="49" t="s">
        <v>64</v>
      </c>
      <c r="G88" s="43">
        <v>68747.822</v>
      </c>
      <c r="H88" s="44">
        <v>7.51E-2</v>
      </c>
      <c r="I88" s="39">
        <f t="shared" si="109"/>
        <v>5.9003972076903111E-3</v>
      </c>
      <c r="J88" s="88"/>
      <c r="K88" s="45">
        <f t="shared" si="93"/>
        <v>73910.783432199998</v>
      </c>
      <c r="L88" s="50">
        <f t="shared" si="110"/>
        <v>74346.886412381558</v>
      </c>
      <c r="M88" s="50">
        <f t="shared" si="94"/>
        <v>74785.562573369636</v>
      </c>
      <c r="N88" s="50">
        <f t="shared" si="95"/>
        <v>75226.827097953093</v>
      </c>
      <c r="O88" s="50">
        <f t="shared" si="96"/>
        <v>75670.695258505264</v>
      </c>
      <c r="P88" s="50">
        <f t="shared" si="97"/>
        <v>76117.182417512537</v>
      </c>
      <c r="Q88" s="50">
        <f t="shared" si="98"/>
        <v>76566.304028106082</v>
      </c>
      <c r="R88" s="50">
        <f t="shared" si="99"/>
        <v>77018.07563459668</v>
      </c>
      <c r="S88" s="50">
        <f t="shared" si="100"/>
        <v>77472.512873012733</v>
      </c>
      <c r="T88" s="50">
        <f t="shared" si="101"/>
        <v>77929.631471641405</v>
      </c>
      <c r="U88" s="50">
        <f t="shared" si="102"/>
        <v>78389.447251573016</v>
      </c>
      <c r="V88" s="50">
        <f t="shared" si="103"/>
        <v>78851.976127248578</v>
      </c>
      <c r="W88" s="46">
        <f t="shared" si="104"/>
        <v>79317.234107010663</v>
      </c>
      <c r="X88" s="50"/>
      <c r="Y88" s="50"/>
      <c r="Z88" s="50"/>
      <c r="AA88" s="50"/>
      <c r="AB88" s="50"/>
      <c r="AD88" s="45">
        <f>VLOOKUP(F88,'Mass Equivalents - States, Opt1'!$A$8:$K$56,11,0)</f>
        <v>0</v>
      </c>
      <c r="AE88" s="46">
        <f t="shared" si="111"/>
        <v>0</v>
      </c>
      <c r="AF88" s="50"/>
      <c r="AG88" s="49" t="s">
        <v>64</v>
      </c>
      <c r="AH88" s="50">
        <f t="shared" si="112"/>
        <v>3561729.4408127344</v>
      </c>
      <c r="AI88" s="50">
        <f t="shared" si="105"/>
        <v>4018848.0394414072</v>
      </c>
      <c r="AJ88" s="50">
        <f t="shared" si="106"/>
        <v>4478663.8193730181</v>
      </c>
      <c r="AK88" s="50">
        <f t="shared" si="107"/>
        <v>4941192.6950485799</v>
      </c>
      <c r="AL88" s="46">
        <f t="shared" si="108"/>
        <v>5406450.6748106647</v>
      </c>
      <c r="AM88" s="50"/>
      <c r="AN88" s="50"/>
      <c r="AO88" s="50"/>
      <c r="AP88" s="50"/>
      <c r="AQ88" s="50"/>
    </row>
    <row r="89" spans="1:43" x14ac:dyDescent="0.25">
      <c r="A89" s="38" t="s">
        <v>65</v>
      </c>
      <c r="B89" s="37" t="s">
        <v>121</v>
      </c>
      <c r="C89" s="37" t="s">
        <v>101</v>
      </c>
      <c r="D89" s="39">
        <v>1.0065527652824757E-2</v>
      </c>
      <c r="E89" s="36"/>
      <c r="F89" s="49" t="s">
        <v>65</v>
      </c>
      <c r="G89" s="43">
        <v>48424.485000000001</v>
      </c>
      <c r="H89" s="44">
        <v>7.51E-2</v>
      </c>
      <c r="I89" s="39">
        <f t="shared" si="109"/>
        <v>1.0065527652824757E-2</v>
      </c>
      <c r="J89" s="88"/>
      <c r="K89" s="45">
        <f t="shared" si="93"/>
        <v>52061.163823499999</v>
      </c>
      <c r="L89" s="50">
        <f t="shared" si="110"/>
        <v>52585.186907603675</v>
      </c>
      <c r="M89" s="50">
        <f t="shared" si="94"/>
        <v>53114.484560551115</v>
      </c>
      <c r="N89" s="50">
        <f t="shared" si="95"/>
        <v>53649.109873660876</v>
      </c>
      <c r="O89" s="50">
        <f t="shared" si="96"/>
        <v>54189.116472643647</v>
      </c>
      <c r="P89" s="50">
        <f t="shared" si="97"/>
        <v>54734.558522981184</v>
      </c>
      <c r="Q89" s="50">
        <f t="shared" si="98"/>
        <v>55285.490735359403</v>
      </c>
      <c r="R89" s="50">
        <f t="shared" si="99"/>
        <v>55841.968371156152</v>
      </c>
      <c r="S89" s="50">
        <f t="shared" si="100"/>
        <v>56404.047247984192</v>
      </c>
      <c r="T89" s="50">
        <f t="shared" si="101"/>
        <v>56971.783745290013</v>
      </c>
      <c r="U89" s="50">
        <f t="shared" si="102"/>
        <v>57545.23481000898</v>
      </c>
      <c r="V89" s="50">
        <f t="shared" si="103"/>
        <v>58124.457962277418</v>
      </c>
      <c r="W89" s="46">
        <f t="shared" si="104"/>
        <v>58709.511301202168</v>
      </c>
      <c r="X89" s="50"/>
      <c r="Y89" s="50"/>
      <c r="Z89" s="50"/>
      <c r="AA89" s="50"/>
      <c r="AB89" s="50"/>
      <c r="AD89" s="45">
        <f>VLOOKUP(F89,'Mass Equivalents - States, Opt1'!$A$8:$K$56,11,0)</f>
        <v>150</v>
      </c>
      <c r="AE89" s="46">
        <f t="shared" si="111"/>
        <v>722.70000000000016</v>
      </c>
      <c r="AF89" s="50"/>
      <c r="AG89" s="49" t="s">
        <v>65</v>
      </c>
      <c r="AH89" s="50">
        <f t="shared" si="112"/>
        <v>3620183.4244841924</v>
      </c>
      <c r="AI89" s="50">
        <f t="shared" si="105"/>
        <v>4187919.921790014</v>
      </c>
      <c r="AJ89" s="50">
        <f t="shared" si="106"/>
        <v>4761370.9865089813</v>
      </c>
      <c r="AK89" s="50">
        <f t="shared" si="107"/>
        <v>5340594.138777419</v>
      </c>
      <c r="AL89" s="46">
        <f t="shared" si="108"/>
        <v>5925647.4777021697</v>
      </c>
      <c r="AM89" s="50"/>
      <c r="AN89" s="50"/>
      <c r="AO89" s="50"/>
      <c r="AP89" s="50"/>
      <c r="AQ89" s="50"/>
    </row>
    <row r="90" spans="1:43" x14ac:dyDescent="0.25">
      <c r="A90" s="38" t="s">
        <v>66</v>
      </c>
      <c r="B90" s="37" t="s">
        <v>132</v>
      </c>
      <c r="C90" s="37" t="s">
        <v>113</v>
      </c>
      <c r="D90" s="39">
        <v>3.8737620565731934E-3</v>
      </c>
      <c r="E90" s="36"/>
      <c r="F90" s="49" t="s">
        <v>66</v>
      </c>
      <c r="G90" s="43">
        <v>82536.004000000001</v>
      </c>
      <c r="H90" s="44">
        <v>7.51E-2</v>
      </c>
      <c r="I90" s="39">
        <f t="shared" si="109"/>
        <v>3.8737620565731934E-3</v>
      </c>
      <c r="J90" s="88"/>
      <c r="K90" s="45">
        <f t="shared" si="93"/>
        <v>88734.457900399997</v>
      </c>
      <c r="L90" s="50">
        <f t="shared" si="110"/>
        <v>89078.194076525164</v>
      </c>
      <c r="M90" s="50">
        <f t="shared" si="94"/>
        <v>89423.261804806869</v>
      </c>
      <c r="N90" s="50">
        <f t="shared" si="95"/>
        <v>89769.666243361338</v>
      </c>
      <c r="O90" s="50">
        <f t="shared" si="96"/>
        <v>90117.412570286106</v>
      </c>
      <c r="P90" s="50">
        <f t="shared" si="97"/>
        <v>90466.505983737428</v>
      </c>
      <c r="Q90" s="50">
        <f t="shared" si="98"/>
        <v>90816.95170200798</v>
      </c>
      <c r="R90" s="50">
        <f t="shared" si="99"/>
        <v>91168.754963604864</v>
      </c>
      <c r="S90" s="50">
        <f t="shared" si="100"/>
        <v>91521.921027327902</v>
      </c>
      <c r="T90" s="50">
        <f t="shared" si="101"/>
        <v>91876.455172348258</v>
      </c>
      <c r="U90" s="50">
        <f t="shared" si="102"/>
        <v>92232.362698287354</v>
      </c>
      <c r="V90" s="50">
        <f t="shared" si="103"/>
        <v>92589.648925296075</v>
      </c>
      <c r="W90" s="46">
        <f t="shared" si="104"/>
        <v>92948.319194134325</v>
      </c>
      <c r="X90" s="50"/>
      <c r="Y90" s="50"/>
      <c r="Z90" s="50"/>
      <c r="AA90" s="50"/>
      <c r="AB90" s="50"/>
      <c r="AD90" s="45">
        <f>VLOOKUP(F90,'Mass Equivalents - States, Opt1'!$A$8:$K$56,11,0)</f>
        <v>0</v>
      </c>
      <c r="AE90" s="46">
        <f t="shared" si="111"/>
        <v>0</v>
      </c>
      <c r="AF90" s="50"/>
      <c r="AG90" s="49" t="s">
        <v>66</v>
      </c>
      <c r="AH90" s="50">
        <f t="shared" si="112"/>
        <v>2787463.1269279053</v>
      </c>
      <c r="AI90" s="50">
        <f t="shared" si="105"/>
        <v>3141997.2719482612</v>
      </c>
      <c r="AJ90" s="50">
        <f t="shared" si="106"/>
        <v>3497904.797887357</v>
      </c>
      <c r="AK90" s="50">
        <f t="shared" si="107"/>
        <v>3855191.0248960778</v>
      </c>
      <c r="AL90" s="46">
        <f t="shared" si="108"/>
        <v>4213861.2937343279</v>
      </c>
      <c r="AM90" s="50"/>
      <c r="AN90" s="50"/>
      <c r="AO90" s="50"/>
      <c r="AP90" s="50"/>
      <c r="AQ90" s="50"/>
    </row>
    <row r="91" spans="1:43" x14ac:dyDescent="0.25">
      <c r="A91" s="38" t="s">
        <v>67</v>
      </c>
      <c r="B91" s="37" t="s">
        <v>126</v>
      </c>
      <c r="C91" s="37" t="s">
        <v>107</v>
      </c>
      <c r="D91" s="39">
        <v>1.1548387384267E-2</v>
      </c>
      <c r="E91" s="36"/>
      <c r="F91" s="49" t="s">
        <v>67</v>
      </c>
      <c r="G91" s="43">
        <v>13954.857</v>
      </c>
      <c r="H91" s="44">
        <v>7.51E-2</v>
      </c>
      <c r="I91" s="39">
        <f t="shared" si="109"/>
        <v>1.1548387384267E-2</v>
      </c>
      <c r="J91" s="88"/>
      <c r="K91" s="45">
        <f t="shared" si="93"/>
        <v>15002.866760699999</v>
      </c>
      <c r="L91" s="50">
        <f t="shared" si="110"/>
        <v>15176.125677927106</v>
      </c>
      <c r="M91" s="50">
        <f t="shared" si="94"/>
        <v>15351.38545624813</v>
      </c>
      <c r="N91" s="50">
        <f t="shared" si="95"/>
        <v>15528.669202382085</v>
      </c>
      <c r="O91" s="50">
        <f t="shared" si="96"/>
        <v>15708.000289893331</v>
      </c>
      <c r="P91" s="50">
        <f t="shared" si="97"/>
        <v>15889.402362273197</v>
      </c>
      <c r="Q91" s="50">
        <f t="shared" si="98"/>
        <v>16072.899336057215</v>
      </c>
      <c r="R91" s="50">
        <f t="shared" si="99"/>
        <v>16258.515403978332</v>
      </c>
      <c r="S91" s="50">
        <f t="shared" si="100"/>
        <v>16446.275038156546</v>
      </c>
      <c r="T91" s="50">
        <f t="shared" si="101"/>
        <v>16636.202993325376</v>
      </c>
      <c r="U91" s="50">
        <f t="shared" si="102"/>
        <v>16828.324310095599</v>
      </c>
      <c r="V91" s="50">
        <f t="shared" si="103"/>
        <v>17022.664318256662</v>
      </c>
      <c r="W91" s="46">
        <f t="shared" si="104"/>
        <v>17219.248640116228</v>
      </c>
      <c r="X91" s="50"/>
      <c r="Y91" s="50"/>
      <c r="Z91" s="50"/>
      <c r="AA91" s="50"/>
      <c r="AB91" s="50"/>
      <c r="AD91" s="45">
        <f>VLOOKUP(F91,'Mass Equivalents - States, Opt1'!$A$8:$K$56,11,0)</f>
        <v>0</v>
      </c>
      <c r="AE91" s="46">
        <f t="shared" si="111"/>
        <v>0</v>
      </c>
      <c r="AF91" s="50"/>
      <c r="AG91" s="49" t="s">
        <v>67</v>
      </c>
      <c r="AH91" s="50">
        <f t="shared" si="112"/>
        <v>1443408.2774565467</v>
      </c>
      <c r="AI91" s="50">
        <f t="shared" si="105"/>
        <v>1633336.2326253774</v>
      </c>
      <c r="AJ91" s="50">
        <f t="shared" si="106"/>
        <v>1825457.5493955999</v>
      </c>
      <c r="AK91" s="50">
        <f t="shared" si="107"/>
        <v>2019797.5575566634</v>
      </c>
      <c r="AL91" s="46">
        <f t="shared" si="108"/>
        <v>2216381.8794162287</v>
      </c>
      <c r="AM91" s="50"/>
      <c r="AN91" s="50"/>
      <c r="AO91" s="50"/>
      <c r="AP91" s="50"/>
      <c r="AQ91" s="50"/>
    </row>
    <row r="92" spans="1:43" x14ac:dyDescent="0.25">
      <c r="A92" s="38" t="s">
        <v>68</v>
      </c>
      <c r="B92" s="37" t="s">
        <v>128</v>
      </c>
      <c r="C92" s="37" t="s">
        <v>109</v>
      </c>
      <c r="D92" s="39">
        <v>5.9003972076903111E-3</v>
      </c>
      <c r="E92" s="36"/>
      <c r="F92" s="49" t="s">
        <v>68</v>
      </c>
      <c r="G92" s="43">
        <v>30920.703999999998</v>
      </c>
      <c r="H92" s="44">
        <v>7.51E-2</v>
      </c>
      <c r="I92" s="39">
        <f t="shared" si="109"/>
        <v>5.9003972076903111E-3</v>
      </c>
      <c r="J92" s="88"/>
      <c r="K92" s="45">
        <f t="shared" si="93"/>
        <v>33242.848870399997</v>
      </c>
      <c r="L92" s="50">
        <f t="shared" si="110"/>
        <v>33438.994883050575</v>
      </c>
      <c r="M92" s="50">
        <f t="shared" si="94"/>
        <v>33636.298235086499</v>
      </c>
      <c r="N92" s="50">
        <f t="shared" si="95"/>
        <v>33834.765755269844</v>
      </c>
      <c r="O92" s="50">
        <f t="shared" si="96"/>
        <v>34034.404312655097</v>
      </c>
      <c r="P92" s="50">
        <f t="shared" si="97"/>
        <v>34235.220816826892</v>
      </c>
      <c r="Q92" s="50">
        <f t="shared" si="98"/>
        <v>34437.222218139155</v>
      </c>
      <c r="R92" s="50">
        <f t="shared" si="99"/>
        <v>34640.415507955673</v>
      </c>
      <c r="S92" s="50">
        <f t="shared" si="100"/>
        <v>34844.807718892043</v>
      </c>
      <c r="T92" s="50">
        <f t="shared" si="101"/>
        <v>35050.405925059102</v>
      </c>
      <c r="U92" s="50">
        <f t="shared" si="102"/>
        <v>35257.217242307735</v>
      </c>
      <c r="V92" s="50">
        <f t="shared" si="103"/>
        <v>35465.248828475182</v>
      </c>
      <c r="W92" s="46">
        <f t="shared" si="104"/>
        <v>35674.507883632759</v>
      </c>
      <c r="X92" s="50"/>
      <c r="Y92" s="50"/>
      <c r="Z92" s="50"/>
      <c r="AA92" s="50"/>
      <c r="AB92" s="50"/>
      <c r="AD92" s="45">
        <f>VLOOKUP(F92,'Mass Equivalents - States, Opt1'!$A$8:$K$56,11,0)</f>
        <v>0</v>
      </c>
      <c r="AE92" s="46">
        <f t="shared" si="111"/>
        <v>0</v>
      </c>
      <c r="AF92" s="50"/>
      <c r="AG92" s="49" t="s">
        <v>68</v>
      </c>
      <c r="AH92" s="50">
        <f t="shared" si="112"/>
        <v>1601958.8484920459</v>
      </c>
      <c r="AI92" s="50">
        <f t="shared" si="105"/>
        <v>1807557.0546591044</v>
      </c>
      <c r="AJ92" s="50">
        <f t="shared" si="106"/>
        <v>2014368.371907738</v>
      </c>
      <c r="AK92" s="50">
        <f t="shared" si="107"/>
        <v>2222399.9580751844</v>
      </c>
      <c r="AL92" s="46">
        <f t="shared" si="108"/>
        <v>2431659.013232762</v>
      </c>
      <c r="AM92" s="50"/>
      <c r="AN92" s="50"/>
      <c r="AO92" s="50"/>
      <c r="AP92" s="50"/>
      <c r="AQ92" s="50"/>
    </row>
    <row r="93" spans="1:43" x14ac:dyDescent="0.25">
      <c r="A93" s="38" t="s">
        <v>69</v>
      </c>
      <c r="B93" s="37" t="s">
        <v>126</v>
      </c>
      <c r="C93" s="37" t="s">
        <v>107</v>
      </c>
      <c r="D93" s="39">
        <v>1.1548387384267E-2</v>
      </c>
      <c r="E93" s="36"/>
      <c r="F93" s="49" t="s">
        <v>69</v>
      </c>
      <c r="G93" s="43">
        <v>35368.674999999996</v>
      </c>
      <c r="H93" s="44">
        <v>7.51E-2</v>
      </c>
      <c r="I93" s="39">
        <f t="shared" si="109"/>
        <v>1.1548387384267E-2</v>
      </c>
      <c r="J93" s="88"/>
      <c r="K93" s="45">
        <f t="shared" si="93"/>
        <v>38024.862492499997</v>
      </c>
      <c r="L93" s="50">
        <f t="shared" si="110"/>
        <v>38463.988334796872</v>
      </c>
      <c r="M93" s="50">
        <f t="shared" si="94"/>
        <v>38908.185372431035</v>
      </c>
      <c r="N93" s="50">
        <f t="shared" si="95"/>
        <v>39357.512169530739</v>
      </c>
      <c r="O93" s="50">
        <f t="shared" si="96"/>
        <v>39812.02796654548</v>
      </c>
      <c r="P93" s="50">
        <f t="shared" si="97"/>
        <v>40271.792688056419</v>
      </c>
      <c r="Q93" s="50">
        <f t="shared" si="98"/>
        <v>40736.866950676987</v>
      </c>
      <c r="R93" s="50">
        <f t="shared" si="99"/>
        <v>41207.312071044747</v>
      </c>
      <c r="S93" s="50">
        <f t="shared" si="100"/>
        <v>41683.190073905556</v>
      </c>
      <c r="T93" s="50">
        <f t="shared" si="101"/>
        <v>42164.563700291052</v>
      </c>
      <c r="U93" s="50">
        <f t="shared" si="102"/>
        <v>42651.496415790614</v>
      </c>
      <c r="V93" s="50">
        <f t="shared" si="103"/>
        <v>43144.052418918836</v>
      </c>
      <c r="W93" s="46">
        <f t="shared" si="104"/>
        <v>43642.296649579635</v>
      </c>
      <c r="X93" s="50"/>
      <c r="Y93" s="50"/>
      <c r="Z93" s="50"/>
      <c r="AA93" s="50"/>
      <c r="AB93" s="50"/>
      <c r="AD93" s="45">
        <f>VLOOKUP(F93,'Mass Equivalents - States, Opt1'!$A$8:$K$56,11,0)</f>
        <v>0</v>
      </c>
      <c r="AE93" s="46">
        <f t="shared" si="111"/>
        <v>0</v>
      </c>
      <c r="AF93" s="50"/>
      <c r="AG93" s="49" t="s">
        <v>69</v>
      </c>
      <c r="AH93" s="50">
        <f t="shared" si="112"/>
        <v>3658327.5814055596</v>
      </c>
      <c r="AI93" s="50">
        <f t="shared" si="105"/>
        <v>4139701.2077910551</v>
      </c>
      <c r="AJ93" s="50">
        <f t="shared" si="106"/>
        <v>4626633.9232906178</v>
      </c>
      <c r="AK93" s="50">
        <f t="shared" si="107"/>
        <v>5119189.92641884</v>
      </c>
      <c r="AL93" s="46">
        <f t="shared" si="108"/>
        <v>5617434.1570796389</v>
      </c>
      <c r="AM93" s="50"/>
      <c r="AN93" s="50"/>
      <c r="AO93" s="50"/>
      <c r="AP93" s="50"/>
      <c r="AQ93" s="50"/>
    </row>
    <row r="94" spans="1:43" x14ac:dyDescent="0.25">
      <c r="A94" s="38" t="s">
        <v>70</v>
      </c>
      <c r="B94" s="37" t="s">
        <v>124</v>
      </c>
      <c r="C94" s="37" t="s">
        <v>104</v>
      </c>
      <c r="D94" s="39">
        <v>4.0930755788939344E-3</v>
      </c>
      <c r="E94" s="36"/>
      <c r="F94" s="49" t="s">
        <v>70</v>
      </c>
      <c r="G94" s="43">
        <v>10921.902</v>
      </c>
      <c r="H94" s="44">
        <v>7.51E-2</v>
      </c>
      <c r="I94" s="39">
        <f t="shared" si="109"/>
        <v>4.0930755788939344E-3</v>
      </c>
      <c r="J94" s="88"/>
      <c r="K94" s="45">
        <f t="shared" si="93"/>
        <v>11742.136840199999</v>
      </c>
      <c r="L94" s="50">
        <f t="shared" si="110"/>
        <v>11790.198293744652</v>
      </c>
      <c r="M94" s="50">
        <f t="shared" si="94"/>
        <v>11838.456466451094</v>
      </c>
      <c r="N94" s="50">
        <f t="shared" si="95"/>
        <v>11886.912163505724</v>
      </c>
      <c r="O94" s="50">
        <f t="shared" si="96"/>
        <v>11935.566193390627</v>
      </c>
      <c r="P94" s="50">
        <f t="shared" si="97"/>
        <v>11984.419367897066</v>
      </c>
      <c r="Q94" s="50">
        <f t="shared" si="98"/>
        <v>12033.47250213903</v>
      </c>
      <c r="R94" s="50">
        <f t="shared" si="99"/>
        <v>12082.726414566827</v>
      </c>
      <c r="S94" s="50">
        <f t="shared" si="100"/>
        <v>12132.181926980747</v>
      </c>
      <c r="T94" s="50">
        <f t="shared" si="101"/>
        <v>12181.839864544771</v>
      </c>
      <c r="U94" s="50">
        <f t="shared" si="102"/>
        <v>12231.701055800335</v>
      </c>
      <c r="V94" s="50">
        <f t="shared" si="103"/>
        <v>12281.766332680163</v>
      </c>
      <c r="W94" s="46">
        <f t="shared" si="104"/>
        <v>12332.036530522138</v>
      </c>
      <c r="X94" s="50"/>
      <c r="Y94" s="50"/>
      <c r="Z94" s="50"/>
      <c r="AA94" s="50"/>
      <c r="AB94" s="50"/>
      <c r="AD94" s="45">
        <f>VLOOKUP(F94,'Mass Equivalents - States, Opt1'!$A$8:$K$56,11,0)</f>
        <v>0</v>
      </c>
      <c r="AE94" s="46">
        <f t="shared" si="111"/>
        <v>0</v>
      </c>
      <c r="AF94" s="50"/>
      <c r="AG94" s="49" t="s">
        <v>70</v>
      </c>
      <c r="AH94" s="50">
        <f t="shared" si="112"/>
        <v>390045.08678074856</v>
      </c>
      <c r="AI94" s="50">
        <f t="shared" si="105"/>
        <v>439703.02434477163</v>
      </c>
      <c r="AJ94" s="50">
        <f t="shared" si="106"/>
        <v>489564.21560033597</v>
      </c>
      <c r="AK94" s="50">
        <f t="shared" si="107"/>
        <v>539629.49248016416</v>
      </c>
      <c r="AL94" s="46">
        <f t="shared" si="108"/>
        <v>589899.69032213953</v>
      </c>
      <c r="AM94" s="50"/>
      <c r="AN94" s="50"/>
      <c r="AO94" s="50"/>
      <c r="AP94" s="50"/>
      <c r="AQ94" s="50"/>
    </row>
    <row r="95" spans="1:43" x14ac:dyDescent="0.25">
      <c r="A95" s="38" t="s">
        <v>71</v>
      </c>
      <c r="B95" s="37" t="s">
        <v>125</v>
      </c>
      <c r="C95" s="37" t="s">
        <v>105</v>
      </c>
      <c r="D95" s="39">
        <v>5.7453291968199149E-3</v>
      </c>
      <c r="E95" s="36"/>
      <c r="F95" s="49" t="s">
        <v>71</v>
      </c>
      <c r="G95" s="43">
        <v>75208.433000000005</v>
      </c>
      <c r="H95" s="44">
        <v>7.51E-2</v>
      </c>
      <c r="I95" s="39">
        <f t="shared" si="109"/>
        <v>5.7453291968199149E-3</v>
      </c>
      <c r="J95" s="88"/>
      <c r="K95" s="45">
        <f t="shared" si="93"/>
        <v>80856.586318300004</v>
      </c>
      <c r="L95" s="50">
        <f t="shared" si="110"/>
        <v>81321.134024429717</v>
      </c>
      <c r="M95" s="50">
        <f t="shared" si="94"/>
        <v>81788.350710058774</v>
      </c>
      <c r="N95" s="50">
        <f t="shared" si="95"/>
        <v>82258.251709353019</v>
      </c>
      <c r="O95" s="50">
        <f t="shared" si="96"/>
        <v>82730.852444578122</v>
      </c>
      <c r="P95" s="50">
        <f t="shared" si="97"/>
        <v>83206.168426605756</v>
      </c>
      <c r="Q95" s="50">
        <f t="shared" si="98"/>
        <v>83684.215255422649</v>
      </c>
      <c r="R95" s="50">
        <f t="shared" si="99"/>
        <v>84165.008620642591</v>
      </c>
      <c r="S95" s="50">
        <f t="shared" si="100"/>
        <v>84648.564302021376</v>
      </c>
      <c r="T95" s="50">
        <f t="shared" si="101"/>
        <v>85134.898169974666</v>
      </c>
      <c r="U95" s="50">
        <f t="shared" si="102"/>
        <v>85624.026186098912</v>
      </c>
      <c r="V95" s="50">
        <f t="shared" si="103"/>
        <v>86115.964403695179</v>
      </c>
      <c r="W95" s="46">
        <f t="shared" si="104"/>
        <v>86610.72896829604</v>
      </c>
      <c r="X95" s="50"/>
      <c r="Y95" s="50"/>
      <c r="Z95" s="50"/>
      <c r="AA95" s="50"/>
      <c r="AB95" s="50"/>
      <c r="AD95" s="45">
        <f>VLOOKUP(F95,'Mass Equivalents - States, Opt1'!$A$8:$K$56,11,0)</f>
        <v>0</v>
      </c>
      <c r="AE95" s="46">
        <f t="shared" si="111"/>
        <v>0</v>
      </c>
      <c r="AF95" s="50"/>
      <c r="AG95" s="49" t="s">
        <v>71</v>
      </c>
      <c r="AH95" s="50">
        <f t="shared" si="112"/>
        <v>3791977.9837213717</v>
      </c>
      <c r="AI95" s="50">
        <f t="shared" si="105"/>
        <v>4278311.851674662</v>
      </c>
      <c r="AJ95" s="50">
        <f t="shared" si="106"/>
        <v>4767439.8677989086</v>
      </c>
      <c r="AK95" s="50">
        <f t="shared" si="107"/>
        <v>5259378.085395176</v>
      </c>
      <c r="AL95" s="46">
        <f t="shared" si="108"/>
        <v>5754142.6499960367</v>
      </c>
      <c r="AM95" s="50"/>
      <c r="AN95" s="50"/>
      <c r="AO95" s="50"/>
      <c r="AP95" s="50"/>
      <c r="AQ95" s="50"/>
    </row>
    <row r="96" spans="1:43" x14ac:dyDescent="0.25">
      <c r="A96" s="38" t="s">
        <v>72</v>
      </c>
      <c r="B96" s="37" t="s">
        <v>120</v>
      </c>
      <c r="C96" s="37" t="s">
        <v>100</v>
      </c>
      <c r="D96" s="39">
        <v>1.3247413603107328E-2</v>
      </c>
      <c r="E96" s="36"/>
      <c r="F96" s="49" t="s">
        <v>72</v>
      </c>
      <c r="G96" s="43">
        <v>23316.735000000001</v>
      </c>
      <c r="H96" s="44">
        <v>7.51E-2</v>
      </c>
      <c r="I96" s="39">
        <f t="shared" si="109"/>
        <v>1.3247413603107328E-2</v>
      </c>
      <c r="J96" s="88"/>
      <c r="K96" s="45">
        <f t="shared" si="93"/>
        <v>25067.821798500001</v>
      </c>
      <c r="L96" s="50">
        <f t="shared" si="110"/>
        <v>25399.90560199372</v>
      </c>
      <c r="M96" s="50">
        <f t="shared" si="94"/>
        <v>25736.388656983214</v>
      </c>
      <c r="N96" s="50">
        <f t="shared" si="95"/>
        <v>26077.329242172589</v>
      </c>
      <c r="O96" s="50">
        <f t="shared" si="96"/>
        <v>26422.786408308053</v>
      </c>
      <c r="P96" s="50">
        <f t="shared" si="97"/>
        <v>26772.819988405474</v>
      </c>
      <c r="Q96" s="50">
        <f t="shared" si="98"/>
        <v>27127.490608113421</v>
      </c>
      <c r="R96" s="50">
        <f t="shared" si="99"/>
        <v>27486.859696213509</v>
      </c>
      <c r="S96" s="50">
        <f t="shared" si="100"/>
        <v>27850.98949525983</v>
      </c>
      <c r="T96" s="50">
        <f t="shared" si="101"/>
        <v>28219.943072359332</v>
      </c>
      <c r="U96" s="50">
        <f t="shared" si="102"/>
        <v>28593.784330095019</v>
      </c>
      <c r="V96" s="50">
        <f t="shared" si="103"/>
        <v>28972.578017593838</v>
      </c>
      <c r="W96" s="46">
        <f t="shared" si="104"/>
        <v>29356.389741741197</v>
      </c>
      <c r="X96" s="50"/>
      <c r="Y96" s="50"/>
      <c r="Z96" s="50"/>
      <c r="AA96" s="50"/>
      <c r="AB96" s="50"/>
      <c r="AD96" s="45">
        <f>VLOOKUP(F96,'Mass Equivalents - States, Opt1'!$A$8:$K$56,11,0)</f>
        <v>0</v>
      </c>
      <c r="AE96" s="46">
        <f t="shared" si="111"/>
        <v>0</v>
      </c>
      <c r="AF96" s="50"/>
      <c r="AG96" s="49" t="s">
        <v>72</v>
      </c>
      <c r="AH96" s="50">
        <f t="shared" si="112"/>
        <v>2783167.6967598288</v>
      </c>
      <c r="AI96" s="50">
        <f t="shared" si="105"/>
        <v>3152121.2738593314</v>
      </c>
      <c r="AJ96" s="50">
        <f t="shared" si="106"/>
        <v>3525962.5315950178</v>
      </c>
      <c r="AK96" s="50">
        <f t="shared" si="107"/>
        <v>3904756.2190938368</v>
      </c>
      <c r="AL96" s="46">
        <f t="shared" si="108"/>
        <v>4288567.9432411958</v>
      </c>
      <c r="AM96" s="50"/>
      <c r="AN96" s="50"/>
      <c r="AO96" s="50"/>
      <c r="AP96" s="50"/>
      <c r="AQ96" s="50"/>
    </row>
    <row r="97" spans="1:43" x14ac:dyDescent="0.25">
      <c r="A97" s="38" t="s">
        <v>73</v>
      </c>
      <c r="B97" s="37" t="s">
        <v>133</v>
      </c>
      <c r="C97" s="37" t="s">
        <v>114</v>
      </c>
      <c r="D97" s="39">
        <v>1.587892225038301E-3</v>
      </c>
      <c r="E97" s="36"/>
      <c r="F97" s="49" t="s">
        <v>73</v>
      </c>
      <c r="G97" s="43">
        <v>144500.728</v>
      </c>
      <c r="H97" s="44">
        <v>7.51E-2</v>
      </c>
      <c r="I97" s="39">
        <f t="shared" si="109"/>
        <v>1.587892225038301E-3</v>
      </c>
      <c r="J97" s="88"/>
      <c r="K97" s="45">
        <f t="shared" si="93"/>
        <v>155352.73267279999</v>
      </c>
      <c r="L97" s="50">
        <f t="shared" si="110"/>
        <v>155599.41606914959</v>
      </c>
      <c r="M97" s="50">
        <f t="shared" si="94"/>
        <v>155846.49117214628</v>
      </c>
      <c r="N97" s="50">
        <f t="shared" si="95"/>
        <v>156093.95860377804</v>
      </c>
      <c r="O97" s="50">
        <f t="shared" si="96"/>
        <v>156341.81898702044</v>
      </c>
      <c r="P97" s="50">
        <f t="shared" si="97"/>
        <v>156590.07294583827</v>
      </c>
      <c r="Q97" s="50">
        <f t="shared" si="98"/>
        <v>156838.72110518714</v>
      </c>
      <c r="R97" s="50">
        <f t="shared" si="99"/>
        <v>157087.76409101501</v>
      </c>
      <c r="S97" s="50">
        <f t="shared" si="100"/>
        <v>157337.20253026378</v>
      </c>
      <c r="T97" s="50">
        <f t="shared" si="101"/>
        <v>157587.03705087086</v>
      </c>
      <c r="U97" s="50">
        <f t="shared" si="102"/>
        <v>157837.26828177075</v>
      </c>
      <c r="V97" s="50">
        <f t="shared" si="103"/>
        <v>158087.89685289667</v>
      </c>
      <c r="W97" s="46">
        <f t="shared" si="104"/>
        <v>158338.92339518204</v>
      </c>
      <c r="X97" s="50"/>
      <c r="Y97" s="50"/>
      <c r="Z97" s="50"/>
      <c r="AA97" s="50"/>
      <c r="AB97" s="50"/>
      <c r="AD97" s="45">
        <f>VLOOKUP(F97,'Mass Equivalents - States, Opt1'!$A$8:$K$56,11,0)</f>
        <v>0</v>
      </c>
      <c r="AE97" s="46">
        <f t="shared" si="111"/>
        <v>0</v>
      </c>
      <c r="AF97" s="50"/>
      <c r="AG97" s="49" t="s">
        <v>73</v>
      </c>
      <c r="AH97" s="50">
        <f t="shared" si="112"/>
        <v>1984469.8574637878</v>
      </c>
      <c r="AI97" s="50">
        <f t="shared" si="105"/>
        <v>2234304.3780708686</v>
      </c>
      <c r="AJ97" s="50">
        <f t="shared" si="106"/>
        <v>2484535.6089707641</v>
      </c>
      <c r="AK97" s="50">
        <f t="shared" si="107"/>
        <v>2735164.1800966756</v>
      </c>
      <c r="AL97" s="46">
        <f t="shared" si="108"/>
        <v>2986190.7223820454</v>
      </c>
      <c r="AM97" s="50"/>
      <c r="AN97" s="50"/>
      <c r="AO97" s="50"/>
      <c r="AP97" s="50"/>
      <c r="AQ97" s="50"/>
    </row>
    <row r="98" spans="1:43" x14ac:dyDescent="0.25">
      <c r="A98" s="38" t="s">
        <v>74</v>
      </c>
      <c r="B98" s="37" t="s">
        <v>134</v>
      </c>
      <c r="C98" s="37" t="s">
        <v>115</v>
      </c>
      <c r="D98" s="39">
        <v>1.1522424872645765E-2</v>
      </c>
      <c r="E98" s="36"/>
      <c r="F98" s="49" t="s">
        <v>74</v>
      </c>
      <c r="G98" s="43">
        <v>128555.117</v>
      </c>
      <c r="H98" s="44">
        <v>7.51E-2</v>
      </c>
      <c r="I98" s="39">
        <f t="shared" si="109"/>
        <v>1.1522424872645765E-2</v>
      </c>
      <c r="J98" s="88"/>
      <c r="K98" s="45">
        <f t="shared" si="93"/>
        <v>138209.6062867</v>
      </c>
      <c r="L98" s="50">
        <f t="shared" si="110"/>
        <v>139802.11609181645</v>
      </c>
      <c r="M98" s="50">
        <f t="shared" si="94"/>
        <v>141412.97547152132</v>
      </c>
      <c r="N98" s="50">
        <f t="shared" si="95"/>
        <v>143042.39585740922</v>
      </c>
      <c r="O98" s="50">
        <f t="shared" si="96"/>
        <v>144690.59111727949</v>
      </c>
      <c r="P98" s="50">
        <f t="shared" si="97"/>
        <v>146357.77758320703</v>
      </c>
      <c r="Q98" s="50">
        <f t="shared" si="98"/>
        <v>148044.17407993693</v>
      </c>
      <c r="R98" s="50">
        <f t="shared" si="99"/>
        <v>149750.00195360588</v>
      </c>
      <c r="S98" s="50">
        <f t="shared" si="100"/>
        <v>151475.48510079487</v>
      </c>
      <c r="T98" s="50">
        <f t="shared" si="101"/>
        <v>153220.84999791635</v>
      </c>
      <c r="U98" s="50">
        <f t="shared" si="102"/>
        <v>154986.32573094027</v>
      </c>
      <c r="V98" s="50">
        <f t="shared" si="103"/>
        <v>156772.14402546245</v>
      </c>
      <c r="W98" s="46">
        <f t="shared" si="104"/>
        <v>158578.53927711945</v>
      </c>
      <c r="X98" s="50"/>
      <c r="Y98" s="50"/>
      <c r="Z98" s="50"/>
      <c r="AA98" s="50"/>
      <c r="AB98" s="50"/>
      <c r="AD98" s="45">
        <f>VLOOKUP(F98,'Mass Equivalents - States, Opt1'!$A$8:$K$56,11,0)</f>
        <v>2249</v>
      </c>
      <c r="AE98" s="46">
        <f t="shared" si="111"/>
        <v>10835.682000000001</v>
      </c>
      <c r="AF98" s="50"/>
      <c r="AG98" s="49" t="s">
        <v>74</v>
      </c>
      <c r="AH98" s="50">
        <f t="shared" si="112"/>
        <v>2430196.8140948741</v>
      </c>
      <c r="AI98" s="50">
        <f t="shared" si="105"/>
        <v>4175561.7112163454</v>
      </c>
      <c r="AJ98" s="50">
        <f t="shared" si="106"/>
        <v>5941037.4442402683</v>
      </c>
      <c r="AK98" s="50">
        <f t="shared" si="107"/>
        <v>7726855.7387624457</v>
      </c>
      <c r="AL98" s="46">
        <f t="shared" si="108"/>
        <v>9533250.9904194456</v>
      </c>
      <c r="AM98" s="50"/>
      <c r="AN98" s="50"/>
      <c r="AO98" s="50"/>
      <c r="AP98" s="50"/>
      <c r="AQ98" s="50"/>
    </row>
    <row r="99" spans="1:43" x14ac:dyDescent="0.25">
      <c r="A99" s="38" t="s">
        <v>75</v>
      </c>
      <c r="B99" s="37" t="s">
        <v>128</v>
      </c>
      <c r="C99" s="37" t="s">
        <v>109</v>
      </c>
      <c r="D99" s="39">
        <v>5.9003972076903111E-3</v>
      </c>
      <c r="E99" s="36"/>
      <c r="F99" s="49" t="s">
        <v>75</v>
      </c>
      <c r="G99" s="43">
        <v>14727.286</v>
      </c>
      <c r="H99" s="44">
        <v>7.51E-2</v>
      </c>
      <c r="I99" s="39">
        <f t="shared" si="109"/>
        <v>5.9003972076903111E-3</v>
      </c>
      <c r="J99" s="88"/>
      <c r="K99" s="45">
        <f t="shared" si="93"/>
        <v>15833.3051786</v>
      </c>
      <c r="L99" s="50">
        <f t="shared" si="110"/>
        <v>15926.72796826432</v>
      </c>
      <c r="M99" s="50">
        <f t="shared" si="94"/>
        <v>16020.70198949591</v>
      </c>
      <c r="N99" s="50">
        <f t="shared" si="95"/>
        <v>16115.230494779971</v>
      </c>
      <c r="O99" s="50">
        <f t="shared" si="96"/>
        <v>16210.316755792657</v>
      </c>
      <c r="P99" s="50">
        <f t="shared" si="97"/>
        <v>16305.964063514311</v>
      </c>
      <c r="Q99" s="50">
        <f t="shared" si="98"/>
        <v>16402.175728343369</v>
      </c>
      <c r="R99" s="50">
        <f t="shared" si="99"/>
        <v>16498.955080210933</v>
      </c>
      <c r="S99" s="50">
        <f t="shared" si="100"/>
        <v>16596.305468696017</v>
      </c>
      <c r="T99" s="50">
        <f t="shared" si="101"/>
        <v>16694.230263141486</v>
      </c>
      <c r="U99" s="50">
        <f t="shared" si="102"/>
        <v>16792.732852770667</v>
      </c>
      <c r="V99" s="50">
        <f t="shared" si="103"/>
        <v>16891.816646804644</v>
      </c>
      <c r="W99" s="46">
        <f t="shared" si="104"/>
        <v>16991.485074580265</v>
      </c>
      <c r="X99" s="50"/>
      <c r="Y99" s="50"/>
      <c r="Z99" s="50"/>
      <c r="AA99" s="50"/>
      <c r="AB99" s="50"/>
      <c r="AD99" s="45">
        <f>VLOOKUP(F99,'Mass Equivalents - States, Opt1'!$A$8:$K$56,11,0)</f>
        <v>0</v>
      </c>
      <c r="AE99" s="46">
        <f t="shared" si="111"/>
        <v>0</v>
      </c>
      <c r="AF99" s="50"/>
      <c r="AG99" s="49" t="s">
        <v>75</v>
      </c>
      <c r="AH99" s="50">
        <f t="shared" si="112"/>
        <v>763000.29009601707</v>
      </c>
      <c r="AI99" s="50">
        <f t="shared" si="105"/>
        <v>860925.08454148634</v>
      </c>
      <c r="AJ99" s="50">
        <f t="shared" si="106"/>
        <v>959427.67417066719</v>
      </c>
      <c r="AK99" s="50">
        <f t="shared" si="107"/>
        <v>1058511.4682046443</v>
      </c>
      <c r="AL99" s="46">
        <f t="shared" si="108"/>
        <v>1158179.8959802655</v>
      </c>
      <c r="AM99" s="50"/>
      <c r="AN99" s="50"/>
      <c r="AO99" s="50"/>
      <c r="AP99" s="50"/>
      <c r="AQ99" s="50"/>
    </row>
    <row r="100" spans="1:43" x14ac:dyDescent="0.25">
      <c r="A100" s="38" t="s">
        <v>76</v>
      </c>
      <c r="B100" s="37" t="s">
        <v>127</v>
      </c>
      <c r="C100" s="37" t="s">
        <v>108</v>
      </c>
      <c r="D100" s="39">
        <v>5.4307049398412133E-3</v>
      </c>
      <c r="E100" s="36"/>
      <c r="F100" s="49" t="s">
        <v>76</v>
      </c>
      <c r="G100" s="43">
        <v>153780.36199999999</v>
      </c>
      <c r="H100" s="44">
        <v>7.51E-2</v>
      </c>
      <c r="I100" s="39">
        <f t="shared" si="109"/>
        <v>5.4307049398412133E-3</v>
      </c>
      <c r="J100" s="88"/>
      <c r="K100" s="45">
        <f t="shared" si="93"/>
        <v>165329.26718619998</v>
      </c>
      <c r="L100" s="50">
        <f t="shared" si="110"/>
        <v>166227.1216542084</v>
      </c>
      <c r="M100" s="50">
        <f t="shared" si="94"/>
        <v>167129.85210491149</v>
      </c>
      <c r="N100" s="50">
        <f t="shared" si="95"/>
        <v>168037.48501833258</v>
      </c>
      <c r="O100" s="50">
        <f t="shared" si="96"/>
        <v>168950.04701830013</v>
      </c>
      <c r="P100" s="50">
        <f t="shared" si="97"/>
        <v>169867.56487322881</v>
      </c>
      <c r="Q100" s="50">
        <f t="shared" si="98"/>
        <v>170790.06549690466</v>
      </c>
      <c r="R100" s="50">
        <f t="shared" si="99"/>
        <v>171717.5759492745</v>
      </c>
      <c r="S100" s="50">
        <f t="shared" si="100"/>
        <v>172650.12343723979</v>
      </c>
      <c r="T100" s="50">
        <f t="shared" si="101"/>
        <v>173587.7353154546</v>
      </c>
      <c r="U100" s="50">
        <f t="shared" si="102"/>
        <v>174530.43908712809</v>
      </c>
      <c r="V100" s="50">
        <f t="shared" si="103"/>
        <v>175478.26240483121</v>
      </c>
      <c r="W100" s="46">
        <f t="shared" si="104"/>
        <v>176431.23307130788</v>
      </c>
      <c r="X100" s="50"/>
      <c r="Y100" s="50"/>
      <c r="Z100" s="50"/>
      <c r="AA100" s="50"/>
      <c r="AB100" s="50"/>
      <c r="AC100" s="85"/>
      <c r="AD100" s="45">
        <f>VLOOKUP(F100,'Mass Equivalents - States, Opt1'!$A$8:$K$56,11,0)</f>
        <v>539</v>
      </c>
      <c r="AE100" s="46">
        <f t="shared" si="111"/>
        <v>2596.902</v>
      </c>
      <c r="AF100" s="50"/>
      <c r="AG100" s="49" t="s">
        <v>76</v>
      </c>
      <c r="AH100" s="50">
        <f t="shared" si="112"/>
        <v>4723954.251039804</v>
      </c>
      <c r="AI100" s="50">
        <f t="shared" si="105"/>
        <v>5661566.1292546159</v>
      </c>
      <c r="AJ100" s="50">
        <f t="shared" si="106"/>
        <v>6604269.900928108</v>
      </c>
      <c r="AK100" s="50">
        <f t="shared" si="107"/>
        <v>7552093.2186312294</v>
      </c>
      <c r="AL100" s="46">
        <f t="shared" si="108"/>
        <v>8505063.8851079009</v>
      </c>
      <c r="AM100" s="50"/>
      <c r="AN100" s="50"/>
      <c r="AO100" s="50"/>
      <c r="AP100" s="50"/>
      <c r="AQ100" s="50"/>
    </row>
    <row r="101" spans="1:43" x14ac:dyDescent="0.25">
      <c r="A101" s="38" t="s">
        <v>77</v>
      </c>
      <c r="B101" s="37" t="s">
        <v>135</v>
      </c>
      <c r="C101" s="37" t="s">
        <v>116</v>
      </c>
      <c r="D101" s="39">
        <v>9.6755661892393707E-3</v>
      </c>
      <c r="E101" s="36"/>
      <c r="F101" s="49" t="s">
        <v>77</v>
      </c>
      <c r="G101" s="43">
        <v>59464.775000000001</v>
      </c>
      <c r="H101" s="44">
        <v>7.51E-2</v>
      </c>
      <c r="I101" s="39">
        <f t="shared" si="109"/>
        <v>9.6755661892393707E-3</v>
      </c>
      <c r="J101" s="88"/>
      <c r="K101" s="45">
        <f t="shared" si="93"/>
        <v>63930.579602500002</v>
      </c>
      <c r="L101" s="50">
        <f t="shared" si="110"/>
        <v>64549.144156960429</v>
      </c>
      <c r="M101" s="50">
        <f t="shared" si="94"/>
        <v>65173.693673709851</v>
      </c>
      <c r="N101" s="50">
        <f t="shared" si="95"/>
        <v>65804.286060647049</v>
      </c>
      <c r="O101" s="50">
        <f t="shared" si="96"/>
        <v>66440.979785962481</v>
      </c>
      <c r="P101" s="50">
        <f t="shared" si="97"/>
        <v>67083.833883559477</v>
      </c>
      <c r="Q101" s="50">
        <f t="shared" si="98"/>
        <v>67732.907958527794</v>
      </c>
      <c r="R101" s="50">
        <f t="shared" si="99"/>
        <v>68388.262192670183</v>
      </c>
      <c r="S101" s="50">
        <f t="shared" si="100"/>
        <v>69049.957350082419</v>
      </c>
      <c r="T101" s="50">
        <f t="shared" si="101"/>
        <v>69718.054782787294</v>
      </c>
      <c r="U101" s="50">
        <f t="shared" si="102"/>
        <v>70392.616436423166</v>
      </c>
      <c r="V101" s="50">
        <f t="shared" si="103"/>
        <v>71073.704855987511</v>
      </c>
      <c r="W101" s="46">
        <f t="shared" si="104"/>
        <v>71761.38319163608</v>
      </c>
      <c r="X101" s="50"/>
      <c r="Y101" s="50"/>
      <c r="Z101" s="50"/>
      <c r="AA101" s="50"/>
      <c r="AB101" s="50"/>
      <c r="AD101" s="45">
        <f>VLOOKUP(F101,'Mass Equivalents - States, Opt1'!$A$8:$K$56,11,0)</f>
        <v>0</v>
      </c>
      <c r="AE101" s="46">
        <f t="shared" si="111"/>
        <v>0</v>
      </c>
      <c r="AF101" s="50"/>
      <c r="AG101" s="49" t="s">
        <v>77</v>
      </c>
      <c r="AH101" s="50">
        <f t="shared" si="112"/>
        <v>5119377.747582417</v>
      </c>
      <c r="AI101" s="50">
        <f t="shared" si="105"/>
        <v>5787475.1802872922</v>
      </c>
      <c r="AJ101" s="50">
        <f t="shared" si="106"/>
        <v>6462036.8339231648</v>
      </c>
      <c r="AK101" s="50">
        <f t="shared" si="107"/>
        <v>7143125.2534875097</v>
      </c>
      <c r="AL101" s="46">
        <f t="shared" si="108"/>
        <v>7830803.589136078</v>
      </c>
      <c r="AM101" s="50"/>
      <c r="AN101" s="50"/>
      <c r="AO101" s="50"/>
      <c r="AP101" s="50"/>
      <c r="AQ101" s="50"/>
    </row>
    <row r="102" spans="1:43" x14ac:dyDescent="0.25">
      <c r="A102" s="38" t="s">
        <v>78</v>
      </c>
      <c r="B102" s="37" t="s">
        <v>126</v>
      </c>
      <c r="C102" s="37" t="s">
        <v>107</v>
      </c>
      <c r="D102" s="39">
        <v>1.1548387384267E-2</v>
      </c>
      <c r="E102" s="36"/>
      <c r="F102" s="49" t="s">
        <v>78</v>
      </c>
      <c r="G102" s="43">
        <v>47199.849000000002</v>
      </c>
      <c r="H102" s="44">
        <v>7.51E-2</v>
      </c>
      <c r="I102" s="39">
        <f t="shared" si="109"/>
        <v>1.1548387384267E-2</v>
      </c>
      <c r="J102" s="88"/>
      <c r="K102" s="45">
        <f t="shared" si="93"/>
        <v>50744.557659899998</v>
      </c>
      <c r="L102" s="50">
        <f t="shared" si="110"/>
        <v>51330.575469399795</v>
      </c>
      <c r="M102" s="50">
        <f t="shared" si="94"/>
        <v>51923.360839577777</v>
      </c>
      <c r="N102" s="50">
        <f t="shared" si="95"/>
        <v>52522.991924846297</v>
      </c>
      <c r="O102" s="50">
        <f t="shared" si="96"/>
        <v>53129.547782175148</v>
      </c>
      <c r="P102" s="50">
        <f t="shared" si="97"/>
        <v>53743.108381514634</v>
      </c>
      <c r="Q102" s="50">
        <f t="shared" si="98"/>
        <v>54363.754616339014</v>
      </c>
      <c r="R102" s="50">
        <f t="shared" si="99"/>
        <v>54991.568314311728</v>
      </c>
      <c r="S102" s="50">
        <f t="shared" si="100"/>
        <v>55626.63224807378</v>
      </c>
      <c r="T102" s="50">
        <f t="shared" si="101"/>
        <v>56269.030146156692</v>
      </c>
      <c r="U102" s="50">
        <f t="shared" si="102"/>
        <v>56918.846704021511</v>
      </c>
      <c r="V102" s="50">
        <f t="shared" si="103"/>
        <v>57576.167595225263</v>
      </c>
      <c r="W102" s="46">
        <f t="shared" si="104"/>
        <v>58241.079482716406</v>
      </c>
      <c r="X102" s="50"/>
      <c r="Y102" s="50"/>
      <c r="Z102" s="50"/>
      <c r="AA102" s="50"/>
      <c r="AB102" s="50"/>
      <c r="AD102" s="45">
        <f>VLOOKUP(F102,'Mass Equivalents - States, Opt1'!$A$8:$K$56,11,0)</f>
        <v>0</v>
      </c>
      <c r="AE102" s="46">
        <f t="shared" si="111"/>
        <v>0</v>
      </c>
      <c r="AF102" s="50"/>
      <c r="AG102" s="49" t="s">
        <v>78</v>
      </c>
      <c r="AH102" s="50">
        <f t="shared" si="112"/>
        <v>4882074.5881737825</v>
      </c>
      <c r="AI102" s="50">
        <f t="shared" si="105"/>
        <v>5524472.4862566944</v>
      </c>
      <c r="AJ102" s="50">
        <f t="shared" si="106"/>
        <v>6174289.0441215131</v>
      </c>
      <c r="AK102" s="50">
        <f t="shared" si="107"/>
        <v>6831609.9353252649</v>
      </c>
      <c r="AL102" s="46">
        <f t="shared" si="108"/>
        <v>7496521.8228164082</v>
      </c>
      <c r="AM102" s="50"/>
      <c r="AN102" s="50"/>
      <c r="AO102" s="50"/>
      <c r="AP102" s="50"/>
      <c r="AQ102" s="50"/>
    </row>
    <row r="103" spans="1:43" x14ac:dyDescent="0.25">
      <c r="A103" s="38" t="s">
        <v>79</v>
      </c>
      <c r="B103" s="37" t="s">
        <v>125</v>
      </c>
      <c r="C103" s="37" t="s">
        <v>105</v>
      </c>
      <c r="D103" s="39">
        <v>5.7453291968199149E-3</v>
      </c>
      <c r="E103" s="36"/>
      <c r="F103" s="49" t="s">
        <v>79</v>
      </c>
      <c r="G103" s="43">
        <v>146243.70300000001</v>
      </c>
      <c r="H103" s="44">
        <v>7.51E-2</v>
      </c>
      <c r="I103" s="39">
        <f t="shared" si="109"/>
        <v>5.7453291968199149E-3</v>
      </c>
      <c r="J103" s="88"/>
      <c r="K103" s="45">
        <f t="shared" si="93"/>
        <v>157226.60509530001</v>
      </c>
      <c r="L103" s="50">
        <f t="shared" si="110"/>
        <v>158129.92370007091</v>
      </c>
      <c r="M103" s="50">
        <f t="shared" si="94"/>
        <v>159038.43216759583</v>
      </c>
      <c r="N103" s="50">
        <f t="shared" si="95"/>
        <v>159952.16031534478</v>
      </c>
      <c r="O103" s="50">
        <f t="shared" si="96"/>
        <v>160871.13813209895</v>
      </c>
      <c r="P103" s="50">
        <f t="shared" si="97"/>
        <v>161795.39577893494</v>
      </c>
      <c r="Q103" s="50">
        <f t="shared" si="98"/>
        <v>162724.9635902147</v>
      </c>
      <c r="R103" s="50">
        <f t="shared" si="99"/>
        <v>163659.87207458101</v>
      </c>
      <c r="S103" s="50">
        <f t="shared" si="100"/>
        <v>164600.15191595891</v>
      </c>
      <c r="T103" s="50">
        <f t="shared" si="101"/>
        <v>165545.83397456267</v>
      </c>
      <c r="U103" s="50">
        <f t="shared" si="102"/>
        <v>166496.94928790862</v>
      </c>
      <c r="V103" s="50">
        <f t="shared" si="103"/>
        <v>167453.52907183388</v>
      </c>
      <c r="W103" s="46">
        <f t="shared" si="104"/>
        <v>168415.60472152082</v>
      </c>
      <c r="X103" s="50"/>
      <c r="Y103" s="50"/>
      <c r="Z103" s="50"/>
      <c r="AA103" s="50"/>
      <c r="AB103" s="50"/>
      <c r="AD103" s="45">
        <f>VLOOKUP(F103,'Mass Equivalents - States, Opt1'!$A$8:$K$56,11,0)</f>
        <v>0</v>
      </c>
      <c r="AE103" s="46">
        <f t="shared" si="111"/>
        <v>0</v>
      </c>
      <c r="AF103" s="50"/>
      <c r="AG103" s="49" t="s">
        <v>79</v>
      </c>
      <c r="AH103" s="50">
        <f t="shared" si="112"/>
        <v>7373546.8206588998</v>
      </c>
      <c r="AI103" s="50">
        <f t="shared" si="105"/>
        <v>8319228.8792626644</v>
      </c>
      <c r="AJ103" s="50">
        <f t="shared" si="106"/>
        <v>9270344.1926086098</v>
      </c>
      <c r="AK103" s="50">
        <f t="shared" si="107"/>
        <v>10226923.976533871</v>
      </c>
      <c r="AL103" s="46">
        <f t="shared" si="108"/>
        <v>11188999.626220815</v>
      </c>
      <c r="AM103" s="50"/>
      <c r="AN103" s="50"/>
      <c r="AO103" s="50"/>
      <c r="AP103" s="50"/>
      <c r="AQ103" s="50"/>
    </row>
    <row r="104" spans="1:43" x14ac:dyDescent="0.25">
      <c r="A104" s="38" t="s">
        <v>80</v>
      </c>
      <c r="B104" s="37" t="s">
        <v>124</v>
      </c>
      <c r="C104" s="37" t="s">
        <v>104</v>
      </c>
      <c r="D104" s="39">
        <v>4.0930755788939344E-3</v>
      </c>
      <c r="E104" s="36"/>
      <c r="F104" s="49" t="s">
        <v>80</v>
      </c>
      <c r="G104" s="43">
        <v>7768.2939999999999</v>
      </c>
      <c r="H104" s="44">
        <v>7.51E-2</v>
      </c>
      <c r="I104" s="39">
        <f t="shared" si="109"/>
        <v>4.0930755788939344E-3</v>
      </c>
      <c r="J104" s="88"/>
      <c r="K104" s="45">
        <f t="shared" si="93"/>
        <v>8351.6928793999996</v>
      </c>
      <c r="L104" s="50">
        <f t="shared" si="110"/>
        <v>8385.8769895670939</v>
      </c>
      <c r="M104" s="50">
        <f t="shared" si="94"/>
        <v>8420.2010178806995</v>
      </c>
      <c r="N104" s="50">
        <f t="shared" si="95"/>
        <v>8454.6655370363642</v>
      </c>
      <c r="O104" s="50">
        <f t="shared" si="96"/>
        <v>8489.2711220737237</v>
      </c>
      <c r="P104" s="50">
        <f t="shared" si="97"/>
        <v>8524.0183503860935</v>
      </c>
      <c r="Q104" s="50">
        <f t="shared" si="98"/>
        <v>8558.9078017301017</v>
      </c>
      <c r="R104" s="50">
        <f t="shared" si="99"/>
        <v>8593.9400582353683</v>
      </c>
      <c r="S104" s="50">
        <f t="shared" si="100"/>
        <v>8629.1157044142092</v>
      </c>
      <c r="T104" s="50">
        <f t="shared" si="101"/>
        <v>8664.4353271713971</v>
      </c>
      <c r="U104" s="50">
        <f t="shared" si="102"/>
        <v>8699.8995158139478</v>
      </c>
      <c r="V104" s="50">
        <f t="shared" si="103"/>
        <v>8735.5088620609567</v>
      </c>
      <c r="W104" s="46">
        <f t="shared" si="104"/>
        <v>8771.2639600534694</v>
      </c>
      <c r="X104" s="50"/>
      <c r="Y104" s="50"/>
      <c r="Z104" s="50"/>
      <c r="AA104" s="50"/>
      <c r="AB104" s="50"/>
      <c r="AD104" s="45">
        <f>VLOOKUP(F104,'Mass Equivalents - States, Opt1'!$A$8:$K$56,11,0)</f>
        <v>0</v>
      </c>
      <c r="AE104" s="46">
        <f t="shared" si="111"/>
        <v>0</v>
      </c>
      <c r="AF104" s="50"/>
      <c r="AG104" s="49" t="s">
        <v>80</v>
      </c>
      <c r="AH104" s="50">
        <f t="shared" si="112"/>
        <v>277422.82501420961</v>
      </c>
      <c r="AI104" s="50">
        <f t="shared" si="105"/>
        <v>312742.44777139754</v>
      </c>
      <c r="AJ104" s="50">
        <f t="shared" si="106"/>
        <v>348206.6364139482</v>
      </c>
      <c r="AK104" s="50">
        <f t="shared" si="107"/>
        <v>383815.98266095715</v>
      </c>
      <c r="AL104" s="46">
        <f t="shared" si="108"/>
        <v>419571.08065346983</v>
      </c>
      <c r="AM104" s="50"/>
      <c r="AN104" s="50"/>
      <c r="AO104" s="50"/>
      <c r="AP104" s="50"/>
      <c r="AQ104" s="50"/>
    </row>
    <row r="105" spans="1:43" x14ac:dyDescent="0.25">
      <c r="A105" s="38" t="s">
        <v>81</v>
      </c>
      <c r="B105" s="37" t="s">
        <v>134</v>
      </c>
      <c r="C105" s="37" t="s">
        <v>115</v>
      </c>
      <c r="D105" s="39">
        <v>1.1522424872645765E-2</v>
      </c>
      <c r="E105" s="36"/>
      <c r="F105" s="49" t="s">
        <v>81</v>
      </c>
      <c r="G105" s="43">
        <v>78054.710999999996</v>
      </c>
      <c r="H105" s="44">
        <v>7.51E-2</v>
      </c>
      <c r="I105" s="39">
        <f t="shared" si="109"/>
        <v>1.1522424872645765E-2</v>
      </c>
      <c r="J105" s="88"/>
      <c r="K105" s="45">
        <f t="shared" si="93"/>
        <v>83916.619796099985</v>
      </c>
      <c r="L105" s="50">
        <f t="shared" si="110"/>
        <v>84883.542743266924</v>
      </c>
      <c r="M105" s="50">
        <f t="shared" si="94"/>
        <v>85861.606987450228</v>
      </c>
      <c r="N105" s="50">
        <f t="shared" si="95"/>
        <v>86850.940903407754</v>
      </c>
      <c r="O105" s="50">
        <f t="shared" si="96"/>
        <v>87851.674345085863</v>
      </c>
      <c r="P105" s="50">
        <f t="shared" si="97"/>
        <v>88863.938662663262</v>
      </c>
      <c r="Q105" s="50">
        <f t="shared" si="98"/>
        <v>89887.8667197912</v>
      </c>
      <c r="R105" s="50">
        <f t="shared" si="99"/>
        <v>90923.592911032392</v>
      </c>
      <c r="S105" s="50">
        <f t="shared" si="100"/>
        <v>91971.253179500796</v>
      </c>
      <c r="T105" s="50">
        <f t="shared" si="101"/>
        <v>93030.985034704674</v>
      </c>
      <c r="U105" s="50">
        <f t="shared" si="102"/>
        <v>94102.92757059529</v>
      </c>
      <c r="V105" s="50">
        <f t="shared" si="103"/>
        <v>95187.221483823494</v>
      </c>
      <c r="W105" s="46">
        <f t="shared" si="104"/>
        <v>96284.009092206747</v>
      </c>
      <c r="X105" s="50"/>
      <c r="Y105" s="50"/>
      <c r="Z105" s="50"/>
      <c r="AA105" s="50"/>
      <c r="AB105" s="50"/>
      <c r="AD105" s="45">
        <f>VLOOKUP(F105,'Mass Equivalents - States, Opt1'!$A$8:$K$56,11,0)</f>
        <v>0</v>
      </c>
      <c r="AE105" s="46">
        <f t="shared" si="111"/>
        <v>0</v>
      </c>
      <c r="AF105" s="50"/>
      <c r="AG105" s="49" t="s">
        <v>81</v>
      </c>
      <c r="AH105" s="50">
        <f t="shared" si="112"/>
        <v>8054633.3834008109</v>
      </c>
      <c r="AI105" s="50">
        <f t="shared" si="105"/>
        <v>9114365.238604689</v>
      </c>
      <c r="AJ105" s="50">
        <f t="shared" si="106"/>
        <v>10186307.774495304</v>
      </c>
      <c r="AK105" s="50">
        <f t="shared" si="107"/>
        <v>11270601.687723508</v>
      </c>
      <c r="AL105" s="46">
        <f t="shared" si="108"/>
        <v>12367389.296106761</v>
      </c>
      <c r="AM105" s="50"/>
      <c r="AN105" s="50"/>
      <c r="AO105" s="50"/>
      <c r="AP105" s="50"/>
      <c r="AQ105" s="50"/>
    </row>
    <row r="106" spans="1:43" x14ac:dyDescent="0.25">
      <c r="A106" s="38" t="s">
        <v>82</v>
      </c>
      <c r="B106" s="37" t="s">
        <v>128</v>
      </c>
      <c r="C106" s="37" t="s">
        <v>109</v>
      </c>
      <c r="D106" s="39">
        <v>5.9003972076903111E-3</v>
      </c>
      <c r="E106" s="36"/>
      <c r="F106" s="49" t="s">
        <v>82</v>
      </c>
      <c r="G106" s="43">
        <v>11749.464999999998</v>
      </c>
      <c r="H106" s="44">
        <v>7.51E-2</v>
      </c>
      <c r="I106" s="39">
        <f t="shared" si="109"/>
        <v>5.9003972076903111E-3</v>
      </c>
      <c r="J106" s="88"/>
      <c r="K106" s="45">
        <f t="shared" si="93"/>
        <v>12631.849821499998</v>
      </c>
      <c r="L106" s="50">
        <f t="shared" si="110"/>
        <v>12706.38275291474</v>
      </c>
      <c r="M106" s="50">
        <f t="shared" si="94"/>
        <v>12781.355458229882</v>
      </c>
      <c r="N106" s="50">
        <f t="shared" si="95"/>
        <v>12856.770532286118</v>
      </c>
      <c r="O106" s="50">
        <f t="shared" si="96"/>
        <v>12932.630585234734</v>
      </c>
      <c r="P106" s="50">
        <f t="shared" si="97"/>
        <v>13008.938242627943</v>
      </c>
      <c r="Q106" s="50">
        <f t="shared" si="98"/>
        <v>13085.696145509761</v>
      </c>
      <c r="R106" s="50">
        <f t="shared" si="99"/>
        <v>13162.906950507411</v>
      </c>
      <c r="S106" s="50">
        <f t="shared" si="100"/>
        <v>13240.573329923272</v>
      </c>
      <c r="T106" s="50">
        <f t="shared" si="101"/>
        <v>13318.697971827371</v>
      </c>
      <c r="U106" s="50">
        <f t="shared" si="102"/>
        <v>13397.283580150412</v>
      </c>
      <c r="V106" s="50">
        <f t="shared" si="103"/>
        <v>13476.332874777367</v>
      </c>
      <c r="W106" s="46">
        <f t="shared" si="104"/>
        <v>13555.848591641608</v>
      </c>
      <c r="X106" s="50"/>
      <c r="Y106" s="50"/>
      <c r="Z106" s="50"/>
      <c r="AA106" s="50"/>
      <c r="AB106" s="50"/>
      <c r="AD106" s="45">
        <f>VLOOKUP(F106,'Mass Equivalents - States, Opt1'!$A$8:$K$56,11,0)</f>
        <v>0</v>
      </c>
      <c r="AE106" s="46">
        <f t="shared" si="111"/>
        <v>0</v>
      </c>
      <c r="AF106" s="50"/>
      <c r="AG106" s="49" t="s">
        <v>82</v>
      </c>
      <c r="AH106" s="50">
        <f t="shared" si="112"/>
        <v>608723.50842327438</v>
      </c>
      <c r="AI106" s="50">
        <f t="shared" si="105"/>
        <v>686848.15032737236</v>
      </c>
      <c r="AJ106" s="50">
        <f t="shared" si="106"/>
        <v>765433.75865041348</v>
      </c>
      <c r="AK106" s="50">
        <f t="shared" si="107"/>
        <v>844483.05327736854</v>
      </c>
      <c r="AL106" s="46">
        <f t="shared" si="108"/>
        <v>923998.77014161029</v>
      </c>
      <c r="AM106" s="50"/>
      <c r="AN106" s="50"/>
      <c r="AO106" s="50"/>
      <c r="AP106" s="50"/>
      <c r="AQ106" s="50"/>
    </row>
    <row r="107" spans="1:43" x14ac:dyDescent="0.25">
      <c r="A107" s="38" t="s">
        <v>83</v>
      </c>
      <c r="B107" s="37" t="s">
        <v>130</v>
      </c>
      <c r="C107" s="37" t="s">
        <v>111</v>
      </c>
      <c r="D107" s="39">
        <v>1.1735662775064881E-2</v>
      </c>
      <c r="E107" s="36"/>
      <c r="F107" s="49" t="s">
        <v>83</v>
      </c>
      <c r="G107" s="43">
        <v>96683.964999999997</v>
      </c>
      <c r="H107" s="44">
        <v>7.51E-2</v>
      </c>
      <c r="I107" s="39">
        <f t="shared" si="109"/>
        <v>1.1735662775064881E-2</v>
      </c>
      <c r="J107" s="88"/>
      <c r="K107" s="45">
        <f t="shared" si="93"/>
        <v>103944.93077149999</v>
      </c>
      <c r="L107" s="50">
        <f t="shared" si="110"/>
        <v>105164.79342621178</v>
      </c>
      <c r="M107" s="50">
        <f t="shared" si="94"/>
        <v>106398.97197767116</v>
      </c>
      <c r="N107" s="50">
        <f t="shared" si="95"/>
        <v>107647.63443241468</v>
      </c>
      <c r="O107" s="50">
        <f t="shared" si="96"/>
        <v>108910.95076864696</v>
      </c>
      <c r="P107" s="50">
        <f t="shared" si="97"/>
        <v>110189.09295937949</v>
      </c>
      <c r="Q107" s="50">
        <f t="shared" si="98"/>
        <v>111482.23499584103</v>
      </c>
      <c r="R107" s="50">
        <f t="shared" si="99"/>
        <v>112790.55291116275</v>
      </c>
      <c r="S107" s="50">
        <f t="shared" si="100"/>
        <v>114114.22480434127</v>
      </c>
      <c r="T107" s="50">
        <f t="shared" si="101"/>
        <v>115453.43086448296</v>
      </c>
      <c r="U107" s="50">
        <f t="shared" si="102"/>
        <v>116808.3533953328</v>
      </c>
      <c r="V107" s="50">
        <f t="shared" si="103"/>
        <v>118179.17684009104</v>
      </c>
      <c r="W107" s="46">
        <f t="shared" si="104"/>
        <v>119566.0878065211</v>
      </c>
      <c r="X107" s="50"/>
      <c r="Y107" s="50"/>
      <c r="Z107" s="50"/>
      <c r="AA107" s="50"/>
      <c r="AB107" s="50"/>
      <c r="AD107" s="45">
        <f>VLOOKUP(F107,'Mass Equivalents - States, Opt1'!$A$8:$K$56,11,0)</f>
        <v>0</v>
      </c>
      <c r="AE107" s="46">
        <f t="shared" si="111"/>
        <v>0</v>
      </c>
      <c r="AF107" s="50"/>
      <c r="AG107" s="49" t="s">
        <v>83</v>
      </c>
      <c r="AH107" s="50">
        <f t="shared" si="112"/>
        <v>10169294.03284128</v>
      </c>
      <c r="AI107" s="50">
        <f t="shared" si="105"/>
        <v>11508500.09298297</v>
      </c>
      <c r="AJ107" s="50">
        <f t="shared" si="106"/>
        <v>12863422.623832813</v>
      </c>
      <c r="AK107" s="50">
        <f t="shared" si="107"/>
        <v>14234246.068591049</v>
      </c>
      <c r="AL107" s="46">
        <f t="shared" si="108"/>
        <v>15621157.035021111</v>
      </c>
      <c r="AM107" s="50"/>
      <c r="AN107" s="50"/>
      <c r="AO107" s="50"/>
      <c r="AP107" s="50"/>
      <c r="AQ107" s="50"/>
    </row>
    <row r="108" spans="1:43" x14ac:dyDescent="0.25">
      <c r="A108" s="38" t="s">
        <v>84</v>
      </c>
      <c r="B108" s="37" t="s">
        <v>84</v>
      </c>
      <c r="C108" s="37" t="s">
        <v>117</v>
      </c>
      <c r="D108" s="39">
        <v>9.3793535362818314E-3</v>
      </c>
      <c r="E108" s="36"/>
      <c r="F108" s="49" t="s">
        <v>84</v>
      </c>
      <c r="G108" s="43">
        <v>366153.82</v>
      </c>
      <c r="H108" s="44">
        <v>7.51E-2</v>
      </c>
      <c r="I108" s="39">
        <f t="shared" si="109"/>
        <v>9.3793535362818314E-3</v>
      </c>
      <c r="J108" s="88"/>
      <c r="K108" s="45">
        <f t="shared" si="93"/>
        <v>393651.97188199998</v>
      </c>
      <c r="L108" s="50">
        <f t="shared" si="110"/>
        <v>397344.17289653572</v>
      </c>
      <c r="M108" s="50">
        <f t="shared" si="94"/>
        <v>401071.00436971383</v>
      </c>
      <c r="N108" s="50">
        <f t="shared" si="95"/>
        <v>404832.79111284902</v>
      </c>
      <c r="O108" s="50">
        <f t="shared" si="96"/>
        <v>408629.86098377616</v>
      </c>
      <c r="P108" s="50">
        <f t="shared" si="97"/>
        <v>412462.54491542472</v>
      </c>
      <c r="Q108" s="50">
        <f t="shared" si="98"/>
        <v>416331.17694466101</v>
      </c>
      <c r="R108" s="50">
        <f t="shared" si="99"/>
        <v>420236.0942414013</v>
      </c>
      <c r="S108" s="50">
        <f t="shared" si="100"/>
        <v>424177.63713799766</v>
      </c>
      <c r="T108" s="50">
        <f t="shared" si="101"/>
        <v>428156.14915889961</v>
      </c>
      <c r="U108" s="50">
        <f t="shared" si="102"/>
        <v>432171.97705059394</v>
      </c>
      <c r="V108" s="50">
        <f t="shared" si="103"/>
        <v>436225.47081182536</v>
      </c>
      <c r="W108" s="46">
        <f t="shared" si="104"/>
        <v>440316.98372410046</v>
      </c>
      <c r="X108" s="50"/>
      <c r="Y108" s="50"/>
      <c r="Z108" s="50"/>
      <c r="AA108" s="50"/>
      <c r="AB108" s="50"/>
      <c r="AD108" s="45">
        <f>VLOOKUP(F108,'Mass Equivalents - States, Opt1'!$A$8:$K$56,11,0)</f>
        <v>0</v>
      </c>
      <c r="AE108" s="46">
        <f t="shared" si="111"/>
        <v>0</v>
      </c>
      <c r="AF108" s="50"/>
      <c r="AG108" s="49" t="s">
        <v>84</v>
      </c>
      <c r="AH108" s="50">
        <f t="shared" si="112"/>
        <v>30525665.25599768</v>
      </c>
      <c r="AI108" s="50">
        <f t="shared" si="105"/>
        <v>34504177.276899628</v>
      </c>
      <c r="AJ108" s="50">
        <f t="shared" si="106"/>
        <v>38520005.168593958</v>
      </c>
      <c r="AK108" s="50">
        <f t="shared" si="107"/>
        <v>42573498.92982538</v>
      </c>
      <c r="AL108" s="46">
        <f t="shared" si="108"/>
        <v>46665011.842100471</v>
      </c>
      <c r="AM108" s="50"/>
      <c r="AN108" s="50"/>
      <c r="AO108" s="50"/>
      <c r="AP108" s="50"/>
      <c r="AQ108" s="50"/>
    </row>
    <row r="109" spans="1:43" x14ac:dyDescent="0.25">
      <c r="A109" s="38" t="s">
        <v>85</v>
      </c>
      <c r="B109" s="37" t="s">
        <v>126</v>
      </c>
      <c r="C109" s="37" t="s">
        <v>107</v>
      </c>
      <c r="D109" s="39">
        <v>1.1548387384267E-2</v>
      </c>
      <c r="E109" s="36"/>
      <c r="F109" s="49" t="s">
        <v>85</v>
      </c>
      <c r="G109" s="43">
        <v>29942.98</v>
      </c>
      <c r="H109" s="44">
        <v>7.51E-2</v>
      </c>
      <c r="I109" s="39">
        <f t="shared" si="109"/>
        <v>1.1548387384267E-2</v>
      </c>
      <c r="J109" s="88"/>
      <c r="K109" s="45">
        <f t="shared" si="93"/>
        <v>32191.697797999997</v>
      </c>
      <c r="L109" s="50">
        <f t="shared" si="110"/>
        <v>32563.459994728557</v>
      </c>
      <c r="M109" s="50">
        <f t="shared" si="94"/>
        <v>32939.515445319761</v>
      </c>
      <c r="N109" s="50">
        <f t="shared" si="95"/>
        <v>33319.913729932363</v>
      </c>
      <c r="O109" s="50">
        <f t="shared" si="96"/>
        <v>33704.705001295981</v>
      </c>
      <c r="P109" s="50">
        <f t="shared" si="97"/>
        <v>34093.939991323386</v>
      </c>
      <c r="Q109" s="50">
        <f t="shared" si="98"/>
        <v>34487.670017799144</v>
      </c>
      <c r="R109" s="50">
        <f t="shared" si="99"/>
        <v>34885.946991145458</v>
      </c>
      <c r="S109" s="50">
        <f t="shared" si="100"/>
        <v>35288.823421266206</v>
      </c>
      <c r="T109" s="50">
        <f t="shared" si="101"/>
        <v>35696.35242446998</v>
      </c>
      <c r="U109" s="50">
        <f t="shared" si="102"/>
        <v>36108.587730473075</v>
      </c>
      <c r="V109" s="50">
        <f t="shared" si="103"/>
        <v>36525.58368948337</v>
      </c>
      <c r="W109" s="46">
        <f t="shared" si="104"/>
        <v>36947.395279365992</v>
      </c>
      <c r="X109" s="50"/>
      <c r="Y109" s="50"/>
      <c r="Z109" s="50"/>
      <c r="AA109" s="50"/>
      <c r="AB109" s="50"/>
      <c r="AD109" s="45">
        <f>VLOOKUP(F109,'Mass Equivalents - States, Opt1'!$A$8:$K$56,11,0)</f>
        <v>0</v>
      </c>
      <c r="AE109" s="46">
        <f t="shared" si="111"/>
        <v>0</v>
      </c>
      <c r="AF109" s="50"/>
      <c r="AG109" s="49" t="s">
        <v>85</v>
      </c>
      <c r="AH109" s="50">
        <f t="shared" si="112"/>
        <v>3097125.6232662089</v>
      </c>
      <c r="AI109" s="50">
        <f t="shared" si="105"/>
        <v>3504654.6264699828</v>
      </c>
      <c r="AJ109" s="50">
        <f t="shared" si="106"/>
        <v>3916889.9324730774</v>
      </c>
      <c r="AK109" s="50">
        <f t="shared" si="107"/>
        <v>4333885.891483373</v>
      </c>
      <c r="AL109" s="46">
        <f t="shared" si="108"/>
        <v>4755697.4813659946</v>
      </c>
      <c r="AM109" s="50"/>
      <c r="AN109" s="50"/>
      <c r="AO109" s="50"/>
      <c r="AP109" s="50"/>
      <c r="AQ109" s="50"/>
    </row>
    <row r="110" spans="1:43" x14ac:dyDescent="0.25">
      <c r="A110" s="38" t="s">
        <v>86</v>
      </c>
      <c r="B110" s="37" t="s">
        <v>134</v>
      </c>
      <c r="C110" s="37" t="s">
        <v>115</v>
      </c>
      <c r="D110" s="39">
        <v>1.1522424872645765E-2</v>
      </c>
      <c r="E110" s="36"/>
      <c r="F110" s="49" t="s">
        <v>86</v>
      </c>
      <c r="G110" s="43">
        <v>107824.908</v>
      </c>
      <c r="H110" s="44">
        <v>7.51E-2</v>
      </c>
      <c r="I110" s="39">
        <f t="shared" si="109"/>
        <v>1.1522424872645765E-2</v>
      </c>
      <c r="J110" s="88"/>
      <c r="K110" s="45">
        <f t="shared" si="93"/>
        <v>115922.55859079999</v>
      </c>
      <c r="L110" s="50">
        <f t="shared" si="110"/>
        <v>117258.26756320737</v>
      </c>
      <c r="M110" s="50">
        <f t="shared" si="94"/>
        <v>118609.36714190102</v>
      </c>
      <c r="N110" s="50">
        <f t="shared" si="95"/>
        <v>119976.03466398563</v>
      </c>
      <c r="O110" s="50">
        <f t="shared" si="96"/>
        <v>121358.44950991934</v>
      </c>
      <c r="P110" s="50">
        <f t="shared" si="97"/>
        <v>122756.79312705816</v>
      </c>
      <c r="Q110" s="50">
        <f t="shared" si="98"/>
        <v>124171.24905347161</v>
      </c>
      <c r="R110" s="50">
        <f t="shared" si="99"/>
        <v>125602.00294203282</v>
      </c>
      <c r="S110" s="50">
        <f t="shared" si="100"/>
        <v>127049.24258478623</v>
      </c>
      <c r="T110" s="50">
        <f t="shared" si="101"/>
        <v>128513.15793759598</v>
      </c>
      <c r="U110" s="50">
        <f t="shared" si="102"/>
        <v>129993.9411450784</v>
      </c>
      <c r="V110" s="50">
        <f t="shared" si="103"/>
        <v>131491.78656582171</v>
      </c>
      <c r="W110" s="46">
        <f t="shared" si="104"/>
        <v>133006.89079789637</v>
      </c>
      <c r="X110" s="50"/>
      <c r="Y110" s="50"/>
      <c r="Z110" s="50"/>
      <c r="AA110" s="50"/>
      <c r="AB110" s="50"/>
      <c r="AD110" s="45">
        <f>VLOOKUP(F110,'Mass Equivalents - States, Opt1'!$A$8:$K$56,11,0)</f>
        <v>1928</v>
      </c>
      <c r="AE110" s="46">
        <f t="shared" si="111"/>
        <v>9289.1039999999994</v>
      </c>
      <c r="AF110" s="50"/>
      <c r="AG110" s="49" t="s">
        <v>86</v>
      </c>
      <c r="AH110" s="50">
        <f t="shared" si="112"/>
        <v>1837579.9939862408</v>
      </c>
      <c r="AI110" s="50">
        <f t="shared" si="105"/>
        <v>3301495.3467959929</v>
      </c>
      <c r="AJ110" s="50">
        <f t="shared" si="106"/>
        <v>4782278.5542784045</v>
      </c>
      <c r="AK110" s="50">
        <f t="shared" si="107"/>
        <v>6280123.9750217134</v>
      </c>
      <c r="AL110" s="46">
        <f t="shared" si="108"/>
        <v>7795228.2070963774</v>
      </c>
      <c r="AM110" s="50"/>
      <c r="AN110" s="50"/>
      <c r="AO110" s="50"/>
      <c r="AP110" s="50"/>
      <c r="AQ110" s="50"/>
    </row>
    <row r="111" spans="1:43" x14ac:dyDescent="0.25">
      <c r="A111" s="38" t="s">
        <v>87</v>
      </c>
      <c r="B111" s="37" t="s">
        <v>126</v>
      </c>
      <c r="C111" s="37" t="s">
        <v>107</v>
      </c>
      <c r="D111" s="39">
        <v>1.1548387384267E-2</v>
      </c>
      <c r="E111" s="36"/>
      <c r="F111" s="49" t="s">
        <v>87</v>
      </c>
      <c r="G111" s="43">
        <v>93230.115000000005</v>
      </c>
      <c r="H111" s="44">
        <v>7.51E-2</v>
      </c>
      <c r="I111" s="39">
        <f t="shared" si="109"/>
        <v>1.1548387384267E-2</v>
      </c>
      <c r="J111" s="88"/>
      <c r="K111" s="45">
        <f t="shared" si="93"/>
        <v>100231.6966365</v>
      </c>
      <c r="L111" s="50">
        <f t="shared" si="110"/>
        <v>101389.21109744062</v>
      </c>
      <c r="M111" s="50">
        <f t="shared" si="94"/>
        <v>102560.09298377909</v>
      </c>
      <c r="N111" s="50">
        <f t="shared" si="95"/>
        <v>103744.49666772221</v>
      </c>
      <c r="O111" s="50">
        <f t="shared" si="96"/>
        <v>104942.57830422686</v>
      </c>
      <c r="P111" s="50">
        <f t="shared" si="97"/>
        <v>106154.49585158784</v>
      </c>
      <c r="Q111" s="50">
        <f t="shared" si="98"/>
        <v>107380.40909226354</v>
      </c>
      <c r="R111" s="50">
        <f t="shared" si="99"/>
        <v>108620.47965394206</v>
      </c>
      <c r="S111" s="50">
        <f t="shared" si="100"/>
        <v>109874.87103085069</v>
      </c>
      <c r="T111" s="50">
        <f t="shared" si="101"/>
        <v>111143.74860531132</v>
      </c>
      <c r="U111" s="50">
        <f t="shared" si="102"/>
        <v>112427.27966954504</v>
      </c>
      <c r="V111" s="50">
        <f t="shared" si="103"/>
        <v>113725.63344772827</v>
      </c>
      <c r="W111" s="46">
        <f t="shared" si="104"/>
        <v>115038.98111830378</v>
      </c>
      <c r="X111" s="50"/>
      <c r="Y111" s="50"/>
      <c r="Z111" s="50"/>
      <c r="AA111" s="50"/>
      <c r="AB111" s="50"/>
      <c r="AD111" s="45">
        <f>VLOOKUP(F111,'Mass Equivalents - States, Opt1'!$A$8:$K$56,11,0)</f>
        <v>0</v>
      </c>
      <c r="AE111" s="46">
        <f t="shared" si="111"/>
        <v>0</v>
      </c>
      <c r="AF111" s="50"/>
      <c r="AG111" s="49" t="s">
        <v>87</v>
      </c>
      <c r="AH111" s="50">
        <f t="shared" si="112"/>
        <v>9643174.3943506889</v>
      </c>
      <c r="AI111" s="50">
        <f t="shared" si="105"/>
        <v>10912051.968811328</v>
      </c>
      <c r="AJ111" s="50">
        <f t="shared" si="106"/>
        <v>12195583.03304504</v>
      </c>
      <c r="AK111" s="50">
        <f t="shared" si="107"/>
        <v>13493936.811228268</v>
      </c>
      <c r="AL111" s="46">
        <f t="shared" si="108"/>
        <v>14807284.481803784</v>
      </c>
      <c r="AM111" s="50"/>
      <c r="AN111" s="50"/>
      <c r="AO111" s="50"/>
      <c r="AP111" s="50"/>
      <c r="AQ111" s="50"/>
    </row>
    <row r="112" spans="1:43" x14ac:dyDescent="0.25">
      <c r="A112" s="38" t="s">
        <v>88</v>
      </c>
      <c r="B112" s="37" t="s">
        <v>127</v>
      </c>
      <c r="C112" s="37" t="s">
        <v>108</v>
      </c>
      <c r="D112" s="39">
        <v>5.4307049398412133E-3</v>
      </c>
      <c r="E112" s="36"/>
      <c r="F112" s="49" t="s">
        <v>88</v>
      </c>
      <c r="G112" s="43">
        <v>30871.787</v>
      </c>
      <c r="H112" s="44">
        <v>7.51E-2</v>
      </c>
      <c r="I112" s="39">
        <f t="shared" si="109"/>
        <v>5.4307049398412133E-3</v>
      </c>
      <c r="J112" s="88"/>
      <c r="K112" s="45">
        <f t="shared" si="93"/>
        <v>33190.258203699996</v>
      </c>
      <c r="L112" s="50">
        <f t="shared" si="110"/>
        <v>33370.504702881437</v>
      </c>
      <c r="M112" s="50">
        <f t="shared" si="94"/>
        <v>33551.730067616372</v>
      </c>
      <c r="N112" s="50">
        <f t="shared" si="95"/>
        <v>33733.939613834795</v>
      </c>
      <c r="O112" s="50">
        <f t="shared" si="96"/>
        <v>33917.138686335951</v>
      </c>
      <c r="P112" s="50">
        <f t="shared" si="97"/>
        <v>34101.332658945117</v>
      </c>
      <c r="Q112" s="50">
        <f t="shared" si="98"/>
        <v>34286.526934671216</v>
      </c>
      <c r="R112" s="50">
        <f t="shared" si="99"/>
        <v>34472.726945865332</v>
      </c>
      <c r="S112" s="50">
        <f t="shared" si="100"/>
        <v>34659.938154380041</v>
      </c>
      <c r="T112" s="50">
        <f t="shared" si="101"/>
        <v>34848.166051729626</v>
      </c>
      <c r="U112" s="50">
        <f t="shared" si="102"/>
        <v>35037.416159251159</v>
      </c>
      <c r="V112" s="50">
        <f t="shared" si="103"/>
        <v>35227.69402826648</v>
      </c>
      <c r="W112" s="46">
        <f t="shared" si="104"/>
        <v>35419.005240245002</v>
      </c>
      <c r="X112" s="50"/>
      <c r="Y112" s="50"/>
      <c r="Z112" s="50"/>
      <c r="AA112" s="50"/>
      <c r="AB112" s="50"/>
      <c r="AD112" s="45">
        <f>VLOOKUP(F112,'Mass Equivalents - States, Opt1'!$A$8:$K$56,11,0)</f>
        <v>0</v>
      </c>
      <c r="AE112" s="46">
        <f t="shared" si="111"/>
        <v>0</v>
      </c>
      <c r="AF112" s="50"/>
      <c r="AG112" s="49" t="s">
        <v>88</v>
      </c>
      <c r="AH112" s="50">
        <f t="shared" si="112"/>
        <v>1469679.9506800454</v>
      </c>
      <c r="AI112" s="50">
        <f t="shared" si="105"/>
        <v>1657907.8480296303</v>
      </c>
      <c r="AJ112" s="50">
        <f t="shared" si="106"/>
        <v>1847157.9555511635</v>
      </c>
      <c r="AK112" s="50">
        <f t="shared" si="107"/>
        <v>2037435.8245664844</v>
      </c>
      <c r="AL112" s="46">
        <f t="shared" si="108"/>
        <v>2228747.0365450061</v>
      </c>
      <c r="AM112" s="50"/>
      <c r="AN112" s="50"/>
      <c r="AO112" s="50"/>
      <c r="AP112" s="50"/>
      <c r="AQ112" s="50"/>
    </row>
    <row r="113" spans="1:43" x14ac:dyDescent="0.25">
      <c r="A113" s="38" t="s">
        <v>89</v>
      </c>
      <c r="B113" s="37" t="s">
        <v>136</v>
      </c>
      <c r="C113" s="37" t="s">
        <v>118</v>
      </c>
      <c r="D113" s="39">
        <v>4.9392370764254068E-3</v>
      </c>
      <c r="E113" s="36"/>
      <c r="F113" s="49" t="s">
        <v>89</v>
      </c>
      <c r="G113" s="43">
        <v>69541.974000000002</v>
      </c>
      <c r="H113" s="44">
        <v>7.51E-2</v>
      </c>
      <c r="I113" s="39">
        <f t="shared" si="109"/>
        <v>4.9392370764254068E-3</v>
      </c>
      <c r="J113" s="88"/>
      <c r="K113" s="45">
        <f t="shared" si="93"/>
        <v>74764.576247399993</v>
      </c>
      <c r="L113" s="50">
        <f t="shared" si="110"/>
        <v>75133.856214404383</v>
      </c>
      <c r="M113" s="50">
        <f t="shared" si="94"/>
        <v>75504.960142713389</v>
      </c>
      <c r="N113" s="50">
        <f t="shared" si="95"/>
        <v>75877.897041304299</v>
      </c>
      <c r="O113" s="50">
        <f t="shared" si="96"/>
        <v>76252.675963651898</v>
      </c>
      <c r="P113" s="50">
        <f t="shared" si="97"/>
        <v>76629.306007948224</v>
      </c>
      <c r="Q113" s="50">
        <f t="shared" si="98"/>
        <v>77007.796317323431</v>
      </c>
      <c r="R113" s="50">
        <f t="shared" si="99"/>
        <v>77388.156080067769</v>
      </c>
      <c r="S113" s="50">
        <f t="shared" si="100"/>
        <v>77770.394529854631</v>
      </c>
      <c r="T113" s="50">
        <f t="shared" si="101"/>
        <v>78154.520945964716</v>
      </c>
      <c r="U113" s="50">
        <f t="shared" si="102"/>
        <v>78540.544653511286</v>
      </c>
      <c r="V113" s="50">
        <f t="shared" si="103"/>
        <v>78928.475023666557</v>
      </c>
      <c r="W113" s="46">
        <f t="shared" si="104"/>
        <v>79318.321473889169</v>
      </c>
      <c r="X113" s="50"/>
      <c r="Y113" s="50"/>
      <c r="Z113" s="50"/>
      <c r="AA113" s="50"/>
      <c r="AB113" s="50"/>
      <c r="AD113" s="45">
        <f>VLOOKUP(F113,'Mass Equivalents - States, Opt1'!$A$8:$K$56,11,0)</f>
        <v>0</v>
      </c>
      <c r="AE113" s="46">
        <f t="shared" si="111"/>
        <v>0</v>
      </c>
      <c r="AF113" s="50"/>
      <c r="AG113" s="49" t="s">
        <v>89</v>
      </c>
      <c r="AH113" s="50">
        <f t="shared" si="112"/>
        <v>3005818.2824546383</v>
      </c>
      <c r="AI113" s="50">
        <f t="shared" si="105"/>
        <v>3389944.6985647227</v>
      </c>
      <c r="AJ113" s="50">
        <f t="shared" si="106"/>
        <v>3775968.406111293</v>
      </c>
      <c r="AK113" s="50">
        <f t="shared" si="107"/>
        <v>4163898.7762665637</v>
      </c>
      <c r="AL113" s="46">
        <f t="shared" si="108"/>
        <v>4553745.226489176</v>
      </c>
      <c r="AM113" s="50"/>
      <c r="AN113" s="50"/>
      <c r="AO113" s="50"/>
      <c r="AP113" s="50"/>
      <c r="AQ113" s="50"/>
    </row>
    <row r="114" spans="1:43" ht="15.75" thickBot="1" x14ac:dyDescent="0.3">
      <c r="A114" s="40" t="s">
        <v>90</v>
      </c>
      <c r="B114" s="41" t="s">
        <v>126</v>
      </c>
      <c r="C114" s="41" t="s">
        <v>107</v>
      </c>
      <c r="D114" s="42">
        <v>1.1548387384267E-2</v>
      </c>
      <c r="E114" s="36"/>
      <c r="F114" s="61" t="s">
        <v>90</v>
      </c>
      <c r="G114" s="86">
        <v>16994.958999999999</v>
      </c>
      <c r="H114" s="87">
        <v>7.51E-2</v>
      </c>
      <c r="I114" s="42">
        <f t="shared" si="109"/>
        <v>1.1548387384267E-2</v>
      </c>
      <c r="J114" s="88"/>
      <c r="K114" s="45">
        <f t="shared" si="93"/>
        <v>18271.280420899999</v>
      </c>
      <c r="L114" s="50">
        <f t="shared" si="110"/>
        <v>18482.284245207124</v>
      </c>
      <c r="M114" s="50">
        <f t="shared" si="94"/>
        <v>18695.724823416909</v>
      </c>
      <c r="N114" s="50">
        <f t="shared" si="95"/>
        <v>18911.630296107385</v>
      </c>
      <c r="O114" s="50">
        <f t="shared" si="96"/>
        <v>19130.029128834874</v>
      </c>
      <c r="P114" s="50">
        <f t="shared" si="97"/>
        <v>19350.950115886972</v>
      </c>
      <c r="Q114" s="50">
        <f t="shared" si="98"/>
        <v>19574.422384078862</v>
      </c>
      <c r="R114" s="50">
        <f t="shared" si="99"/>
        <v>19800.475396593472</v>
      </c>
      <c r="S114" s="50">
        <f t="shared" si="100"/>
        <v>20029.138956865983</v>
      </c>
      <c r="T114" s="50">
        <f t="shared" si="101"/>
        <v>20260.443212513186</v>
      </c>
      <c r="U114" s="50">
        <f t="shared" si="102"/>
        <v>20494.41865930823</v>
      </c>
      <c r="V114" s="50">
        <f t="shared" si="103"/>
        <v>20731.096145201271</v>
      </c>
      <c r="W114" s="46">
        <f t="shared" si="104"/>
        <v>20970.506874386538</v>
      </c>
      <c r="X114" s="50"/>
      <c r="Y114" s="50"/>
      <c r="Z114" s="50"/>
      <c r="AA114" s="50"/>
      <c r="AB114" s="50"/>
      <c r="AD114" s="45">
        <f>VLOOKUP(F114,'Mass Equivalents - States, Opt1'!$A$8:$K$56,11,0)</f>
        <v>220</v>
      </c>
      <c r="AE114" s="46">
        <f t="shared" si="111"/>
        <v>1059.96</v>
      </c>
      <c r="AF114" s="50"/>
      <c r="AG114" s="49" t="s">
        <v>90</v>
      </c>
      <c r="AH114" s="50">
        <f t="shared" si="112"/>
        <v>697898.53596598457</v>
      </c>
      <c r="AI114" s="50">
        <f t="shared" si="105"/>
        <v>929202.79161318741</v>
      </c>
      <c r="AJ114" s="50">
        <f t="shared" si="106"/>
        <v>1163178.2384082316</v>
      </c>
      <c r="AK114" s="50">
        <f t="shared" si="107"/>
        <v>1399855.7243012718</v>
      </c>
      <c r="AL114" s="46">
        <f t="shared" si="108"/>
        <v>1639266.453486539</v>
      </c>
      <c r="AM114" s="50"/>
      <c r="AN114" s="50"/>
      <c r="AO114" s="50"/>
      <c r="AP114" s="50"/>
      <c r="AQ114" s="50"/>
    </row>
    <row r="115" spans="1:43" x14ac:dyDescent="0.25">
      <c r="A115" s="123" t="s">
        <v>186</v>
      </c>
      <c r="B115" s="143" t="s">
        <v>197</v>
      </c>
      <c r="C115" s="143" t="s">
        <v>197</v>
      </c>
      <c r="D115" s="144">
        <v>0</v>
      </c>
      <c r="F115" s="123" t="s">
        <v>186</v>
      </c>
      <c r="G115" s="125">
        <v>18150.330000000002</v>
      </c>
      <c r="H115" s="148">
        <v>7.51E-2</v>
      </c>
      <c r="I115" s="144">
        <v>0</v>
      </c>
      <c r="K115" s="128">
        <f t="shared" ref="K115:K119" si="113">G115*(1+$H115)</f>
        <v>19513.419783000001</v>
      </c>
      <c r="L115" s="125">
        <f t="shared" ref="L115:L119" si="114">K115*(1+$I115)</f>
        <v>19513.419783000001</v>
      </c>
      <c r="M115" s="125">
        <f t="shared" ref="M115:M119" si="115">L115*(1+$I115)</f>
        <v>19513.419783000001</v>
      </c>
      <c r="N115" s="125">
        <f t="shared" ref="N115:N119" si="116">M115*(1+$I115)</f>
        <v>19513.419783000001</v>
      </c>
      <c r="O115" s="125">
        <f t="shared" ref="O115:O119" si="117">N115*(1+$I115)</f>
        <v>19513.419783000001</v>
      </c>
      <c r="P115" s="125">
        <f t="shared" ref="P115:P119" si="118">O115*(1+$I115)</f>
        <v>19513.419783000001</v>
      </c>
      <c r="Q115" s="125">
        <f t="shared" ref="Q115:Q119" si="119">P115*(1+$I115)</f>
        <v>19513.419783000001</v>
      </c>
      <c r="R115" s="125">
        <f t="shared" ref="R115:R119" si="120">Q115*(1+$I115)</f>
        <v>19513.419783000001</v>
      </c>
      <c r="S115" s="125">
        <f t="shared" ref="S115:S119" si="121">R115*(1+$I115)</f>
        <v>19513.419783000001</v>
      </c>
      <c r="T115" s="125">
        <f t="shared" ref="T115:T119" si="122">S115*(1+$I115)</f>
        <v>19513.419783000001</v>
      </c>
      <c r="U115" s="125">
        <f t="shared" ref="U115:U119" si="123">T115*(1+$I115)</f>
        <v>19513.419783000001</v>
      </c>
      <c r="V115" s="125">
        <f t="shared" ref="V115:V119" si="124">U115*(1+$I115)</f>
        <v>19513.419783000001</v>
      </c>
      <c r="W115" s="129">
        <f t="shared" ref="W115:W119" si="125">V115*(1+$I115)</f>
        <v>19513.419783000001</v>
      </c>
      <c r="AD115" s="128">
        <f>VLOOKUP($A115,'Mass Equivalents - AoIC, PR, GU'!$A$9:$K$14,11,0)</f>
        <v>0</v>
      </c>
      <c r="AE115" s="129">
        <f t="shared" ref="AE115:AE119" si="126">AD115*8760*0.55*10^-3</f>
        <v>0</v>
      </c>
      <c r="AG115" s="123" t="s">
        <v>186</v>
      </c>
      <c r="AH115" s="125">
        <f t="shared" ref="AH115:AH119" si="127">(S115-$K115-$AE115)*10^3</f>
        <v>0</v>
      </c>
      <c r="AI115" s="125">
        <f t="shared" ref="AI115:AI119" si="128">(T115-$K115-$AE115)*10^3</f>
        <v>0</v>
      </c>
      <c r="AJ115" s="125">
        <f t="shared" ref="AJ115:AJ119" si="129">(U115-$K115-$AE115)*10^3</f>
        <v>0</v>
      </c>
      <c r="AK115" s="125">
        <f t="shared" ref="AK115:AK119" si="130">(V115-$K115-$AE115)*10^3</f>
        <v>0</v>
      </c>
      <c r="AL115" s="129">
        <f t="shared" ref="AL115:AL119" si="131">(W115-$K115-$AE115)*10^3</f>
        <v>0</v>
      </c>
      <c r="AM115" s="34"/>
      <c r="AN115" s="34"/>
      <c r="AO115" s="34"/>
      <c r="AP115" s="34"/>
      <c r="AQ115" s="34"/>
    </row>
    <row r="116" spans="1:43" ht="15.75" thickBot="1" x14ac:dyDescent="0.3">
      <c r="A116" s="61" t="s">
        <v>187</v>
      </c>
      <c r="B116" s="145" t="s">
        <v>197</v>
      </c>
      <c r="C116" s="145" t="s">
        <v>197</v>
      </c>
      <c r="D116" s="146">
        <v>0</v>
      </c>
      <c r="F116" s="61" t="s">
        <v>187</v>
      </c>
      <c r="G116" s="51">
        <v>1563.4750000000001</v>
      </c>
      <c r="H116" s="142">
        <v>7.51E-2</v>
      </c>
      <c r="I116" s="146">
        <v>0</v>
      </c>
      <c r="K116" s="45">
        <f t="shared" si="113"/>
        <v>1680.8919725000001</v>
      </c>
      <c r="L116" s="50">
        <f t="shared" si="114"/>
        <v>1680.8919725000001</v>
      </c>
      <c r="M116" s="50">
        <f t="shared" si="115"/>
        <v>1680.8919725000001</v>
      </c>
      <c r="N116" s="50">
        <f t="shared" si="116"/>
        <v>1680.8919725000001</v>
      </c>
      <c r="O116" s="50">
        <f t="shared" si="117"/>
        <v>1680.8919725000001</v>
      </c>
      <c r="P116" s="50">
        <f t="shared" si="118"/>
        <v>1680.8919725000001</v>
      </c>
      <c r="Q116" s="50">
        <f t="shared" si="119"/>
        <v>1680.8919725000001</v>
      </c>
      <c r="R116" s="50">
        <f t="shared" si="120"/>
        <v>1680.8919725000001</v>
      </c>
      <c r="S116" s="50">
        <f t="shared" si="121"/>
        <v>1680.8919725000001</v>
      </c>
      <c r="T116" s="50">
        <f t="shared" si="122"/>
        <v>1680.8919725000001</v>
      </c>
      <c r="U116" s="50">
        <f t="shared" si="123"/>
        <v>1680.8919725000001</v>
      </c>
      <c r="V116" s="50">
        <f t="shared" si="124"/>
        <v>1680.8919725000001</v>
      </c>
      <c r="W116" s="46">
        <f t="shared" si="125"/>
        <v>1680.8919725000001</v>
      </c>
      <c r="AD116" s="47">
        <f>VLOOKUP($A116,'Mass Equivalents - AoIC, PR, GU'!$A$9:$K$14,11,0)</f>
        <v>0</v>
      </c>
      <c r="AE116" s="46">
        <f t="shared" si="126"/>
        <v>0</v>
      </c>
      <c r="AG116" s="49" t="s">
        <v>187</v>
      </c>
      <c r="AH116" s="50">
        <f t="shared" si="127"/>
        <v>0</v>
      </c>
      <c r="AI116" s="50">
        <f t="shared" si="128"/>
        <v>0</v>
      </c>
      <c r="AJ116" s="50">
        <f t="shared" si="129"/>
        <v>0</v>
      </c>
      <c r="AK116" s="50">
        <f t="shared" si="130"/>
        <v>0</v>
      </c>
      <c r="AL116" s="46">
        <f t="shared" si="131"/>
        <v>0</v>
      </c>
    </row>
    <row r="117" spans="1:43" x14ac:dyDescent="0.25">
      <c r="A117" s="123" t="s">
        <v>188</v>
      </c>
      <c r="B117" s="140" t="s">
        <v>120</v>
      </c>
      <c r="C117" s="140" t="s">
        <v>100</v>
      </c>
      <c r="D117" s="147">
        <v>1.3247413603107328E-2</v>
      </c>
      <c r="F117" s="49" t="s">
        <v>188</v>
      </c>
      <c r="G117" s="50">
        <v>676.01400000000001</v>
      </c>
      <c r="H117" s="141">
        <v>7.51E-2</v>
      </c>
      <c r="I117" s="147">
        <v>1.3247413603107328E-2</v>
      </c>
      <c r="K117" s="128">
        <f t="shared" si="113"/>
        <v>726.78265139999996</v>
      </c>
      <c r="L117" s="125">
        <f t="shared" si="114"/>
        <v>736.41064178265879</v>
      </c>
      <c r="M117" s="125">
        <f t="shared" si="115"/>
        <v>746.16617813608343</v>
      </c>
      <c r="N117" s="125">
        <f t="shared" si="116"/>
        <v>756.05095011450203</v>
      </c>
      <c r="O117" s="125">
        <f t="shared" si="117"/>
        <v>766.06666975569112</v>
      </c>
      <c r="P117" s="125">
        <f t="shared" si="118"/>
        <v>776.21507177749982</v>
      </c>
      <c r="Q117" s="125">
        <f t="shared" si="119"/>
        <v>786.49791387830203</v>
      </c>
      <c r="R117" s="125">
        <f t="shared" si="120"/>
        <v>796.91697704142894</v>
      </c>
      <c r="S117" s="125">
        <f t="shared" si="121"/>
        <v>807.47406584363478</v>
      </c>
      <c r="T117" s="125">
        <f t="shared" si="122"/>
        <v>818.17100876764812</v>
      </c>
      <c r="U117" s="125">
        <f t="shared" si="123"/>
        <v>829.00965851886474</v>
      </c>
      <c r="V117" s="125">
        <f t="shared" si="124"/>
        <v>839.99189234623486</v>
      </c>
      <c r="W117" s="129">
        <f t="shared" si="125"/>
        <v>851.11961236740228</v>
      </c>
      <c r="AD117" s="128">
        <f>VLOOKUP($A117,'Mass Equivalents - AoIC, PR, GU'!$A$9:$K$14,11,0)</f>
        <v>0</v>
      </c>
      <c r="AE117" s="129">
        <f t="shared" si="126"/>
        <v>0</v>
      </c>
      <c r="AG117" s="123" t="s">
        <v>188</v>
      </c>
      <c r="AH117" s="125">
        <f t="shared" si="127"/>
        <v>80691.414443634814</v>
      </c>
      <c r="AI117" s="125">
        <f t="shared" si="128"/>
        <v>91388.357367648161</v>
      </c>
      <c r="AJ117" s="125">
        <f t="shared" si="129"/>
        <v>102227.00711886477</v>
      </c>
      <c r="AK117" s="125">
        <f t="shared" si="130"/>
        <v>113209.2409462349</v>
      </c>
      <c r="AL117" s="129">
        <f t="shared" si="131"/>
        <v>124336.96096740232</v>
      </c>
    </row>
    <row r="118" spans="1:43" x14ac:dyDescent="0.25">
      <c r="A118" s="49" t="s">
        <v>189</v>
      </c>
      <c r="B118" s="37" t="s">
        <v>126</v>
      </c>
      <c r="C118" s="37" t="s">
        <v>107</v>
      </c>
      <c r="D118" s="39">
        <v>1.1548387384267E-2</v>
      </c>
      <c r="F118" s="49" t="s">
        <v>189</v>
      </c>
      <c r="G118" s="50">
        <v>470</v>
      </c>
      <c r="H118" s="141">
        <v>7.51E-2</v>
      </c>
      <c r="I118" s="39">
        <v>1.1548387384267E-2</v>
      </c>
      <c r="K118" s="45">
        <f t="shared" si="113"/>
        <v>505.29699999999997</v>
      </c>
      <c r="L118" s="50">
        <f t="shared" si="114"/>
        <v>511.13236550010794</v>
      </c>
      <c r="M118" s="50">
        <f t="shared" si="115"/>
        <v>517.03512006153994</v>
      </c>
      <c r="N118" s="50">
        <f t="shared" si="116"/>
        <v>523.00604191928164</v>
      </c>
      <c r="O118" s="50">
        <f t="shared" si="117"/>
        <v>529.04591829567767</v>
      </c>
      <c r="P118" s="50">
        <f t="shared" si="118"/>
        <v>535.15554550422144</v>
      </c>
      <c r="Q118" s="50">
        <f t="shared" si="119"/>
        <v>541.33572905454287</v>
      </c>
      <c r="R118" s="50">
        <f t="shared" si="120"/>
        <v>547.58728375860937</v>
      </c>
      <c r="S118" s="50">
        <f t="shared" si="121"/>
        <v>553.91103383815232</v>
      </c>
      <c r="T118" s="50">
        <f t="shared" si="122"/>
        <v>560.30781303333515</v>
      </c>
      <c r="U118" s="50">
        <f t="shared" si="123"/>
        <v>566.7784647126756</v>
      </c>
      <c r="V118" s="50">
        <f t="shared" si="124"/>
        <v>573.32384198423767</v>
      </c>
      <c r="W118" s="46">
        <f t="shared" si="125"/>
        <v>579.94480780810795</v>
      </c>
      <c r="AD118" s="45">
        <f>VLOOKUP($A118,'Mass Equivalents - AoIC, PR, GU'!$A$9:$K$14,11,0)</f>
        <v>0</v>
      </c>
      <c r="AE118" s="46">
        <f t="shared" si="126"/>
        <v>0</v>
      </c>
      <c r="AG118" s="49" t="s">
        <v>189</v>
      </c>
      <c r="AH118" s="50">
        <f t="shared" si="127"/>
        <v>48614.033838152354</v>
      </c>
      <c r="AI118" s="50">
        <f t="shared" si="128"/>
        <v>55010.81303333518</v>
      </c>
      <c r="AJ118" s="50">
        <f t="shared" si="129"/>
        <v>61481.464712675632</v>
      </c>
      <c r="AK118" s="50">
        <f t="shared" si="130"/>
        <v>68026.841984237704</v>
      </c>
      <c r="AL118" s="46">
        <f t="shared" si="131"/>
        <v>74647.807808107988</v>
      </c>
    </row>
    <row r="119" spans="1:43" ht="15.75" thickBot="1" x14ac:dyDescent="0.3">
      <c r="A119" s="61" t="s">
        <v>190</v>
      </c>
      <c r="B119" s="41" t="s">
        <v>120</v>
      </c>
      <c r="C119" s="41" t="s">
        <v>100</v>
      </c>
      <c r="D119" s="42">
        <v>1.3247413603107328E-2</v>
      </c>
      <c r="F119" s="61" t="s">
        <v>190</v>
      </c>
      <c r="G119" s="51">
        <v>48</v>
      </c>
      <c r="H119" s="142">
        <v>7.51E-2</v>
      </c>
      <c r="I119" s="42">
        <v>1.3247413603107328E-2</v>
      </c>
      <c r="K119" s="47">
        <f t="shared" si="113"/>
        <v>51.604799999999997</v>
      </c>
      <c r="L119" s="51">
        <f t="shared" si="114"/>
        <v>52.288430129505628</v>
      </c>
      <c r="M119" s="51">
        <f t="shared" si="115"/>
        <v>52.981116590088369</v>
      </c>
      <c r="N119" s="51">
        <f t="shared" si="116"/>
        <v>53.682979354711719</v>
      </c>
      <c r="O119" s="51">
        <f t="shared" si="117"/>
        <v>54.394139985670655</v>
      </c>
      <c r="P119" s="51">
        <f t="shared" si="118"/>
        <v>55.11472165564615</v>
      </c>
      <c r="Q119" s="51">
        <f t="shared" si="119"/>
        <v>55.844849169038632</v>
      </c>
      <c r="R119" s="51">
        <f t="shared" si="120"/>
        <v>56.584648983584032</v>
      </c>
      <c r="S119" s="51">
        <f t="shared" si="121"/>
        <v>57.334249232256219</v>
      </c>
      <c r="T119" s="51">
        <f t="shared" si="122"/>
        <v>58.093779745459557</v>
      </c>
      <c r="U119" s="51">
        <f t="shared" si="123"/>
        <v>58.863372073515478</v>
      </c>
      <c r="V119" s="51">
        <f t="shared" si="124"/>
        <v>59.643159509446932</v>
      </c>
      <c r="W119" s="48">
        <f t="shared" si="125"/>
        <v>60.43327711206468</v>
      </c>
      <c r="AD119" s="47">
        <f>VLOOKUP($A119,'Mass Equivalents - AoIC, PR, GU'!$A$9:$K$14,11,0)</f>
        <v>0</v>
      </c>
      <c r="AE119" s="48">
        <f t="shared" si="126"/>
        <v>0</v>
      </c>
      <c r="AG119" s="61" t="s">
        <v>190</v>
      </c>
      <c r="AH119" s="51">
        <f t="shared" si="127"/>
        <v>5729.4492322562219</v>
      </c>
      <c r="AI119" s="51">
        <f t="shared" si="128"/>
        <v>6488.9797454595591</v>
      </c>
      <c r="AJ119" s="51">
        <f t="shared" si="129"/>
        <v>7258.572073515481</v>
      </c>
      <c r="AK119" s="51">
        <f t="shared" si="130"/>
        <v>8038.3595094469347</v>
      </c>
      <c r="AL119" s="48">
        <f t="shared" si="131"/>
        <v>8828.4771120646819</v>
      </c>
    </row>
  </sheetData>
  <mergeCells count="24">
    <mergeCell ref="AD3:AE3"/>
    <mergeCell ref="AH3:AQ3"/>
    <mergeCell ref="F3:F4"/>
    <mergeCell ref="G3:G4"/>
    <mergeCell ref="H3:H4"/>
    <mergeCell ref="I3:I4"/>
    <mergeCell ref="AG3:AG4"/>
    <mergeCell ref="A3:A4"/>
    <mergeCell ref="B3:B4"/>
    <mergeCell ref="C3:C4"/>
    <mergeCell ref="D3:D4"/>
    <mergeCell ref="K3:AB3"/>
    <mergeCell ref="A64:A65"/>
    <mergeCell ref="B64:B65"/>
    <mergeCell ref="C64:C65"/>
    <mergeCell ref="D64:D65"/>
    <mergeCell ref="F64:F65"/>
    <mergeCell ref="AG64:AG65"/>
    <mergeCell ref="K64:W64"/>
    <mergeCell ref="AH64:AL64"/>
    <mergeCell ref="G64:G65"/>
    <mergeCell ref="H64:H65"/>
    <mergeCell ref="I64:I65"/>
    <mergeCell ref="AD64:AE6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2014-10-28T14:28:18+00:00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C55E76A7EAE4BBBD1798BAC36F714" ma:contentTypeVersion="15" ma:contentTypeDescription="Create a new document." ma:contentTypeScope="" ma:versionID="31d8c9754417749e22c79a44af3865dd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b489ee6-2a1a-454b-b8aa-a578c758f047" targetNamespace="http://schemas.microsoft.com/office/2006/metadata/properties" ma:root="true" ma:fieldsID="72fc238dc31df936458125affe1f7061" ns1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b489ee6-2a1a-454b-b8aa-a578c758f047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fe4420c6-c422-405b-8407-82a0ca7bb603}" ma:internalName="TaxCatchAllLabel" ma:readOnly="true" ma:showField="CatchAllDataLabel" ma:web="fb489ee6-2a1a-454b-b8aa-a578c758f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fe4420c6-c422-405b-8407-82a0ca7bb603}" ma:internalName="TaxCatchAll" ma:showField="CatchAllData" ma:web="fb489ee6-2a1a-454b-b8aa-a578c758f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89ee6-2a1a-454b-b8aa-a578c758f04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51D8BE-F3F8-4C52-B40F-CFD64BEF4EBB}">
  <ds:schemaRefs>
    <ds:schemaRef ds:uri="http://schemas.microsoft.com/sharepoint.v3"/>
    <ds:schemaRef ds:uri="http://purl.org/dc/dcmitype/"/>
    <ds:schemaRef ds:uri="fb489ee6-2a1a-454b-b8aa-a578c758f047"/>
    <ds:schemaRef ds:uri="http://schemas.openxmlformats.org/package/2006/metadata/core-properties"/>
    <ds:schemaRef ds:uri="http://schemas.microsoft.com/sharepoint/v3/fields"/>
    <ds:schemaRef ds:uri="http://www.w3.org/XML/1998/namespace"/>
    <ds:schemaRef ds:uri="4ffa91fb-a0ff-4ac5-b2db-65c790d184a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75FA978-5708-4C60-A07A-E43ADEE6A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AB86BA-3D02-4960-8F21-030DC9074B4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EF04C74-F882-4D20-B5D8-3C3B6FF4F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b489ee6-2a1a-454b-b8aa-a578c758f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Mass Equivalents - States, Opt1</vt:lpstr>
      <vt:lpstr>Mass Equivalents - States, Opt2</vt:lpstr>
      <vt:lpstr>Mass Equivalents - AoIC, PR, GU</vt:lpstr>
      <vt:lpstr>EE Avoided Generation</vt:lpstr>
      <vt:lpstr>RE Generation</vt:lpstr>
      <vt:lpstr>Under Construction Nuclear</vt:lpstr>
      <vt:lpstr>Incremental Demand for New Gen</vt:lpstr>
      <vt:lpstr>IncrRE</vt:lpstr>
      <vt:lpstr>Nuclear</vt:lpstr>
      <vt:lpstr>Opt1EE</vt:lpstr>
      <vt:lpstr>Opt1NewGen</vt:lpstr>
      <vt:lpstr>Opt2EE</vt:lpstr>
      <vt:lpstr>Opt2NewGen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Ryan</dc:creator>
  <cp:lastModifiedBy>Ryan Sims</cp:lastModifiedBy>
  <dcterms:created xsi:type="dcterms:W3CDTF">2014-05-27T13:22:46Z</dcterms:created>
  <dcterms:modified xsi:type="dcterms:W3CDTF">2014-11-05T21:26:42Z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0x0101005E7C55E76A7EAE4BBBD1798BAC36F714</vt:lpwstr>
  </property>
</Properties>
</file>