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60" windowWidth="19650" windowHeight="579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Actions'!$A$1:$K$82</definedName>
    <definedName name="_xlnm.Print_Area" localSheetId="5">'Action Durations'!$A$1:$K$56</definedName>
    <definedName name="_xlnm.Print_Area" localSheetId="1">Attributes!$A$1:$J$63</definedName>
    <definedName name="_xlnm.Print_Area" localSheetId="6">'Beach Days'!$A$1:$L$69</definedName>
    <definedName name="_xlnm.Print_Area" localSheetId="2">Monitoring!$A$1:$I$65</definedName>
    <definedName name="_xlnm.Print_Area" localSheetId="3">'Pollution Sources'!$A$1:$S$80</definedName>
    <definedName name="_xlnm.Print_Area" localSheetId="0">Summary!$A$1:$W$35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S4" i="8" l="1"/>
  <c r="R4" i="8"/>
  <c r="Q4" i="8"/>
  <c r="P4" i="8"/>
  <c r="O4" i="8"/>
  <c r="N4" i="8"/>
  <c r="E78" i="10"/>
  <c r="E77" i="10"/>
  <c r="E76" i="10"/>
  <c r="E75" i="10"/>
  <c r="E74" i="10"/>
  <c r="E73" i="10"/>
  <c r="E72" i="10"/>
  <c r="E71" i="10"/>
  <c r="E70" i="10"/>
  <c r="E69" i="10"/>
  <c r="E68" i="10"/>
  <c r="E58" i="10"/>
  <c r="D20" i="8" s="1"/>
  <c r="E55" i="10"/>
  <c r="D19" i="8" s="1"/>
  <c r="E52" i="10"/>
  <c r="D18" i="8" s="1"/>
  <c r="E49" i="10"/>
  <c r="D17" i="8" s="1"/>
  <c r="E46" i="10"/>
  <c r="D16" i="8" s="1"/>
  <c r="E43" i="10"/>
  <c r="D15" i="8" s="1"/>
  <c r="E40" i="10"/>
  <c r="D14" i="8" s="1"/>
  <c r="E37" i="10"/>
  <c r="D13" i="8" s="1"/>
  <c r="E34" i="10"/>
  <c r="D12" i="8" s="1"/>
  <c r="E30" i="10"/>
  <c r="D11" i="8" s="1"/>
  <c r="E27" i="10"/>
  <c r="D10" i="8" s="1"/>
  <c r="E24" i="10"/>
  <c r="D9" i="8" s="1"/>
  <c r="E21" i="10"/>
  <c r="D8" i="8" s="1"/>
  <c r="E18" i="10"/>
  <c r="D7" i="8" s="1"/>
  <c r="E12" i="10"/>
  <c r="D6" i="8" s="1"/>
  <c r="E9" i="10"/>
  <c r="D5" i="8" s="1"/>
  <c r="E6" i="10"/>
  <c r="D4" i="8" s="1"/>
  <c r="E3" i="10"/>
  <c r="E63" i="10" s="1"/>
  <c r="F73" i="10" l="1"/>
  <c r="F68" i="10"/>
  <c r="F76" i="10"/>
  <c r="F71" i="10"/>
  <c r="F75" i="10"/>
  <c r="D3" i="8"/>
  <c r="F72" i="10"/>
  <c r="F70" i="10"/>
  <c r="F74" i="10"/>
  <c r="F78" i="10"/>
  <c r="F69" i="10"/>
  <c r="F77" i="10"/>
  <c r="E81" i="4"/>
  <c r="E80" i="4"/>
  <c r="E79" i="4"/>
  <c r="E78" i="4"/>
  <c r="E77" i="4"/>
  <c r="E76" i="4"/>
  <c r="E75" i="4"/>
  <c r="E74" i="4"/>
  <c r="E73" i="4"/>
  <c r="E72" i="4"/>
  <c r="E71" i="4"/>
  <c r="E68" i="4"/>
  <c r="E67" i="4"/>
  <c r="E64" i="4"/>
  <c r="K24" i="9" l="1"/>
  <c r="J24" i="9"/>
  <c r="I24" i="9"/>
  <c r="H24" i="9"/>
  <c r="G24" i="9"/>
  <c r="E24" i="9"/>
  <c r="D24" i="9"/>
  <c r="B24" i="9"/>
  <c r="K20" i="9"/>
  <c r="S11" i="8" s="1"/>
  <c r="J20" i="9"/>
  <c r="R11" i="8" s="1"/>
  <c r="I20" i="9"/>
  <c r="Q11" i="8" s="1"/>
  <c r="H20" i="9"/>
  <c r="P11" i="8" s="1"/>
  <c r="G20" i="9"/>
  <c r="O11" i="8" s="1"/>
  <c r="E20" i="9"/>
  <c r="D20" i="9"/>
  <c r="N11" i="8" s="1"/>
  <c r="B20" i="9"/>
  <c r="K7" i="9"/>
  <c r="J7" i="9"/>
  <c r="I7" i="9"/>
  <c r="H7" i="9"/>
  <c r="G7" i="9"/>
  <c r="E7" i="9"/>
  <c r="D7" i="9"/>
  <c r="B7" i="9"/>
  <c r="B5" i="4"/>
  <c r="E5" i="4"/>
  <c r="H5" i="4"/>
  <c r="H49" i="4" l="1"/>
  <c r="E49" i="4"/>
  <c r="B49" i="4"/>
  <c r="H30" i="4"/>
  <c r="E30" i="4"/>
  <c r="B30" i="4"/>
  <c r="H25" i="4"/>
  <c r="E25" i="4"/>
  <c r="B25" i="4"/>
  <c r="J11" i="8" s="1"/>
  <c r="H9" i="4"/>
  <c r="E9" i="4"/>
  <c r="B9" i="4"/>
  <c r="J4" i="8" s="1"/>
  <c r="E12" i="4"/>
  <c r="E18" i="4"/>
  <c r="E21" i="4"/>
  <c r="E33" i="4"/>
  <c r="E39" i="4"/>
  <c r="E42" i="4"/>
  <c r="E45" i="4"/>
  <c r="E53" i="4"/>
  <c r="E65" i="4"/>
  <c r="E58" i="4" l="1"/>
  <c r="E69" i="4"/>
  <c r="E82" i="4"/>
  <c r="B10" i="9" l="1"/>
  <c r="D10" i="9"/>
  <c r="N5" i="8" s="1"/>
  <c r="E10" i="9"/>
  <c r="G10" i="9"/>
  <c r="O5" i="8" s="1"/>
  <c r="H10" i="9"/>
  <c r="P5" i="8" s="1"/>
  <c r="I10" i="9"/>
  <c r="Q5" i="8" s="1"/>
  <c r="J10" i="9"/>
  <c r="R5" i="8" s="1"/>
  <c r="K10" i="9"/>
  <c r="S5" i="8" s="1"/>
  <c r="H39" i="4" l="1"/>
  <c r="B39" i="4"/>
  <c r="J15" i="8" s="1"/>
  <c r="I58" i="10"/>
  <c r="I55" i="10"/>
  <c r="I52" i="10"/>
  <c r="I49" i="10"/>
  <c r="I46" i="10"/>
  <c r="I43" i="10"/>
  <c r="I40" i="10"/>
  <c r="I37" i="10"/>
  <c r="I34" i="10"/>
  <c r="I30" i="10"/>
  <c r="I27" i="10"/>
  <c r="I24" i="10"/>
  <c r="I21" i="10"/>
  <c r="I18" i="10"/>
  <c r="I12" i="10"/>
  <c r="I9" i="10"/>
  <c r="I6" i="10"/>
  <c r="I3" i="10"/>
  <c r="E65" i="10" s="1"/>
  <c r="K58" i="7" l="1"/>
  <c r="L58" i="7" s="1"/>
  <c r="I58" i="7"/>
  <c r="K55" i="7"/>
  <c r="L55" i="7" s="1"/>
  <c r="I55" i="7"/>
  <c r="K52" i="7"/>
  <c r="L52" i="7" s="1"/>
  <c r="I52" i="7"/>
  <c r="K49" i="7"/>
  <c r="L49" i="7" s="1"/>
  <c r="I49" i="7"/>
  <c r="K46" i="7"/>
  <c r="L46" i="7" s="1"/>
  <c r="I46" i="7"/>
  <c r="K43" i="7"/>
  <c r="L43" i="7" s="1"/>
  <c r="I43" i="7"/>
  <c r="K40" i="7"/>
  <c r="L40" i="7" s="1"/>
  <c r="I40" i="7"/>
  <c r="K37" i="7"/>
  <c r="L37" i="7" s="1"/>
  <c r="I37" i="7"/>
  <c r="K34" i="7"/>
  <c r="L34" i="7" s="1"/>
  <c r="I34" i="7"/>
  <c r="K33" i="7"/>
  <c r="L33" i="7" s="1"/>
  <c r="I33" i="7"/>
  <c r="K30" i="7"/>
  <c r="L30" i="7" s="1"/>
  <c r="I30" i="7"/>
  <c r="K27" i="7"/>
  <c r="L27" i="7" s="1"/>
  <c r="I27" i="7"/>
  <c r="K24" i="7"/>
  <c r="L24" i="7" s="1"/>
  <c r="I24" i="7"/>
  <c r="K21" i="7"/>
  <c r="L21" i="7" s="1"/>
  <c r="I21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F68" i="4" l="1"/>
  <c r="F67" i="4" l="1"/>
  <c r="B6" i="10"/>
  <c r="F43" i="2" l="1"/>
  <c r="F24" i="2"/>
  <c r="H59" i="7"/>
  <c r="V20" i="8" s="1"/>
  <c r="G59" i="7"/>
  <c r="E59" i="7"/>
  <c r="B59" i="7"/>
  <c r="H56" i="7"/>
  <c r="V19" i="8" s="1"/>
  <c r="G56" i="7"/>
  <c r="E56" i="7"/>
  <c r="B56" i="7"/>
  <c r="H53" i="7"/>
  <c r="V18" i="8" s="1"/>
  <c r="G53" i="7"/>
  <c r="E53" i="7"/>
  <c r="B53" i="7"/>
  <c r="H50" i="7"/>
  <c r="V17" i="8" s="1"/>
  <c r="G50" i="7"/>
  <c r="E50" i="7"/>
  <c r="B50" i="7"/>
  <c r="H47" i="7"/>
  <c r="V16" i="8" s="1"/>
  <c r="G47" i="7"/>
  <c r="E47" i="7"/>
  <c r="B47" i="7"/>
  <c r="H44" i="7"/>
  <c r="V15" i="8" s="1"/>
  <c r="G44" i="7"/>
  <c r="E44" i="7"/>
  <c r="B44" i="7"/>
  <c r="K47" i="7" l="1"/>
  <c r="L47" i="7" s="1"/>
  <c r="K59" i="7"/>
  <c r="L59" i="7" s="1"/>
  <c r="K56" i="7"/>
  <c r="L56" i="7" s="1"/>
  <c r="K53" i="7"/>
  <c r="L53" i="7" s="1"/>
  <c r="K50" i="7"/>
  <c r="L50" i="7" s="1"/>
  <c r="K44" i="7"/>
  <c r="L44" i="7" s="1"/>
  <c r="U15" i="8"/>
  <c r="W15" i="8" s="1"/>
  <c r="U16" i="8"/>
  <c r="W16" i="8" s="1"/>
  <c r="U17" i="8"/>
  <c r="W17" i="8" s="1"/>
  <c r="U18" i="8"/>
  <c r="W18" i="8" s="1"/>
  <c r="U19" i="8"/>
  <c r="U20" i="8"/>
  <c r="W20" i="8" s="1"/>
  <c r="W19" i="8"/>
  <c r="I47" i="7"/>
  <c r="I50" i="7"/>
  <c r="I44" i="7"/>
  <c r="I53" i="7"/>
  <c r="I56" i="7"/>
  <c r="I59" i="7"/>
  <c r="S59" i="11" l="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B59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B56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B50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B47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B44" i="11"/>
  <c r="K42" i="9"/>
  <c r="S20" i="8" s="1"/>
  <c r="J42" i="9"/>
  <c r="R20" i="8" s="1"/>
  <c r="I42" i="9"/>
  <c r="Q20" i="8" s="1"/>
  <c r="H42" i="9"/>
  <c r="P20" i="8" s="1"/>
  <c r="G42" i="9"/>
  <c r="O20" i="8" s="1"/>
  <c r="E42" i="9"/>
  <c r="D42" i="9"/>
  <c r="N20" i="8" s="1"/>
  <c r="B42" i="9"/>
  <c r="K39" i="9"/>
  <c r="S19" i="8" s="1"/>
  <c r="J39" i="9"/>
  <c r="R19" i="8" s="1"/>
  <c r="I39" i="9"/>
  <c r="Q19" i="8" s="1"/>
  <c r="H39" i="9"/>
  <c r="P19" i="8" s="1"/>
  <c r="G39" i="9"/>
  <c r="O19" i="8" s="1"/>
  <c r="E39" i="9"/>
  <c r="D39" i="9"/>
  <c r="N19" i="8" s="1"/>
  <c r="B39" i="9"/>
  <c r="H53" i="4" l="1"/>
  <c r="B53" i="4"/>
  <c r="J20" i="8" s="1"/>
  <c r="J19" i="8"/>
  <c r="F20" i="8"/>
  <c r="B58" i="10"/>
  <c r="C20" i="8" s="1"/>
  <c r="G20" i="8" s="1"/>
  <c r="F19" i="8"/>
  <c r="B55" i="10"/>
  <c r="C19" i="8" s="1"/>
  <c r="G19" i="8" s="1"/>
  <c r="F18" i="8"/>
  <c r="K18" i="8"/>
  <c r="B52" i="10"/>
  <c r="C18" i="8" s="1"/>
  <c r="G18" i="8" s="1"/>
  <c r="F17" i="8"/>
  <c r="B49" i="10"/>
  <c r="C17" i="8" s="1"/>
  <c r="G17" i="8" s="1"/>
  <c r="F16" i="8"/>
  <c r="B46" i="10"/>
  <c r="C16" i="8" s="1"/>
  <c r="G16" i="8" s="1"/>
  <c r="F58" i="2"/>
  <c r="B58" i="2"/>
  <c r="F55" i="2"/>
  <c r="B55" i="2"/>
  <c r="F52" i="2"/>
  <c r="B52" i="2"/>
  <c r="F49" i="2"/>
  <c r="B49" i="2"/>
  <c r="F46" i="2"/>
  <c r="B46" i="2"/>
  <c r="B6" i="2"/>
  <c r="F6" i="2"/>
  <c r="K19" i="8" l="1"/>
  <c r="H18" i="8"/>
  <c r="H16" i="8"/>
  <c r="H20" i="8"/>
  <c r="H17" i="8"/>
  <c r="H19" i="8"/>
  <c r="L19" i="8"/>
  <c r="E16" i="8"/>
  <c r="E17" i="8"/>
  <c r="E19" i="8"/>
  <c r="E18" i="8"/>
  <c r="E20" i="8"/>
  <c r="K9" i="7" l="1"/>
  <c r="L9" i="7" s="1"/>
  <c r="I9" i="7"/>
  <c r="K6" i="7"/>
  <c r="L6" i="7" s="1"/>
  <c r="I6" i="7"/>
  <c r="K3" i="7"/>
  <c r="L3" i="7" s="1"/>
  <c r="I3" i="7"/>
  <c r="H41" i="7"/>
  <c r="V14" i="8" s="1"/>
  <c r="G41" i="7"/>
  <c r="E41" i="7"/>
  <c r="U14" i="8" s="1"/>
  <c r="B41" i="7"/>
  <c r="H38" i="7"/>
  <c r="V13" i="8" s="1"/>
  <c r="G38" i="7"/>
  <c r="E38" i="7"/>
  <c r="U13" i="8" s="1"/>
  <c r="B38" i="7"/>
  <c r="H35" i="7"/>
  <c r="V12" i="8" s="1"/>
  <c r="G35" i="7"/>
  <c r="E35" i="7"/>
  <c r="U12" i="8" s="1"/>
  <c r="B35" i="7"/>
  <c r="H31" i="7"/>
  <c r="V11" i="8" s="1"/>
  <c r="G31" i="7"/>
  <c r="E31" i="7"/>
  <c r="U11" i="8" s="1"/>
  <c r="B31" i="7"/>
  <c r="H28" i="7"/>
  <c r="V10" i="8" s="1"/>
  <c r="G28" i="7"/>
  <c r="E28" i="7"/>
  <c r="U10" i="8" s="1"/>
  <c r="B28" i="7"/>
  <c r="H25" i="7"/>
  <c r="V9" i="8" s="1"/>
  <c r="G25" i="7"/>
  <c r="E25" i="7"/>
  <c r="U9" i="8" s="1"/>
  <c r="B25" i="7"/>
  <c r="H22" i="7"/>
  <c r="V8" i="8" s="1"/>
  <c r="G22" i="7"/>
  <c r="E22" i="7"/>
  <c r="U8" i="8" s="1"/>
  <c r="B22" i="7"/>
  <c r="H19" i="7"/>
  <c r="V7" i="8" s="1"/>
  <c r="G19" i="7"/>
  <c r="E19" i="7"/>
  <c r="U7" i="8" s="1"/>
  <c r="B19" i="7"/>
  <c r="H13" i="7"/>
  <c r="V6" i="8" s="1"/>
  <c r="G13" i="7"/>
  <c r="E13" i="7"/>
  <c r="U6" i="8" s="1"/>
  <c r="B13" i="7"/>
  <c r="K12" i="7"/>
  <c r="L12" i="7" s="1"/>
  <c r="I12" i="7"/>
  <c r="H10" i="7"/>
  <c r="V5" i="8" s="1"/>
  <c r="G10" i="7"/>
  <c r="E10" i="7"/>
  <c r="U5" i="8" s="1"/>
  <c r="B10" i="7"/>
  <c r="W8" i="8" l="1"/>
  <c r="W9" i="8"/>
  <c r="W14" i="8"/>
  <c r="W6" i="8"/>
  <c r="W7" i="8"/>
  <c r="W10" i="8"/>
  <c r="W11" i="8"/>
  <c r="W12" i="8"/>
  <c r="W13" i="8"/>
  <c r="W5" i="8"/>
  <c r="I38" i="7"/>
  <c r="I31" i="7"/>
  <c r="K19" i="7"/>
  <c r="L19" i="7" s="1"/>
  <c r="I22" i="7"/>
  <c r="K28" i="7"/>
  <c r="L28" i="7" s="1"/>
  <c r="K25" i="7"/>
  <c r="L25" i="7" s="1"/>
  <c r="I10" i="7"/>
  <c r="I13" i="7"/>
  <c r="I19" i="7"/>
  <c r="I28" i="7"/>
  <c r="K38" i="7"/>
  <c r="L38" i="7" s="1"/>
  <c r="I25" i="7"/>
  <c r="K31" i="7"/>
  <c r="L31" i="7" s="1"/>
  <c r="I35" i="7"/>
  <c r="I41" i="7"/>
  <c r="K41" i="7"/>
  <c r="L41" i="7" s="1"/>
  <c r="K35" i="7"/>
  <c r="L35" i="7" s="1"/>
  <c r="K22" i="7"/>
  <c r="L22" i="7" s="1"/>
  <c r="K13" i="7"/>
  <c r="L13" i="7" s="1"/>
  <c r="K10" i="7"/>
  <c r="L10" i="7" s="1"/>
  <c r="K36" i="9"/>
  <c r="S17" i="8" s="1"/>
  <c r="J36" i="9"/>
  <c r="R17" i="8" s="1"/>
  <c r="I36" i="9"/>
  <c r="Q17" i="8" s="1"/>
  <c r="H36" i="9"/>
  <c r="P17" i="8" s="1"/>
  <c r="G36" i="9"/>
  <c r="O17" i="8" s="1"/>
  <c r="E36" i="9"/>
  <c r="D36" i="9"/>
  <c r="N17" i="8" s="1"/>
  <c r="B36" i="9"/>
  <c r="K33" i="9"/>
  <c r="S16" i="8" s="1"/>
  <c r="J33" i="9"/>
  <c r="R16" i="8" s="1"/>
  <c r="I33" i="9"/>
  <c r="Q16" i="8" s="1"/>
  <c r="H33" i="9"/>
  <c r="P16" i="8" s="1"/>
  <c r="G33" i="9"/>
  <c r="O16" i="8" s="1"/>
  <c r="E33" i="9"/>
  <c r="D33" i="9"/>
  <c r="N16" i="8" s="1"/>
  <c r="B33" i="9"/>
  <c r="K30" i="9"/>
  <c r="S15" i="8" s="1"/>
  <c r="J30" i="9"/>
  <c r="R15" i="8" s="1"/>
  <c r="I30" i="9"/>
  <c r="Q15" i="8" s="1"/>
  <c r="H30" i="9"/>
  <c r="P15" i="8" s="1"/>
  <c r="G30" i="9"/>
  <c r="O15" i="8" s="1"/>
  <c r="E30" i="9"/>
  <c r="D30" i="9"/>
  <c r="N15" i="8" s="1"/>
  <c r="B30" i="9"/>
  <c r="K27" i="9"/>
  <c r="S14" i="8" s="1"/>
  <c r="J27" i="9"/>
  <c r="R14" i="8" s="1"/>
  <c r="I27" i="9"/>
  <c r="Q14" i="8" s="1"/>
  <c r="H27" i="9"/>
  <c r="P14" i="8" s="1"/>
  <c r="G27" i="9"/>
  <c r="O14" i="8" s="1"/>
  <c r="E27" i="9"/>
  <c r="D27" i="9"/>
  <c r="N14" i="8" s="1"/>
  <c r="B27" i="9"/>
  <c r="S12" i="8"/>
  <c r="R12" i="8"/>
  <c r="Q12" i="8"/>
  <c r="P12" i="8"/>
  <c r="O12" i="8"/>
  <c r="N12" i="8"/>
  <c r="K17" i="9"/>
  <c r="S10" i="8" s="1"/>
  <c r="J17" i="9"/>
  <c r="R10" i="8" s="1"/>
  <c r="I17" i="9"/>
  <c r="Q10" i="8" s="1"/>
  <c r="H17" i="9"/>
  <c r="P10" i="8" s="1"/>
  <c r="G17" i="9"/>
  <c r="O10" i="8" s="1"/>
  <c r="E17" i="9"/>
  <c r="D17" i="9"/>
  <c r="N10" i="8" s="1"/>
  <c r="B17" i="9"/>
  <c r="H45" i="4" l="1"/>
  <c r="B45" i="4"/>
  <c r="J17" i="8" s="1"/>
  <c r="H42" i="4"/>
  <c r="B42" i="4"/>
  <c r="J16" i="8" s="1"/>
  <c r="H33" i="4"/>
  <c r="B33" i="4"/>
  <c r="J14" i="8" s="1"/>
  <c r="J12" i="8"/>
  <c r="H21" i="4"/>
  <c r="B21" i="4"/>
  <c r="J10" i="8" s="1"/>
  <c r="K16" i="8" l="1"/>
  <c r="L16" i="8"/>
  <c r="L17" i="8"/>
  <c r="K17" i="8"/>
  <c r="K20" i="8"/>
  <c r="L20" i="8"/>
  <c r="L18" i="8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B41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B38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B35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B31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B28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B25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B22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B19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B13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B10" i="11"/>
  <c r="F15" i="8"/>
  <c r="F14" i="8"/>
  <c r="F13" i="8"/>
  <c r="F12" i="8"/>
  <c r="F11" i="8"/>
  <c r="F10" i="8"/>
  <c r="F9" i="8"/>
  <c r="F8" i="8"/>
  <c r="F7" i="8"/>
  <c r="F6" i="8"/>
  <c r="F5" i="8"/>
  <c r="F4" i="8"/>
  <c r="B43" i="10"/>
  <c r="C15" i="8" s="1"/>
  <c r="G15" i="8" s="1"/>
  <c r="K14" i="8"/>
  <c r="B40" i="10"/>
  <c r="C14" i="8" s="1"/>
  <c r="G14" i="8" s="1"/>
  <c r="K13" i="8"/>
  <c r="B37" i="10"/>
  <c r="C13" i="8" s="1"/>
  <c r="G13" i="8" s="1"/>
  <c r="K12" i="8"/>
  <c r="B34" i="10"/>
  <c r="C12" i="8" s="1"/>
  <c r="G12" i="8" s="1"/>
  <c r="K11" i="8"/>
  <c r="B30" i="10"/>
  <c r="C11" i="8" s="1"/>
  <c r="G11" i="8" s="1"/>
  <c r="K10" i="8"/>
  <c r="B27" i="10"/>
  <c r="C10" i="8" s="1"/>
  <c r="G10" i="8" s="1"/>
  <c r="B24" i="10"/>
  <c r="C9" i="8" s="1"/>
  <c r="G9" i="8" s="1"/>
  <c r="B21" i="10"/>
  <c r="C8" i="8" s="1"/>
  <c r="G8" i="8" s="1"/>
  <c r="B18" i="10"/>
  <c r="C7" i="8" s="1"/>
  <c r="G7" i="8" s="1"/>
  <c r="K6" i="8"/>
  <c r="B12" i="10"/>
  <c r="C6" i="8" s="1"/>
  <c r="G6" i="8" s="1"/>
  <c r="B43" i="2"/>
  <c r="F40" i="2"/>
  <c r="B40" i="2"/>
  <c r="F37" i="2"/>
  <c r="B37" i="2"/>
  <c r="F34" i="2"/>
  <c r="B34" i="2"/>
  <c r="F30" i="2"/>
  <c r="B30" i="2"/>
  <c r="F27" i="2"/>
  <c r="B27" i="2"/>
  <c r="B24" i="2"/>
  <c r="F21" i="2"/>
  <c r="B21" i="2"/>
  <c r="F18" i="2"/>
  <c r="B18" i="2"/>
  <c r="F12" i="2"/>
  <c r="B12" i="2"/>
  <c r="K15" i="8" l="1"/>
  <c r="L15" i="8"/>
  <c r="H6" i="8"/>
  <c r="H10" i="8"/>
  <c r="H12" i="8"/>
  <c r="H11" i="8"/>
  <c r="H14" i="8"/>
  <c r="H7" i="8"/>
  <c r="L13" i="8"/>
  <c r="H13" i="8"/>
  <c r="H8" i="8"/>
  <c r="H15" i="8"/>
  <c r="E8" i="8"/>
  <c r="E10" i="8"/>
  <c r="E12" i="8"/>
  <c r="K9" i="8"/>
  <c r="E14" i="8"/>
  <c r="E6" i="8"/>
  <c r="E7" i="8"/>
  <c r="E11" i="8"/>
  <c r="E13" i="8"/>
  <c r="E15" i="8"/>
  <c r="L10" i="8"/>
  <c r="L12" i="8"/>
  <c r="L11" i="8"/>
  <c r="L14" i="8"/>
  <c r="F3" i="8"/>
  <c r="F9" i="2"/>
  <c r="F3" i="2"/>
  <c r="H12" i="4"/>
  <c r="B12" i="4"/>
  <c r="K8" i="8"/>
  <c r="B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E4" i="7"/>
  <c r="F4" i="11"/>
  <c r="H64" i="11" s="1"/>
  <c r="H18" i="4"/>
  <c r="B18" i="4"/>
  <c r="J7" i="8" s="1"/>
  <c r="K7" i="8" s="1"/>
  <c r="S4" i="11"/>
  <c r="R4" i="11"/>
  <c r="E4" i="11"/>
  <c r="Q4" i="11"/>
  <c r="H77" i="11" s="1"/>
  <c r="P4" i="11"/>
  <c r="H76" i="11" s="1"/>
  <c r="O4" i="11"/>
  <c r="N4" i="11"/>
  <c r="H74" i="11" s="1"/>
  <c r="M4" i="11"/>
  <c r="H73" i="11" s="1"/>
  <c r="L4" i="11"/>
  <c r="H72" i="11" s="1"/>
  <c r="K4" i="11"/>
  <c r="J4" i="11"/>
  <c r="H70" i="11" s="1"/>
  <c r="I4" i="11"/>
  <c r="H69" i="11" s="1"/>
  <c r="H4" i="11"/>
  <c r="H68" i="11" s="1"/>
  <c r="G4" i="11"/>
  <c r="B4" i="11"/>
  <c r="H62" i="11" s="1"/>
  <c r="H4" i="7"/>
  <c r="H7" i="7"/>
  <c r="V4" i="8" s="1"/>
  <c r="E7" i="7"/>
  <c r="G4" i="7"/>
  <c r="G7" i="7"/>
  <c r="B4" i="7"/>
  <c r="B7" i="7"/>
  <c r="G4" i="9"/>
  <c r="E4" i="9"/>
  <c r="D4" i="9"/>
  <c r="B14" i="9"/>
  <c r="B4" i="9"/>
  <c r="B9" i="10"/>
  <c r="C5" i="8" s="1"/>
  <c r="G5" i="8" s="1"/>
  <c r="C4" i="8"/>
  <c r="G4" i="8" s="1"/>
  <c r="K14" i="9"/>
  <c r="S7" i="8" s="1"/>
  <c r="J14" i="9"/>
  <c r="R7" i="8" s="1"/>
  <c r="I14" i="9"/>
  <c r="Q7" i="8" s="1"/>
  <c r="H14" i="9"/>
  <c r="P7" i="8" s="1"/>
  <c r="G14" i="9"/>
  <c r="O7" i="8" s="1"/>
  <c r="D14" i="9"/>
  <c r="N7" i="8" s="1"/>
  <c r="H4" i="9"/>
  <c r="I4" i="9"/>
  <c r="J4" i="9"/>
  <c r="G54" i="9" s="1"/>
  <c r="K4" i="9"/>
  <c r="B3" i="10"/>
  <c r="E62" i="10" s="1"/>
  <c r="E14" i="9"/>
  <c r="B3" i="2"/>
  <c r="B9" i="2"/>
  <c r="H63" i="11" l="1"/>
  <c r="H67" i="11"/>
  <c r="H71" i="11"/>
  <c r="H75" i="11"/>
  <c r="G53" i="9"/>
  <c r="D63" i="2"/>
  <c r="J5" i="8"/>
  <c r="K5" i="8" s="1"/>
  <c r="E57" i="4"/>
  <c r="E59" i="4"/>
  <c r="D46" i="9"/>
  <c r="G55" i="9"/>
  <c r="D47" i="9"/>
  <c r="G51" i="9"/>
  <c r="G52" i="9"/>
  <c r="D48" i="9"/>
  <c r="E66" i="7"/>
  <c r="D62" i="2"/>
  <c r="N3" i="8"/>
  <c r="O3" i="8"/>
  <c r="O21" i="8" s="1"/>
  <c r="E63" i="7"/>
  <c r="E65" i="7"/>
  <c r="E64" i="7"/>
  <c r="L8" i="8"/>
  <c r="H78" i="11"/>
  <c r="H79" i="11"/>
  <c r="R3" i="8"/>
  <c r="R21" i="8" s="1"/>
  <c r="P3" i="8"/>
  <c r="P21" i="8" s="1"/>
  <c r="S3" i="8"/>
  <c r="S21" i="8" s="1"/>
  <c r="Q3" i="8"/>
  <c r="Q21" i="8" s="1"/>
  <c r="L4" i="8"/>
  <c r="J3" i="8"/>
  <c r="E9" i="8"/>
  <c r="H9" i="8"/>
  <c r="H5" i="8"/>
  <c r="H4" i="8"/>
  <c r="U3" i="8"/>
  <c r="F71" i="4"/>
  <c r="F72" i="4"/>
  <c r="F78" i="4"/>
  <c r="F76" i="4"/>
  <c r="F73" i="4"/>
  <c r="L5" i="8"/>
  <c r="L7" i="8"/>
  <c r="L9" i="8"/>
  <c r="V3" i="8"/>
  <c r="U4" i="8"/>
  <c r="W4" i="8" s="1"/>
  <c r="E5" i="8"/>
  <c r="F74" i="4"/>
  <c r="F75" i="4"/>
  <c r="F69" i="4"/>
  <c r="F64" i="4"/>
  <c r="F79" i="4"/>
  <c r="L6" i="8"/>
  <c r="C3" i="8"/>
  <c r="K7" i="7"/>
  <c r="L7" i="7" s="1"/>
  <c r="I4" i="7"/>
  <c r="F80" i="4"/>
  <c r="F81" i="4"/>
  <c r="F77" i="4"/>
  <c r="F21" i="8"/>
  <c r="I7" i="7"/>
  <c r="K4" i="8"/>
  <c r="E4" i="8"/>
  <c r="K4" i="7"/>
  <c r="G3" i="8" l="1"/>
  <c r="E3" i="8"/>
  <c r="E68" i="7"/>
  <c r="U21" i="8"/>
  <c r="W3" i="8"/>
  <c r="V21" i="8"/>
  <c r="H3" i="8"/>
  <c r="L4" i="7"/>
  <c r="F65" i="4"/>
  <c r="E64" i="10"/>
  <c r="N21" i="8"/>
  <c r="F82" i="4"/>
  <c r="C21" i="8"/>
  <c r="G21" i="8" s="1"/>
  <c r="E67" i="7"/>
  <c r="H80" i="11"/>
  <c r="G56" i="9"/>
  <c r="H55" i="9" s="1"/>
  <c r="D21" i="8"/>
  <c r="J21" i="8"/>
  <c r="L3" i="8"/>
  <c r="K3" i="8"/>
  <c r="E69" i="7" l="1"/>
  <c r="I71" i="11"/>
  <c r="I75" i="11"/>
  <c r="I79" i="11"/>
  <c r="I72" i="11"/>
  <c r="I76" i="11"/>
  <c r="I67" i="11"/>
  <c r="I73" i="11"/>
  <c r="I77" i="11"/>
  <c r="I68" i="11"/>
  <c r="I74" i="11"/>
  <c r="I78" i="11"/>
  <c r="I70" i="11"/>
  <c r="I69" i="11"/>
  <c r="W21" i="8"/>
  <c r="H21" i="8"/>
  <c r="E21" i="8"/>
  <c r="H52" i="9"/>
  <c r="H54" i="9"/>
  <c r="H53" i="9"/>
  <c r="H51" i="9"/>
  <c r="L21" i="8"/>
  <c r="K21" i="8"/>
  <c r="I80" i="11" l="1"/>
  <c r="H56" i="9"/>
</calcChain>
</file>

<file path=xl/sharedStrings.xml><?xml version="1.0" encoding="utf-8"?>
<sst xmlns="http://schemas.openxmlformats.org/spreadsheetml/2006/main" count="855" uniqueCount="244">
  <si>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</si>
  <si>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</si>
  <si>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</si>
  <si>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</si>
  <si>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</si>
  <si>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</si>
  <si>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</si>
  <si>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</si>
  <si>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</si>
  <si>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</si>
  <si>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</si>
  <si>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</si>
  <si>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</si>
  <si>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</si>
  <si>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</si>
  <si>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</si>
  <si>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</si>
  <si>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</si>
  <si>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</si>
  <si>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</si>
  <si>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</si>
  <si>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</si>
  <si>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</si>
  <si>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</si>
  <si>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</si>
  <si>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</si>
  <si>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</si>
  <si>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</si>
  <si>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</si>
  <si>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</si>
  <si>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</si>
  <si>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</si>
  <si>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</si>
  <si>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</si>
  <si>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</si>
  <si>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</si>
  <si>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</si>
  <si>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</si>
  <si>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</si>
  <si>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</si>
  <si>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</si>
  <si>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</si>
  <si>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</si>
  <si>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</si>
  <si>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</si>
  <si>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</si>
  <si>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</si>
  <si>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</si>
  <si>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</si>
  <si>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</si>
  <si>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</si>
  <si>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</si>
  <si>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</si>
  <si>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</si>
  <si>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</si>
  <si>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</si>
  <si>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</si>
  <si>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</si>
  <si>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</si>
  <si>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</si>
  <si>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</si>
  <si>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</si>
  <si>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</si>
  <si>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</si>
  <si>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</si>
  <si>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</si>
  <si>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</si>
  <si>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</si>
  <si>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</si>
  <si>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</si>
  <si>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</si>
  <si>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</si>
  <si>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</si>
  <si>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</si>
  <si>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</si>
  <si>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</si>
  <si>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</si>
  <si>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</si>
  <si>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</si>
  <si>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</si>
  <si>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</si>
  <si>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</si>
  <si>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</si>
  <si>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</si>
  <si>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</si>
  <si>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</si>
  <si>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</si>
  <si>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</si>
  <si>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</si>
  <si>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</si>
  <si>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</si>
  <si>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</si>
  <si>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</si>
  <si>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</si>
  <si>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</si>
  <si>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</si>
  <si>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</si>
  <si>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</si>
  <si>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</si>
  <si>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</si>
  <si>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</si>
  <si>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</si>
  <si>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</si>
  <si>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</si>
  <si>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</si>
  <si>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</si>
  <si>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</si>
  <si>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</si>
  <si>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</si>
  <si>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</si>
  <si>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</si>
  <si>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</si>
  <si>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</si>
  <si>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</si>
  <si>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</si>
  <si>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</si>
  <si>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</si>
  <si>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</si>
  <si>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</si>
  <si>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</si>
  <si>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</si>
  <si>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</si>
  <si>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</si>
  <si>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</si>
  <si>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</si>
  <si>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</si>
  <si>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</si>
  <si>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</si>
  <si>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</si>
  <si>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</si>
  <si>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</si>
  <si>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</si>
  <si>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</si>
  <si>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</si>
  <si>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</si>
  <si>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</si>
  <si>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</si>
  <si>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</si>
  <si>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</si>
  <si>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</si>
  <si>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</si>
  <si>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</si>
  <si>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</si>
  <si>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AGRICULTURAL:</t>
  </si>
  <si>
    <t>SSO:</t>
  </si>
  <si>
    <t>RUNOFF:</t>
  </si>
  <si>
    <t>Beach length (M)</t>
  </si>
  <si>
    <t>Meters</t>
  </si>
  <si>
    <t>Total length of monitored beaches (M)</t>
  </si>
  <si>
    <t>ENTERO</t>
  </si>
  <si>
    <t>FECAL_COL; ENTERO</t>
  </si>
  <si>
    <t>ENTERO; FECAL_COL</t>
  </si>
  <si>
    <t>ENTERO:</t>
  </si>
  <si>
    <t>FECAL_COL:</t>
  </si>
  <si>
    <t>BOAT:</t>
  </si>
  <si>
    <t>POTW:</t>
  </si>
  <si>
    <t>SEPTIC:</t>
  </si>
  <si>
    <t>SEWER_LINE:</t>
  </si>
  <si>
    <t>AGUADA</t>
  </si>
  <si>
    <t>PR273514</t>
  </si>
  <si>
    <t>BALNEARIO PICO DE PIEDRA, AGUADA</t>
  </si>
  <si>
    <t>AGUADILLA</t>
  </si>
  <si>
    <t>PR259693</t>
  </si>
  <si>
    <t>BALNEARIO CRASH BOAT, AGUADILLA</t>
  </si>
  <si>
    <t>ANASCO</t>
  </si>
  <si>
    <t>PR445257</t>
  </si>
  <si>
    <t>BALNEARIO DE ANASCO</t>
  </si>
  <si>
    <t>ARROYO</t>
  </si>
  <si>
    <t>PR545607</t>
  </si>
  <si>
    <t>BALNEARIO PUNTA GUILARTE, ARROYO</t>
  </si>
  <si>
    <t>CABO ROJO</t>
  </si>
  <si>
    <t>PR442173</t>
  </si>
  <si>
    <t>BALNEARIO DE BOQUERON, CABO ROJO</t>
  </si>
  <si>
    <t>PR601335</t>
  </si>
  <si>
    <t>PLAYA BUYE, CABO ROJO</t>
  </si>
  <si>
    <t>PR768124</t>
  </si>
  <si>
    <t>PLAYA EL COMBATE, CABO ROJO</t>
  </si>
  <si>
    <t>PR599781</t>
  </si>
  <si>
    <t>PLAYA MOJACASABE, CABO ROJO</t>
  </si>
  <si>
    <t>CAROLINA</t>
  </si>
  <si>
    <t>PR217576</t>
  </si>
  <si>
    <t>BALNEARIO DE CAROLINA</t>
  </si>
  <si>
    <t>CULEBRA</t>
  </si>
  <si>
    <t>PR836424</t>
  </si>
  <si>
    <t>PLAYA FLAMENCO, CULEBRA</t>
  </si>
  <si>
    <t>DORADO</t>
  </si>
  <si>
    <t>PR109790</t>
  </si>
  <si>
    <t>BALNEARIO SARDINERA, DORADO</t>
  </si>
  <si>
    <t>FAJARDO</t>
  </si>
  <si>
    <t>PR196004</t>
  </si>
  <si>
    <t>BALNEARIO SEVEN SEAS, FAJARDO</t>
  </si>
  <si>
    <t>GUANICA</t>
  </si>
  <si>
    <t>PR279515</t>
  </si>
  <si>
    <t>BALNEARIO CANA GORDA, GUANICA</t>
  </si>
  <si>
    <t>PR488679</t>
  </si>
  <si>
    <t>PLAYA SANTA, GUANICA</t>
  </si>
  <si>
    <t>HUMACAO</t>
  </si>
  <si>
    <t>PR812748</t>
  </si>
  <si>
    <t>BALNEARIO DE HUMACAO</t>
  </si>
  <si>
    <t>LUQUILLO</t>
  </si>
  <si>
    <t>PR028587</t>
  </si>
  <si>
    <t>BALNEARIO LA MONSERRATE, LUQUILLO</t>
  </si>
  <si>
    <t>PATILLAS</t>
  </si>
  <si>
    <t>PR725956</t>
  </si>
  <si>
    <t>BALNEARIO PATILLAS</t>
  </si>
  <si>
    <t>RINCON</t>
  </si>
  <si>
    <t>PR713070</t>
  </si>
  <si>
    <t>BALNEARIO DE RINCON</t>
  </si>
  <si>
    <t>SAN JUAN</t>
  </si>
  <si>
    <t>PR887736</t>
  </si>
  <si>
    <t>BALNEARIO EL ESCAMBRON, SAN JUAN</t>
  </si>
  <si>
    <t>TOA BAJA</t>
  </si>
  <si>
    <t>PR169439</t>
  </si>
  <si>
    <t>BALNEARIO PUNTA SALINAS, TOA BAJA</t>
  </si>
  <si>
    <t>VEGA ALTA</t>
  </si>
  <si>
    <t>PR184258</t>
  </si>
  <si>
    <t>BALNEARIO CERRO GORDO, DORADO</t>
  </si>
  <si>
    <t>VEGA BAJA</t>
  </si>
  <si>
    <t>PR245481</t>
  </si>
  <si>
    <t>BALNEARIO PUERTO NUEVO, VEGA BAJA</t>
  </si>
  <si>
    <t>N/A</t>
  </si>
  <si>
    <t>RUNOFF</t>
  </si>
  <si>
    <t>SAN  JUAN</t>
  </si>
  <si>
    <t>2011 ACTIONS SUMMARY</t>
  </si>
  <si>
    <t>2011 ACTIONS DURATION SUMMARY</t>
  </si>
  <si>
    <t>Beach action in 2011?</t>
  </si>
  <si>
    <t>2011 BEACH DAYS SUMMARY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</si>
  <si>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</si>
  <si>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</si>
  <si>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</si>
  <si>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</si>
  <si>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</si>
  <si>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</si>
  <si>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</si>
  <si>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</si>
  <si>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</si>
  <si>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</si>
  <si>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</si>
  <si>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</si>
  <si>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</si>
  <si>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</si>
  <si>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Swim season length (days)</t>
  </si>
  <si>
    <t>Swim season monitoring frequency (per week)</t>
  </si>
  <si>
    <t>Off season monitoring frequency (per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</si>
</sst>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trike/>
      <sz val="7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5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 x14ac:dyDescent="0.2">
      <c r="A1" s="11"/>
      <c r="B1" s="11"/>
      <c r="C1" s="185" t="s">
        <v>34</v>
      </c>
      <c r="D1" s="187"/>
      <c r="E1" s="187"/>
      <c r="F1" s="186"/>
      <c r="G1" s="186"/>
      <c r="H1" s="58"/>
      <c r="I1" s="73"/>
      <c r="J1" s="185" t="s">
        <v>36</v>
      </c>
      <c r="K1" s="185"/>
      <c r="L1" s="185"/>
      <c r="M1" s="58"/>
      <c r="N1" s="185" t="s">
        <v>41</v>
      </c>
      <c r="O1" s="186"/>
      <c r="P1" s="186"/>
      <c r="Q1" s="186"/>
      <c r="R1" s="186"/>
      <c r="S1" s="186"/>
      <c r="T1" s="58"/>
      <c r="U1" s="185" t="s">
        <v>40</v>
      </c>
      <c r="V1" s="186"/>
      <c r="W1" s="186"/>
    </row>
    <row r="2" spans="1:23" ht="88.5" customHeight="1" x14ac:dyDescent="0.2">
      <c r="A2" s="4" t="s">
        <v>12</v>
      </c>
      <c r="B2" s="4"/>
      <c r="C2" s="3" t="s">
        <v>38</v>
      </c>
      <c r="D2" s="3" t="s">
        <v>43</v>
      </c>
      <c r="E2" s="3" t="s">
        <v>44</v>
      </c>
      <c r="F2" s="3" t="s">
        <v>148</v>
      </c>
      <c r="G2" s="3" t="s">
        <v>39</v>
      </c>
      <c r="H2" s="3" t="s">
        <v>53</v>
      </c>
      <c r="I2" s="3"/>
      <c r="J2" s="3" t="s">
        <v>0</v>
      </c>
      <c r="K2" s="3" t="s">
        <v>1</v>
      </c>
      <c r="L2" s="3" t="s">
        <v>2</v>
      </c>
      <c r="M2" s="3"/>
      <c r="N2" s="14" t="s">
        <v>42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15</v>
      </c>
    </row>
    <row r="3" spans="1:23" x14ac:dyDescent="0.2">
      <c r="A3" s="30" t="s">
        <v>158</v>
      </c>
      <c r="B3" s="16"/>
      <c r="C3" s="30">
        <f>Monitoring!$B$3</f>
        <v>1</v>
      </c>
      <c r="D3" s="28">
        <f>Monitoring!$E$3</f>
        <v>1</v>
      </c>
      <c r="E3" s="48">
        <f>D3/C3</f>
        <v>1</v>
      </c>
      <c r="F3" s="77">
        <f>Monitoring!$I$3</f>
        <v>328</v>
      </c>
      <c r="G3" s="13">
        <f>C3</f>
        <v>1</v>
      </c>
      <c r="H3" s="48">
        <f>D3/C3</f>
        <v>1</v>
      </c>
      <c r="I3" s="13"/>
      <c r="J3" s="47">
        <f>'2011 Actions'!B5</f>
        <v>1</v>
      </c>
      <c r="K3" s="47">
        <f>D3-J3</f>
        <v>0</v>
      </c>
      <c r="L3" s="48">
        <f>J3/D3</f>
        <v>1</v>
      </c>
      <c r="M3" s="13"/>
      <c r="N3" s="148">
        <f>'Action Durations'!D4</f>
        <v>3</v>
      </c>
      <c r="O3" s="47">
        <f>'Action Durations'!G4</f>
        <v>0</v>
      </c>
      <c r="P3" s="47">
        <f>'Action Durations'!H4</f>
        <v>0</v>
      </c>
      <c r="Q3" s="47">
        <f>'Action Durations'!I4</f>
        <v>1</v>
      </c>
      <c r="R3" s="47">
        <f>'Action Durations'!J4</f>
        <v>2</v>
      </c>
      <c r="S3" s="47">
        <f>'Action Durations'!K4</f>
        <v>0</v>
      </c>
      <c r="T3" s="13"/>
      <c r="U3" s="49">
        <f>'Beach Days'!E4</f>
        <v>365</v>
      </c>
      <c r="V3" s="49">
        <f>'Beach Days'!H4</f>
        <v>29</v>
      </c>
      <c r="W3" s="37">
        <f t="shared" ref="W3:W11" si="0">V3/U3</f>
        <v>7.9452054794520555E-2</v>
      </c>
    </row>
    <row r="4" spans="1:23" x14ac:dyDescent="0.2">
      <c r="A4" s="30" t="s">
        <v>161</v>
      </c>
      <c r="B4" s="16"/>
      <c r="C4" s="54">
        <f>Monitoring!$B$6</f>
        <v>1</v>
      </c>
      <c r="D4" s="28">
        <f>Monitoring!$E$6</f>
        <v>1</v>
      </c>
      <c r="E4" s="48">
        <f>D4/C4</f>
        <v>1</v>
      </c>
      <c r="F4" s="77">
        <f>Monitoring!$I$6</f>
        <v>787.2</v>
      </c>
      <c r="G4" s="13">
        <f>C4</f>
        <v>1</v>
      </c>
      <c r="H4" s="48">
        <f>D4/C4</f>
        <v>1</v>
      </c>
      <c r="I4" s="13"/>
      <c r="J4" s="47">
        <f>'2011 Actions'!B9</f>
        <v>1</v>
      </c>
      <c r="K4" s="47">
        <f>D4-J4</f>
        <v>0</v>
      </c>
      <c r="L4" s="48">
        <f>J4/D4</f>
        <v>1</v>
      </c>
      <c r="M4" s="13"/>
      <c r="N4" s="183">
        <f>'Action Durations'!D6</f>
        <v>2</v>
      </c>
      <c r="O4" s="47">
        <f>'Action Durations'!G6</f>
        <v>0</v>
      </c>
      <c r="P4" s="47">
        <f>'Action Durations'!H6</f>
        <v>0</v>
      </c>
      <c r="Q4" s="47">
        <f>'Action Durations'!I6</f>
        <v>1</v>
      </c>
      <c r="R4" s="47">
        <f>'Action Durations'!J6</f>
        <v>1</v>
      </c>
      <c r="S4" s="47">
        <f>'Action Durations'!K6</f>
        <v>0</v>
      </c>
      <c r="T4" s="13"/>
      <c r="U4" s="49">
        <f>'Beach Days'!E7</f>
        <v>365</v>
      </c>
      <c r="V4" s="49">
        <f>'Beach Days'!H7</f>
        <v>12</v>
      </c>
      <c r="W4" s="37">
        <f t="shared" si="0"/>
        <v>3.287671232876712E-2</v>
      </c>
    </row>
    <row r="5" spans="1:23" x14ac:dyDescent="0.2">
      <c r="A5" s="30" t="s">
        <v>164</v>
      </c>
      <c r="B5" s="16"/>
      <c r="C5" s="54">
        <f>Monitoring!$B$9</f>
        <v>1</v>
      </c>
      <c r="D5" s="28">
        <f>Monitoring!$E$9</f>
        <v>1</v>
      </c>
      <c r="E5" s="48">
        <f>D5/C5</f>
        <v>1</v>
      </c>
      <c r="F5" s="77">
        <f>Monitoring!$I$9</f>
        <v>1115.2</v>
      </c>
      <c r="G5" s="13">
        <f t="shared" ref="G5:G20" si="1">C5</f>
        <v>1</v>
      </c>
      <c r="H5" s="48">
        <f t="shared" ref="H5:H20" si="2">D5/C5</f>
        <v>1</v>
      </c>
      <c r="I5" s="13"/>
      <c r="J5" s="47">
        <f>'2011 Actions'!B12</f>
        <v>1</v>
      </c>
      <c r="K5" s="47">
        <f>D5-J5</f>
        <v>0</v>
      </c>
      <c r="L5" s="48">
        <f>J5/D5</f>
        <v>1</v>
      </c>
      <c r="M5" s="13"/>
      <c r="N5" s="163">
        <f>'Action Durations'!D10</f>
        <v>1</v>
      </c>
      <c r="O5" s="47">
        <f>'Action Durations'!G10</f>
        <v>0</v>
      </c>
      <c r="P5" s="47">
        <f>'Action Durations'!H10</f>
        <v>0</v>
      </c>
      <c r="Q5" s="47">
        <f>'Action Durations'!I10</f>
        <v>0</v>
      </c>
      <c r="R5" s="47">
        <f>'Action Durations'!J10</f>
        <v>1</v>
      </c>
      <c r="S5" s="47">
        <f>'Action Durations'!K10</f>
        <v>0</v>
      </c>
      <c r="T5" s="13"/>
      <c r="U5" s="49">
        <f>'Beach Days'!E10</f>
        <v>365</v>
      </c>
      <c r="V5" s="49">
        <f>'Beach Days'!H10</f>
        <v>8</v>
      </c>
      <c r="W5" s="37">
        <f t="shared" si="0"/>
        <v>2.1917808219178082E-2</v>
      </c>
    </row>
    <row r="6" spans="1:23" x14ac:dyDescent="0.2">
      <c r="A6" s="30" t="s">
        <v>167</v>
      </c>
      <c r="B6" s="16"/>
      <c r="C6" s="54">
        <f>Monitoring!$B$12</f>
        <v>1</v>
      </c>
      <c r="D6" s="28">
        <f>Monitoring!$E$12</f>
        <v>1</v>
      </c>
      <c r="E6" s="48">
        <f>D6/C6</f>
        <v>1</v>
      </c>
      <c r="F6" s="77">
        <f>Monitoring!$I$12</f>
        <v>1213.5999999999999</v>
      </c>
      <c r="G6" s="13">
        <f t="shared" si="1"/>
        <v>1</v>
      </c>
      <c r="H6" s="48">
        <f t="shared" si="2"/>
        <v>1</v>
      </c>
      <c r="I6" s="13"/>
      <c r="J6" s="47">
        <v>0</v>
      </c>
      <c r="K6" s="47">
        <f>D6-J6</f>
        <v>1</v>
      </c>
      <c r="L6" s="48">
        <f>J6/D6</f>
        <v>0</v>
      </c>
      <c r="M6" s="13"/>
      <c r="N6" s="163">
        <v>0</v>
      </c>
      <c r="O6" s="127" t="s">
        <v>37</v>
      </c>
      <c r="P6" s="127" t="s">
        <v>37</v>
      </c>
      <c r="Q6" s="127" t="s">
        <v>37</v>
      </c>
      <c r="R6" s="127" t="s">
        <v>37</v>
      </c>
      <c r="S6" s="127" t="s">
        <v>37</v>
      </c>
      <c r="T6" s="13"/>
      <c r="U6" s="49">
        <f>'Beach Days'!E13</f>
        <v>365</v>
      </c>
      <c r="V6" s="49">
        <f>'Beach Days'!H13</f>
        <v>0</v>
      </c>
      <c r="W6" s="37">
        <f t="shared" si="0"/>
        <v>0</v>
      </c>
    </row>
    <row r="7" spans="1:23" x14ac:dyDescent="0.2">
      <c r="A7" s="30" t="s">
        <v>170</v>
      </c>
      <c r="B7" s="16"/>
      <c r="C7" s="54">
        <f>Monitoring!$B$18</f>
        <v>4</v>
      </c>
      <c r="D7" s="28">
        <f>Monitoring!$E$18</f>
        <v>4</v>
      </c>
      <c r="E7" s="48">
        <f t="shared" ref="E7:E15" si="3">D7/C7</f>
        <v>1</v>
      </c>
      <c r="F7" s="77">
        <f>Monitoring!$I$18</f>
        <v>4559.2</v>
      </c>
      <c r="G7" s="13">
        <f t="shared" si="1"/>
        <v>4</v>
      </c>
      <c r="H7" s="48">
        <f t="shared" si="2"/>
        <v>1</v>
      </c>
      <c r="I7" s="13"/>
      <c r="J7" s="47">
        <f>'2011 Actions'!$B$18</f>
        <v>2</v>
      </c>
      <c r="K7" s="47">
        <f>D7-J7</f>
        <v>2</v>
      </c>
      <c r="L7" s="48">
        <f t="shared" ref="L7:L17" si="4">J7/D7</f>
        <v>0.5</v>
      </c>
      <c r="M7" s="13"/>
      <c r="N7" s="163">
        <f>'Action Durations'!D14</f>
        <v>4</v>
      </c>
      <c r="O7" s="47">
        <f>'Action Durations'!G14</f>
        <v>0</v>
      </c>
      <c r="P7" s="47">
        <f>'Action Durations'!H14</f>
        <v>0</v>
      </c>
      <c r="Q7" s="47">
        <f>'Action Durations'!I14</f>
        <v>1</v>
      </c>
      <c r="R7" s="47">
        <f>'Action Durations'!J14</f>
        <v>3</v>
      </c>
      <c r="S7" s="47">
        <f>'Action Durations'!K14</f>
        <v>0</v>
      </c>
      <c r="T7" s="13"/>
      <c r="U7" s="49">
        <f>'Beach Days'!E19</f>
        <v>1460</v>
      </c>
      <c r="V7" s="49">
        <f>'Beach Days'!H19</f>
        <v>37</v>
      </c>
      <c r="W7" s="37">
        <f t="shared" si="0"/>
        <v>2.5342465753424658E-2</v>
      </c>
    </row>
    <row r="8" spans="1:23" x14ac:dyDescent="0.2">
      <c r="A8" s="30" t="s">
        <v>179</v>
      </c>
      <c r="B8" s="16"/>
      <c r="C8" s="54">
        <f>Monitoring!$B$21</f>
        <v>1</v>
      </c>
      <c r="D8" s="28">
        <f>Monitoring!$E$21</f>
        <v>1</v>
      </c>
      <c r="E8" s="48">
        <f t="shared" si="3"/>
        <v>1</v>
      </c>
      <c r="F8" s="77">
        <f>Monitoring!$I$21</f>
        <v>1476</v>
      </c>
      <c r="G8" s="13">
        <f t="shared" si="1"/>
        <v>1</v>
      </c>
      <c r="H8" s="48">
        <f t="shared" si="2"/>
        <v>1</v>
      </c>
      <c r="I8" s="13"/>
      <c r="J8" s="47">
        <v>0</v>
      </c>
      <c r="K8" s="47">
        <f t="shared" ref="K8:K19" si="5">D8-J8</f>
        <v>1</v>
      </c>
      <c r="L8" s="48">
        <f t="shared" si="4"/>
        <v>0</v>
      </c>
      <c r="M8" s="13"/>
      <c r="N8" s="183">
        <v>0</v>
      </c>
      <c r="O8" s="127" t="s">
        <v>37</v>
      </c>
      <c r="P8" s="127" t="s">
        <v>37</v>
      </c>
      <c r="Q8" s="127" t="s">
        <v>37</v>
      </c>
      <c r="R8" s="127" t="s">
        <v>37</v>
      </c>
      <c r="S8" s="127" t="s">
        <v>37</v>
      </c>
      <c r="T8" s="13"/>
      <c r="U8" s="49">
        <f>'Beach Days'!E22</f>
        <v>365</v>
      </c>
      <c r="V8" s="49">
        <f>'Beach Days'!H22</f>
        <v>0</v>
      </c>
      <c r="W8" s="37">
        <f t="shared" si="0"/>
        <v>0</v>
      </c>
    </row>
    <row r="9" spans="1:23" x14ac:dyDescent="0.2">
      <c r="A9" s="30" t="s">
        <v>182</v>
      </c>
      <c r="B9" s="16"/>
      <c r="C9" s="54">
        <f>Monitoring!$B$24</f>
        <v>1</v>
      </c>
      <c r="D9" s="28">
        <f>Monitoring!$E$24</f>
        <v>1</v>
      </c>
      <c r="E9" s="48">
        <f t="shared" si="3"/>
        <v>1</v>
      </c>
      <c r="F9" s="77">
        <f>Monitoring!$I$24</f>
        <v>2000.8</v>
      </c>
      <c r="G9" s="13">
        <f t="shared" si="1"/>
        <v>1</v>
      </c>
      <c r="H9" s="48">
        <f t="shared" si="2"/>
        <v>1</v>
      </c>
      <c r="I9" s="13"/>
      <c r="J9" s="47">
        <v>0</v>
      </c>
      <c r="K9" s="47">
        <f t="shared" si="5"/>
        <v>1</v>
      </c>
      <c r="L9" s="48">
        <f t="shared" si="4"/>
        <v>0</v>
      </c>
      <c r="M9" s="13"/>
      <c r="N9" s="163">
        <v>0</v>
      </c>
      <c r="O9" s="127" t="s">
        <v>37</v>
      </c>
      <c r="P9" s="127" t="s">
        <v>37</v>
      </c>
      <c r="Q9" s="127" t="s">
        <v>37</v>
      </c>
      <c r="R9" s="127" t="s">
        <v>37</v>
      </c>
      <c r="S9" s="127" t="s">
        <v>37</v>
      </c>
      <c r="T9" s="13"/>
      <c r="U9" s="49">
        <f>'Beach Days'!E25</f>
        <v>365</v>
      </c>
      <c r="V9" s="49">
        <f>'Beach Days'!H25</f>
        <v>0</v>
      </c>
      <c r="W9" s="37">
        <f t="shared" si="0"/>
        <v>0</v>
      </c>
    </row>
    <row r="10" spans="1:23" x14ac:dyDescent="0.2">
      <c r="A10" s="30" t="s">
        <v>185</v>
      </c>
      <c r="B10" s="16"/>
      <c r="C10" s="54">
        <f>Monitoring!$B$27</f>
        <v>1</v>
      </c>
      <c r="D10" s="28">
        <f>Monitoring!$E$27</f>
        <v>1</v>
      </c>
      <c r="E10" s="48">
        <f t="shared" si="3"/>
        <v>1</v>
      </c>
      <c r="F10" s="77">
        <f>Monitoring!$I$27</f>
        <v>1344.8</v>
      </c>
      <c r="G10" s="13">
        <f t="shared" si="1"/>
        <v>1</v>
      </c>
      <c r="H10" s="48">
        <f t="shared" si="2"/>
        <v>1</v>
      </c>
      <c r="I10" s="13"/>
      <c r="J10" s="47">
        <f>'2011 Actions'!$B$21</f>
        <v>1</v>
      </c>
      <c r="K10" s="47">
        <f t="shared" si="5"/>
        <v>0</v>
      </c>
      <c r="L10" s="48">
        <f t="shared" si="4"/>
        <v>1</v>
      </c>
      <c r="M10" s="13"/>
      <c r="N10" s="148">
        <f>'Action Durations'!D17</f>
        <v>1</v>
      </c>
      <c r="O10" s="47">
        <f>'Action Durations'!G17</f>
        <v>0</v>
      </c>
      <c r="P10" s="47">
        <f>'Action Durations'!H17</f>
        <v>0</v>
      </c>
      <c r="Q10" s="47">
        <f>'Action Durations'!I17</f>
        <v>0</v>
      </c>
      <c r="R10" s="47">
        <f>'Action Durations'!J17</f>
        <v>1</v>
      </c>
      <c r="S10" s="47">
        <f>'Action Durations'!K17</f>
        <v>0</v>
      </c>
      <c r="T10" s="13"/>
      <c r="U10" s="49">
        <f>'Beach Days'!E28</f>
        <v>365</v>
      </c>
      <c r="V10" s="49">
        <f>'Beach Days'!H28</f>
        <v>21</v>
      </c>
      <c r="W10" s="37">
        <f t="shared" si="0"/>
        <v>5.7534246575342465E-2</v>
      </c>
    </row>
    <row r="11" spans="1:23" x14ac:dyDescent="0.2">
      <c r="A11" s="30" t="s">
        <v>188</v>
      </c>
      <c r="B11" s="16"/>
      <c r="C11" s="54">
        <f>Monitoring!$B$30</f>
        <v>1</v>
      </c>
      <c r="D11" s="28">
        <f>Monitoring!$E$30</f>
        <v>1</v>
      </c>
      <c r="E11" s="48">
        <f t="shared" si="3"/>
        <v>1</v>
      </c>
      <c r="F11" s="77">
        <f>Monitoring!$I$30</f>
        <v>1049.5999999999999</v>
      </c>
      <c r="G11" s="13">
        <f t="shared" si="1"/>
        <v>1</v>
      </c>
      <c r="H11" s="48">
        <f t="shared" si="2"/>
        <v>1</v>
      </c>
      <c r="I11" s="13"/>
      <c r="J11" s="47">
        <f>'2011 Actions'!$B$25</f>
        <v>1</v>
      </c>
      <c r="K11" s="47">
        <f t="shared" si="5"/>
        <v>0</v>
      </c>
      <c r="L11" s="48">
        <f t="shared" si="4"/>
        <v>1</v>
      </c>
      <c r="M11" s="13"/>
      <c r="N11" s="183">
        <f>'Action Durations'!D20</f>
        <v>2</v>
      </c>
      <c r="O11" s="47">
        <f>'Action Durations'!G20</f>
        <v>0</v>
      </c>
      <c r="P11" s="47">
        <f>'Action Durations'!H20</f>
        <v>0</v>
      </c>
      <c r="Q11" s="47">
        <f>'Action Durations'!I20</f>
        <v>0</v>
      </c>
      <c r="R11" s="47">
        <f>'Action Durations'!J20</f>
        <v>2</v>
      </c>
      <c r="S11" s="47">
        <f>'Action Durations'!K20</f>
        <v>0</v>
      </c>
      <c r="T11" s="13"/>
      <c r="U11" s="49">
        <f>'Beach Days'!E31</f>
        <v>365</v>
      </c>
      <c r="V11" s="49">
        <f>'Beach Days'!H31</f>
        <v>27</v>
      </c>
      <c r="W11" s="37">
        <f t="shared" si="0"/>
        <v>7.3972602739726029E-2</v>
      </c>
    </row>
    <row r="12" spans="1:23" x14ac:dyDescent="0.2">
      <c r="A12" s="30" t="s">
        <v>191</v>
      </c>
      <c r="B12" s="16"/>
      <c r="C12" s="54">
        <f>Monitoring!$B$34</f>
        <v>2</v>
      </c>
      <c r="D12" s="28">
        <f>Monitoring!$E$34</f>
        <v>2</v>
      </c>
      <c r="E12" s="48">
        <f t="shared" si="3"/>
        <v>1</v>
      </c>
      <c r="F12" s="77">
        <f>Monitoring!$I$34</f>
        <v>1344.8</v>
      </c>
      <c r="G12" s="13">
        <f t="shared" si="1"/>
        <v>2</v>
      </c>
      <c r="H12" s="48">
        <f t="shared" si="2"/>
        <v>1</v>
      </c>
      <c r="I12" s="13"/>
      <c r="J12" s="47">
        <f>'2011 Actions'!$B$30</f>
        <v>2</v>
      </c>
      <c r="K12" s="47">
        <f t="shared" si="5"/>
        <v>0</v>
      </c>
      <c r="L12" s="48">
        <f t="shared" si="4"/>
        <v>1</v>
      </c>
      <c r="M12" s="13"/>
      <c r="N12" s="148">
        <f>'Action Durations'!D24</f>
        <v>3</v>
      </c>
      <c r="O12" s="47">
        <f>'Action Durations'!G24</f>
        <v>0</v>
      </c>
      <c r="P12" s="47">
        <f>'Action Durations'!H24</f>
        <v>0</v>
      </c>
      <c r="Q12" s="47">
        <f>'Action Durations'!I24</f>
        <v>1</v>
      </c>
      <c r="R12" s="47">
        <f>'Action Durations'!J24</f>
        <v>2</v>
      </c>
      <c r="S12" s="47">
        <f>'Action Durations'!K24</f>
        <v>0</v>
      </c>
      <c r="T12" s="13"/>
      <c r="U12" s="49">
        <f>'Beach Days'!E35</f>
        <v>730</v>
      </c>
      <c r="V12" s="49">
        <f>'Beach Days'!H35</f>
        <v>33</v>
      </c>
      <c r="W12" s="37">
        <f t="shared" ref="W12" si="6">V12/U12</f>
        <v>4.5205479452054796E-2</v>
      </c>
    </row>
    <row r="13" spans="1:23" x14ac:dyDescent="0.2">
      <c r="A13" s="30" t="s">
        <v>196</v>
      </c>
      <c r="B13" s="16"/>
      <c r="C13" s="54">
        <f>Monitoring!$B$37</f>
        <v>1</v>
      </c>
      <c r="D13" s="28">
        <f>Monitoring!$E$37</f>
        <v>1</v>
      </c>
      <c r="E13" s="48">
        <f t="shared" si="3"/>
        <v>1</v>
      </c>
      <c r="F13" s="77">
        <f>Monitoring!$I$37</f>
        <v>3739.2</v>
      </c>
      <c r="G13" s="13">
        <f t="shared" si="1"/>
        <v>1</v>
      </c>
      <c r="H13" s="48">
        <f t="shared" si="2"/>
        <v>1</v>
      </c>
      <c r="I13" s="13"/>
      <c r="J13" s="47">
        <v>0</v>
      </c>
      <c r="K13" s="47">
        <f t="shared" si="5"/>
        <v>1</v>
      </c>
      <c r="L13" s="48">
        <f t="shared" si="4"/>
        <v>0</v>
      </c>
      <c r="M13" s="13"/>
      <c r="N13" s="183">
        <v>0</v>
      </c>
      <c r="O13" s="127" t="s">
        <v>37</v>
      </c>
      <c r="P13" s="127" t="s">
        <v>37</v>
      </c>
      <c r="Q13" s="127" t="s">
        <v>37</v>
      </c>
      <c r="R13" s="127" t="s">
        <v>37</v>
      </c>
      <c r="S13" s="127" t="s">
        <v>37</v>
      </c>
      <c r="T13" s="13"/>
      <c r="U13" s="49">
        <f>'Beach Days'!E38</f>
        <v>365</v>
      </c>
      <c r="V13" s="49">
        <f>'Beach Days'!H38</f>
        <v>0</v>
      </c>
      <c r="W13" s="37">
        <f t="shared" ref="W13:W20" si="7">V13/U13</f>
        <v>0</v>
      </c>
    </row>
    <row r="14" spans="1:23" x14ac:dyDescent="0.2">
      <c r="A14" s="30" t="s">
        <v>199</v>
      </c>
      <c r="B14" s="16"/>
      <c r="C14" s="54">
        <f>Monitoring!$B$40</f>
        <v>1</v>
      </c>
      <c r="D14" s="28">
        <f>Monitoring!$E$40</f>
        <v>1</v>
      </c>
      <c r="E14" s="48">
        <f t="shared" si="3"/>
        <v>1</v>
      </c>
      <c r="F14" s="77">
        <f>Monitoring!$I$40</f>
        <v>1246.4000000000001</v>
      </c>
      <c r="G14" s="13">
        <f t="shared" si="1"/>
        <v>1</v>
      </c>
      <c r="H14" s="48">
        <f t="shared" si="2"/>
        <v>1</v>
      </c>
      <c r="I14" s="13"/>
      <c r="J14" s="47">
        <f>'2011 Actions'!$B$33</f>
        <v>1</v>
      </c>
      <c r="K14" s="47">
        <f t="shared" si="5"/>
        <v>0</v>
      </c>
      <c r="L14" s="48">
        <f t="shared" si="4"/>
        <v>1</v>
      </c>
      <c r="M14" s="13"/>
      <c r="N14" s="148">
        <f>'Action Durations'!D27</f>
        <v>1</v>
      </c>
      <c r="O14" s="47">
        <f>'Action Durations'!G27</f>
        <v>0</v>
      </c>
      <c r="P14" s="47">
        <f>'Action Durations'!H27</f>
        <v>0</v>
      </c>
      <c r="Q14" s="47">
        <f>'Action Durations'!I27</f>
        <v>0</v>
      </c>
      <c r="R14" s="47">
        <f>'Action Durations'!J27</f>
        <v>1</v>
      </c>
      <c r="S14" s="47">
        <f>'Action Durations'!K27</f>
        <v>0</v>
      </c>
      <c r="T14" s="13"/>
      <c r="U14" s="49">
        <f>'Beach Days'!E41</f>
        <v>365</v>
      </c>
      <c r="V14" s="49">
        <f>'Beach Days'!H41</f>
        <v>13</v>
      </c>
      <c r="W14" s="37">
        <f t="shared" si="7"/>
        <v>3.5616438356164383E-2</v>
      </c>
    </row>
    <row r="15" spans="1:23" x14ac:dyDescent="0.2">
      <c r="A15" s="30" t="s">
        <v>202</v>
      </c>
      <c r="B15" s="16"/>
      <c r="C15" s="54">
        <f>Monitoring!$B$43</f>
        <v>1</v>
      </c>
      <c r="D15" s="28">
        <f>Monitoring!$E$43</f>
        <v>1</v>
      </c>
      <c r="E15" s="37">
        <f t="shared" si="3"/>
        <v>1</v>
      </c>
      <c r="F15" s="77">
        <f>Monitoring!$I$43</f>
        <v>360.8</v>
      </c>
      <c r="G15" s="13">
        <f t="shared" si="1"/>
        <v>1</v>
      </c>
      <c r="H15" s="48">
        <f t="shared" si="2"/>
        <v>1</v>
      </c>
      <c r="I15" s="13"/>
      <c r="J15" s="47">
        <f>'2011 Actions'!$B$39</f>
        <v>1</v>
      </c>
      <c r="K15" s="47">
        <f t="shared" si="5"/>
        <v>0</v>
      </c>
      <c r="L15" s="48">
        <f t="shared" si="4"/>
        <v>1</v>
      </c>
      <c r="M15" s="13"/>
      <c r="N15" s="148">
        <f>'Action Durations'!D30</f>
        <v>4</v>
      </c>
      <c r="O15" s="47">
        <f>'Action Durations'!G30</f>
        <v>0</v>
      </c>
      <c r="P15" s="47">
        <f>'Action Durations'!H30</f>
        <v>0</v>
      </c>
      <c r="Q15" s="47">
        <f>'Action Durations'!I30</f>
        <v>2</v>
      </c>
      <c r="R15" s="47">
        <f>'Action Durations'!J30</f>
        <v>2</v>
      </c>
      <c r="S15" s="47">
        <f>'Action Durations'!K30</f>
        <v>0</v>
      </c>
      <c r="T15" s="13"/>
      <c r="U15" s="49">
        <f>'Beach Days'!E44</f>
        <v>365</v>
      </c>
      <c r="V15" s="49">
        <f>'Beach Days'!H44</f>
        <v>39</v>
      </c>
      <c r="W15" s="37">
        <f t="shared" si="7"/>
        <v>0.10684931506849316</v>
      </c>
    </row>
    <row r="16" spans="1:23" x14ac:dyDescent="0.2">
      <c r="A16" s="54" t="s">
        <v>205</v>
      </c>
      <c r="B16" s="16"/>
      <c r="C16" s="54">
        <f>Monitoring!$B$46</f>
        <v>1</v>
      </c>
      <c r="D16" s="28">
        <f>Monitoring!$E$46</f>
        <v>1</v>
      </c>
      <c r="E16" s="37">
        <f t="shared" ref="E16" si="8">D16/C16</f>
        <v>1</v>
      </c>
      <c r="F16" s="77">
        <f>Monitoring!$I$46</f>
        <v>459.2</v>
      </c>
      <c r="G16" s="13">
        <f t="shared" si="1"/>
        <v>1</v>
      </c>
      <c r="H16" s="48">
        <f t="shared" si="2"/>
        <v>1</v>
      </c>
      <c r="I16" s="53"/>
      <c r="J16" s="47">
        <f>'2011 Actions'!$B$42</f>
        <v>1</v>
      </c>
      <c r="K16" s="47">
        <f t="shared" si="5"/>
        <v>0</v>
      </c>
      <c r="L16" s="37">
        <f t="shared" ref="L16:L20" si="9">J16/D16</f>
        <v>1</v>
      </c>
      <c r="M16" s="53"/>
      <c r="N16" s="163">
        <f>'Action Durations'!D33</f>
        <v>1</v>
      </c>
      <c r="O16" s="47">
        <f>'Action Durations'!G33</f>
        <v>0</v>
      </c>
      <c r="P16" s="47">
        <f>'Action Durations'!H33</f>
        <v>0</v>
      </c>
      <c r="Q16" s="47">
        <f>'Action Durations'!I33</f>
        <v>0</v>
      </c>
      <c r="R16" s="47">
        <f>'Action Durations'!J33</f>
        <v>1</v>
      </c>
      <c r="S16" s="47">
        <f>'Action Durations'!K33</f>
        <v>0</v>
      </c>
      <c r="T16" s="53"/>
      <c r="U16" s="49">
        <f>'Beach Days'!E47</f>
        <v>365</v>
      </c>
      <c r="V16" s="49">
        <f>'Beach Days'!H47</f>
        <v>8</v>
      </c>
      <c r="W16" s="37">
        <f t="shared" si="7"/>
        <v>2.1917808219178082E-2</v>
      </c>
    </row>
    <row r="17" spans="1:23" x14ac:dyDescent="0.2">
      <c r="A17" s="54" t="s">
        <v>222</v>
      </c>
      <c r="B17" s="16"/>
      <c r="C17" s="54">
        <f>Monitoring!$B$49</f>
        <v>1</v>
      </c>
      <c r="D17" s="28">
        <f>Monitoring!$E$49</f>
        <v>1</v>
      </c>
      <c r="E17" s="37">
        <f t="shared" ref="E17:E20" si="10">D17/C17</f>
        <v>1</v>
      </c>
      <c r="F17" s="77">
        <f>Monitoring!$I$49</f>
        <v>656</v>
      </c>
      <c r="G17" s="13">
        <f t="shared" si="1"/>
        <v>1</v>
      </c>
      <c r="H17" s="48">
        <f t="shared" si="2"/>
        <v>1</v>
      </c>
      <c r="I17" s="53"/>
      <c r="J17" s="47">
        <f>'2011 Actions'!$B$45</f>
        <v>1</v>
      </c>
      <c r="K17" s="130">
        <f t="shared" si="5"/>
        <v>0</v>
      </c>
      <c r="L17" s="48">
        <f t="shared" si="4"/>
        <v>1</v>
      </c>
      <c r="M17" s="53"/>
      <c r="N17" s="163">
        <f>'Action Durations'!D36</f>
        <v>1</v>
      </c>
      <c r="O17" s="47">
        <f>'Action Durations'!G36</f>
        <v>0</v>
      </c>
      <c r="P17" s="47">
        <f>'Action Durations'!H36</f>
        <v>0</v>
      </c>
      <c r="Q17" s="47">
        <f>'Action Durations'!I36</f>
        <v>1</v>
      </c>
      <c r="R17" s="47">
        <f>'Action Durations'!J36</f>
        <v>0</v>
      </c>
      <c r="S17" s="47">
        <f>'Action Durations'!K36</f>
        <v>0</v>
      </c>
      <c r="T17" s="53"/>
      <c r="U17" s="49">
        <f>'Beach Days'!E50</f>
        <v>365</v>
      </c>
      <c r="V17" s="49">
        <f>'Beach Days'!H50</f>
        <v>7</v>
      </c>
      <c r="W17" s="37">
        <f t="shared" si="7"/>
        <v>1.9178082191780823E-2</v>
      </c>
    </row>
    <row r="18" spans="1:23" x14ac:dyDescent="0.2">
      <c r="A18" s="54" t="s">
        <v>211</v>
      </c>
      <c r="B18" s="16"/>
      <c r="C18" s="54">
        <f>Monitoring!$B$52</f>
        <v>1</v>
      </c>
      <c r="D18" s="28">
        <f>Monitoring!$E$52</f>
        <v>1</v>
      </c>
      <c r="E18" s="37">
        <f t="shared" si="10"/>
        <v>1</v>
      </c>
      <c r="F18" s="77">
        <f>Monitoring!$I$52</f>
        <v>1115.2</v>
      </c>
      <c r="G18" s="13">
        <f t="shared" si="1"/>
        <v>1</v>
      </c>
      <c r="H18" s="48">
        <f t="shared" si="2"/>
        <v>1</v>
      </c>
      <c r="I18" s="53"/>
      <c r="J18" s="47">
        <v>0</v>
      </c>
      <c r="K18" s="130">
        <f t="shared" si="5"/>
        <v>1</v>
      </c>
      <c r="L18" s="37">
        <f t="shared" si="9"/>
        <v>0</v>
      </c>
      <c r="M18" s="53"/>
      <c r="N18" s="163">
        <v>0</v>
      </c>
      <c r="O18" s="127" t="s">
        <v>37</v>
      </c>
      <c r="P18" s="127" t="s">
        <v>37</v>
      </c>
      <c r="Q18" s="127" t="s">
        <v>37</v>
      </c>
      <c r="R18" s="127" t="s">
        <v>37</v>
      </c>
      <c r="S18" s="127" t="s">
        <v>37</v>
      </c>
      <c r="T18" s="53"/>
      <c r="U18" s="49">
        <f>'Beach Days'!E53</f>
        <v>365</v>
      </c>
      <c r="V18" s="49">
        <f>'Beach Days'!H53</f>
        <v>0</v>
      </c>
      <c r="W18" s="37">
        <f t="shared" si="7"/>
        <v>0</v>
      </c>
    </row>
    <row r="19" spans="1:23" x14ac:dyDescent="0.2">
      <c r="A19" s="54" t="s">
        <v>214</v>
      </c>
      <c r="B19" s="16"/>
      <c r="C19" s="54">
        <f>Monitoring!$B$55</f>
        <v>1</v>
      </c>
      <c r="D19" s="28">
        <f>Monitoring!$E$55</f>
        <v>1</v>
      </c>
      <c r="E19" s="37">
        <f t="shared" si="10"/>
        <v>1</v>
      </c>
      <c r="F19" s="77">
        <f>Monitoring!$I$55</f>
        <v>590.4</v>
      </c>
      <c r="G19" s="13">
        <f t="shared" si="1"/>
        <v>1</v>
      </c>
      <c r="H19" s="48">
        <f t="shared" si="2"/>
        <v>1</v>
      </c>
      <c r="I19" s="53"/>
      <c r="J19" s="47">
        <f>'2011 Actions'!$B$49</f>
        <v>1</v>
      </c>
      <c r="K19" s="47">
        <f t="shared" si="5"/>
        <v>0</v>
      </c>
      <c r="L19" s="37">
        <f t="shared" si="9"/>
        <v>1</v>
      </c>
      <c r="M19" s="53"/>
      <c r="N19" s="163">
        <f>'Action Durations'!D39</f>
        <v>2</v>
      </c>
      <c r="O19" s="47">
        <f>'Action Durations'!G39</f>
        <v>0</v>
      </c>
      <c r="P19" s="47">
        <f>'Action Durations'!H39</f>
        <v>0</v>
      </c>
      <c r="Q19" s="47">
        <f>'Action Durations'!I39</f>
        <v>1</v>
      </c>
      <c r="R19" s="47">
        <f>'Action Durations'!J39</f>
        <v>1</v>
      </c>
      <c r="S19" s="47">
        <f>'Action Durations'!K39</f>
        <v>0</v>
      </c>
      <c r="T19" s="53"/>
      <c r="U19" s="49">
        <f>'Beach Days'!E56</f>
        <v>365</v>
      </c>
      <c r="V19" s="49">
        <f>'Beach Days'!H56</f>
        <v>19</v>
      </c>
      <c r="W19" s="37">
        <f t="shared" si="7"/>
        <v>5.2054794520547946E-2</v>
      </c>
    </row>
    <row r="20" spans="1:23" x14ac:dyDescent="0.2">
      <c r="A20" s="33" t="s">
        <v>217</v>
      </c>
      <c r="B20" s="149"/>
      <c r="C20" s="128">
        <f>Monitoring!$B$58</f>
        <v>1</v>
      </c>
      <c r="D20" s="150">
        <f>Monitoring!$E$58</f>
        <v>1</v>
      </c>
      <c r="E20" s="40">
        <f t="shared" si="10"/>
        <v>1</v>
      </c>
      <c r="F20" s="151">
        <f>Monitoring!$I$58</f>
        <v>754.4</v>
      </c>
      <c r="G20" s="65">
        <f t="shared" si="1"/>
        <v>1</v>
      </c>
      <c r="H20" s="40">
        <f t="shared" si="2"/>
        <v>1</v>
      </c>
      <c r="I20" s="65"/>
      <c r="J20" s="152">
        <f>'2011 Actions'!$B$53</f>
        <v>1</v>
      </c>
      <c r="K20" s="152">
        <f t="shared" ref="K20" si="11">D20-J20</f>
        <v>0</v>
      </c>
      <c r="L20" s="40">
        <f t="shared" si="9"/>
        <v>1</v>
      </c>
      <c r="M20" s="65"/>
      <c r="N20" s="66">
        <f>'Action Durations'!D42</f>
        <v>2</v>
      </c>
      <c r="O20" s="152">
        <f>'Action Durations'!G42</f>
        <v>0</v>
      </c>
      <c r="P20" s="152">
        <f>'Action Durations'!H42</f>
        <v>0</v>
      </c>
      <c r="Q20" s="152">
        <f>'Action Durations'!I42</f>
        <v>1</v>
      </c>
      <c r="R20" s="152">
        <f>'Action Durations'!J42</f>
        <v>1</v>
      </c>
      <c r="S20" s="152">
        <f>'Action Durations'!K42</f>
        <v>0</v>
      </c>
      <c r="T20" s="65"/>
      <c r="U20" s="41">
        <f>'Beach Days'!E59</f>
        <v>365</v>
      </c>
      <c r="V20" s="41">
        <f>'Beach Days'!H59</f>
        <v>21</v>
      </c>
      <c r="W20" s="40">
        <f t="shared" si="7"/>
        <v>5.7534246575342465E-2</v>
      </c>
    </row>
    <row r="21" spans="1:23" x14ac:dyDescent="0.2">
      <c r="C21" s="12">
        <f>SUM(C3:C20)</f>
        <v>22</v>
      </c>
      <c r="D21" s="12">
        <f>SUM(D3:D20)</f>
        <v>22</v>
      </c>
      <c r="E21" s="18">
        <f>D21/C21</f>
        <v>1</v>
      </c>
      <c r="F21" s="10">
        <f>SUM(F3:F20)</f>
        <v>24140.800000000003</v>
      </c>
      <c r="G21" s="12">
        <f>C21</f>
        <v>22</v>
      </c>
      <c r="H21" s="18">
        <f>D21/C21</f>
        <v>1</v>
      </c>
      <c r="I21" s="12"/>
      <c r="J21" s="12">
        <f>SUM(J3:J20)</f>
        <v>15</v>
      </c>
      <c r="K21" s="17">
        <f>D21-J21</f>
        <v>7</v>
      </c>
      <c r="L21" s="18">
        <f>J21/D21</f>
        <v>0.68181818181818177</v>
      </c>
      <c r="M21" s="12"/>
      <c r="N21" s="12">
        <f t="shared" ref="N21:S21" si="12">SUM(N3:N20)</f>
        <v>27</v>
      </c>
      <c r="O21" s="12">
        <f t="shared" si="12"/>
        <v>0</v>
      </c>
      <c r="P21" s="12">
        <f t="shared" si="12"/>
        <v>0</v>
      </c>
      <c r="Q21" s="12">
        <f t="shared" si="12"/>
        <v>9</v>
      </c>
      <c r="R21" s="12">
        <f t="shared" si="12"/>
        <v>18</v>
      </c>
      <c r="S21" s="12">
        <f t="shared" si="12"/>
        <v>0</v>
      </c>
      <c r="T21" s="12"/>
      <c r="U21" s="10">
        <f>SUM(U3:U20)</f>
        <v>8030</v>
      </c>
      <c r="V21" s="10">
        <f>SUM(V3:V20)</f>
        <v>274</v>
      </c>
      <c r="W21" s="51">
        <f>V21/U21</f>
        <v>3.4122042341220425E-2</v>
      </c>
    </row>
    <row r="22" spans="1:23" x14ac:dyDescent="0.2">
      <c r="C22" s="12"/>
      <c r="D22" s="12"/>
      <c r="E22" s="18"/>
      <c r="F22" s="10"/>
      <c r="G22" s="10"/>
      <c r="H22" s="81"/>
      <c r="I22" s="12"/>
      <c r="J22" s="12"/>
      <c r="K22" s="17"/>
      <c r="L22" s="18"/>
      <c r="M22" s="12"/>
      <c r="N22" s="12"/>
      <c r="O22" s="12"/>
      <c r="P22" s="12"/>
      <c r="Q22" s="12"/>
      <c r="R22" s="12"/>
      <c r="S22" s="12"/>
      <c r="T22" s="12"/>
      <c r="U22" s="10"/>
      <c r="V22" s="10"/>
      <c r="W22" s="51"/>
    </row>
    <row r="23" spans="1:23" x14ac:dyDescent="0.2">
      <c r="V23" s="19"/>
    </row>
    <row r="24" spans="1:23" x14ac:dyDescent="0.2">
      <c r="A24" s="80" t="s">
        <v>48</v>
      </c>
      <c r="V24" s="19"/>
    </row>
    <row r="25" spans="1:23" x14ac:dyDescent="0.2">
      <c r="C25" s="85" t="s">
        <v>45</v>
      </c>
      <c r="D25" s="79" t="s">
        <v>57</v>
      </c>
    </row>
    <row r="26" spans="1:23" x14ac:dyDescent="0.2">
      <c r="C26" s="85"/>
      <c r="D26" s="79" t="s">
        <v>58</v>
      </c>
    </row>
    <row r="27" spans="1:23" x14ac:dyDescent="0.2">
      <c r="C27" s="85" t="s">
        <v>49</v>
      </c>
      <c r="D27" s="78" t="s">
        <v>56</v>
      </c>
    </row>
    <row r="28" spans="1:23" x14ac:dyDescent="0.2">
      <c r="C28" s="85" t="s">
        <v>46</v>
      </c>
      <c r="D28" s="79" t="s">
        <v>59</v>
      </c>
    </row>
    <row r="29" spans="1:23" x14ac:dyDescent="0.2">
      <c r="C29" s="85"/>
      <c r="D29" s="79" t="s">
        <v>60</v>
      </c>
    </row>
    <row r="30" spans="1:23" x14ac:dyDescent="0.2">
      <c r="C30" s="85" t="s">
        <v>47</v>
      </c>
      <c r="D30" s="78" t="s">
        <v>61</v>
      </c>
    </row>
    <row r="31" spans="1:23" x14ac:dyDescent="0.2">
      <c r="C31" s="85"/>
      <c r="D31" s="78" t="s">
        <v>62</v>
      </c>
    </row>
    <row r="32" spans="1:23" x14ac:dyDescent="0.2">
      <c r="C32" s="85" t="s">
        <v>51</v>
      </c>
      <c r="D32" s="78" t="s">
        <v>63</v>
      </c>
    </row>
    <row r="33" spans="3:4" x14ac:dyDescent="0.2">
      <c r="C33" s="86"/>
      <c r="D33" s="78" t="s">
        <v>64</v>
      </c>
    </row>
    <row r="34" spans="3:4" x14ac:dyDescent="0.2">
      <c r="C34" s="85" t="s">
        <v>50</v>
      </c>
      <c r="D34" s="78" t="s">
        <v>54</v>
      </c>
    </row>
    <row r="35" spans="3:4" x14ac:dyDescent="0.2">
      <c r="C35" s="85" t="s">
        <v>52</v>
      </c>
      <c r="D35" s="78" t="s">
        <v>55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Puerto Rico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3"/>
  <sheetViews>
    <sheetView zoomScaleNormal="100" workbookViewId="0"/>
  </sheetViews>
  <sheetFormatPr defaultRowHeight="12.75" x14ac:dyDescent="0.2"/>
  <cols>
    <col min="1" max="1" width="13.5703125" style="53" customWidth="1"/>
    <col min="2" max="2" width="7.7109375" style="26" customWidth="1"/>
    <col min="3" max="3" width="33" style="26" customWidth="1"/>
    <col min="4" max="4" width="12.5703125" style="26" customWidth="1"/>
    <col min="5" max="5" width="8.28515625" style="53" customWidth="1"/>
    <col min="6" max="6" width="9.140625" style="133"/>
    <col min="7" max="10" width="9.7109375" style="26" customWidth="1"/>
    <col min="12" max="16384" width="9.140625" style="24"/>
  </cols>
  <sheetData>
    <row r="1" spans="1:10" ht="33.75" customHeight="1" x14ac:dyDescent="0.2">
      <c r="A1" s="3" t="s">
        <v>12</v>
      </c>
      <c r="B1" s="25" t="s">
        <v>13</v>
      </c>
      <c r="C1" s="25" t="s">
        <v>67</v>
      </c>
      <c r="D1" s="25" t="s">
        <v>68</v>
      </c>
      <c r="E1" s="3" t="s">
        <v>69</v>
      </c>
      <c r="F1" s="15" t="s">
        <v>146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153" t="s">
        <v>158</v>
      </c>
      <c r="B2" s="153" t="s">
        <v>159</v>
      </c>
      <c r="C2" s="153" t="s">
        <v>160</v>
      </c>
      <c r="D2" s="153" t="s">
        <v>29</v>
      </c>
      <c r="E2" s="153">
        <v>1</v>
      </c>
      <c r="F2" s="154">
        <v>328</v>
      </c>
      <c r="G2" s="153">
        <v>18.38486</v>
      </c>
      <c r="H2" s="153">
        <v>-67.211979999999997</v>
      </c>
      <c r="I2" s="153">
        <v>18.384209999999999</v>
      </c>
      <c r="J2" s="153">
        <v>-67.213419999999999</v>
      </c>
    </row>
    <row r="3" spans="1:10" ht="12.75" customHeight="1" x14ac:dyDescent="0.2">
      <c r="A3" s="54"/>
      <c r="B3" s="31">
        <f>COUNTA(B2:B2)</f>
        <v>1</v>
      </c>
      <c r="C3" s="30"/>
      <c r="D3" s="30"/>
      <c r="E3" s="75"/>
      <c r="F3" s="52">
        <f>SUM(F2:F2)</f>
        <v>328</v>
      </c>
      <c r="G3" s="30"/>
      <c r="H3" s="30"/>
      <c r="I3" s="30"/>
      <c r="J3" s="30"/>
    </row>
    <row r="4" spans="1:10" ht="12.75" customHeight="1" x14ac:dyDescent="0.2">
      <c r="A4" s="54"/>
      <c r="B4" s="30"/>
      <c r="C4" s="30"/>
      <c r="D4" s="30"/>
      <c r="E4" s="54"/>
      <c r="G4" s="30"/>
      <c r="H4" s="30"/>
      <c r="I4" s="30"/>
      <c r="J4" s="30"/>
    </row>
    <row r="5" spans="1:10" ht="12.75" customHeight="1" x14ac:dyDescent="0.2">
      <c r="A5" s="72" t="s">
        <v>161</v>
      </c>
      <c r="B5" s="72" t="s">
        <v>162</v>
      </c>
      <c r="C5" s="72" t="s">
        <v>163</v>
      </c>
      <c r="D5" s="72" t="s">
        <v>29</v>
      </c>
      <c r="E5" s="72">
        <v>1</v>
      </c>
      <c r="F5" s="141">
        <v>787.2</v>
      </c>
      <c r="G5" s="72">
        <v>18.46</v>
      </c>
      <c r="H5" s="72">
        <v>-67.165289999999999</v>
      </c>
      <c r="I5" s="72">
        <v>18.457159999999998</v>
      </c>
      <c r="J5" s="72">
        <v>-67.163120000000006</v>
      </c>
    </row>
    <row r="6" spans="1:10" ht="12.75" customHeight="1" x14ac:dyDescent="0.2">
      <c r="A6" s="54"/>
      <c r="B6" s="31">
        <f>COUNTA(B5:B5)</f>
        <v>1</v>
      </c>
      <c r="C6" s="30"/>
      <c r="D6" s="45"/>
      <c r="E6" s="75"/>
      <c r="F6" s="52">
        <f>SUM(F5:F5)</f>
        <v>787.2</v>
      </c>
      <c r="G6" s="45"/>
      <c r="H6" s="45"/>
      <c r="I6" s="45"/>
      <c r="J6" s="45"/>
    </row>
    <row r="7" spans="1:10" ht="12.75" customHeight="1" x14ac:dyDescent="0.2">
      <c r="A7" s="54"/>
      <c r="B7" s="31"/>
      <c r="C7" s="30"/>
      <c r="D7" s="45"/>
      <c r="E7" s="55"/>
      <c r="G7" s="45"/>
      <c r="H7" s="45"/>
      <c r="I7" s="45"/>
      <c r="J7" s="45"/>
    </row>
    <row r="8" spans="1:10" ht="12.75" customHeight="1" x14ac:dyDescent="0.2">
      <c r="A8" s="72" t="s">
        <v>164</v>
      </c>
      <c r="B8" s="72" t="s">
        <v>165</v>
      </c>
      <c r="C8" s="72" t="s">
        <v>166</v>
      </c>
      <c r="D8" s="72" t="s">
        <v>29</v>
      </c>
      <c r="E8" s="72">
        <v>1</v>
      </c>
      <c r="F8" s="141">
        <v>1115.2</v>
      </c>
      <c r="G8" s="72">
        <v>18.29054</v>
      </c>
      <c r="H8" s="72">
        <v>-67.196330000000003</v>
      </c>
      <c r="I8" s="72">
        <v>18.286840000000002</v>
      </c>
      <c r="J8" s="72">
        <v>-67.193129999999996</v>
      </c>
    </row>
    <row r="9" spans="1:10" ht="12.75" customHeight="1" x14ac:dyDescent="0.2">
      <c r="A9" s="54"/>
      <c r="B9" s="31">
        <f>COUNTA(B8:B8)</f>
        <v>1</v>
      </c>
      <c r="C9" s="30"/>
      <c r="D9" s="30"/>
      <c r="E9" s="75"/>
      <c r="F9" s="52">
        <f>SUM(F8:F8)</f>
        <v>1115.2</v>
      </c>
      <c r="G9" s="30"/>
      <c r="H9" s="30"/>
      <c r="I9" s="30"/>
      <c r="J9" s="30"/>
    </row>
    <row r="10" spans="1:10" ht="12.75" customHeight="1" x14ac:dyDescent="0.2">
      <c r="A10" s="54"/>
      <c r="B10" s="31"/>
      <c r="C10" s="30"/>
      <c r="D10" s="30"/>
      <c r="E10" s="75"/>
      <c r="F10" s="52"/>
      <c r="G10" s="30"/>
      <c r="H10" s="30"/>
      <c r="I10" s="30"/>
      <c r="J10" s="30"/>
    </row>
    <row r="11" spans="1:10" ht="12.75" customHeight="1" x14ac:dyDescent="0.2">
      <c r="A11" s="72" t="s">
        <v>167</v>
      </c>
      <c r="B11" s="72" t="s">
        <v>168</v>
      </c>
      <c r="C11" s="72" t="s">
        <v>169</v>
      </c>
      <c r="D11" s="72" t="s">
        <v>29</v>
      </c>
      <c r="E11" s="72">
        <v>1</v>
      </c>
      <c r="F11" s="141">
        <v>1213.5999999999999</v>
      </c>
      <c r="G11" s="72">
        <v>17.96068</v>
      </c>
      <c r="H11" s="72">
        <v>-66.041269999999997</v>
      </c>
      <c r="I11" s="72">
        <v>17.961690000000001</v>
      </c>
      <c r="J11" s="72">
        <v>-66.036159999999995</v>
      </c>
    </row>
    <row r="12" spans="1:10" ht="12.75" customHeight="1" x14ac:dyDescent="0.2">
      <c r="A12" s="54"/>
      <c r="B12" s="31">
        <f>COUNTA(B11:B11)</f>
        <v>1</v>
      </c>
      <c r="C12" s="30"/>
      <c r="D12" s="30"/>
      <c r="E12" s="75"/>
      <c r="F12" s="52">
        <f>SUM(F11:F11)</f>
        <v>1213.5999999999999</v>
      </c>
      <c r="G12" s="30"/>
      <c r="H12" s="30"/>
      <c r="I12" s="30"/>
      <c r="J12" s="30"/>
    </row>
    <row r="13" spans="1:10" ht="12.75" customHeight="1" x14ac:dyDescent="0.2">
      <c r="A13" s="54"/>
      <c r="B13" s="31"/>
      <c r="C13" s="30"/>
      <c r="D13" s="30"/>
      <c r="E13" s="75"/>
      <c r="F13" s="52"/>
      <c r="G13" s="30"/>
      <c r="H13" s="30"/>
      <c r="I13" s="30"/>
      <c r="J13" s="30"/>
    </row>
    <row r="14" spans="1:10" ht="12.75" customHeight="1" x14ac:dyDescent="0.2">
      <c r="A14" s="71" t="s">
        <v>170</v>
      </c>
      <c r="B14" s="71" t="s">
        <v>171</v>
      </c>
      <c r="C14" s="71" t="s">
        <v>172</v>
      </c>
      <c r="D14" s="71" t="s">
        <v>29</v>
      </c>
      <c r="E14" s="71">
        <v>1</v>
      </c>
      <c r="F14" s="132">
        <v>2755.2</v>
      </c>
      <c r="G14" s="71">
        <v>18.022970000000001</v>
      </c>
      <c r="H14" s="71">
        <v>-67.172439999999995</v>
      </c>
      <c r="I14" s="71">
        <v>18.01125</v>
      </c>
      <c r="J14" s="71">
        <v>-67.174549999999996</v>
      </c>
    </row>
    <row r="15" spans="1:10" ht="12.75" customHeight="1" x14ac:dyDescent="0.2">
      <c r="A15" s="71" t="s">
        <v>170</v>
      </c>
      <c r="B15" s="71" t="s">
        <v>173</v>
      </c>
      <c r="C15" s="71" t="s">
        <v>174</v>
      </c>
      <c r="D15" s="71" t="s">
        <v>29</v>
      </c>
      <c r="E15" s="71">
        <v>1</v>
      </c>
      <c r="F15" s="132">
        <v>787.2</v>
      </c>
      <c r="G15" s="71">
        <v>18.048639999999999</v>
      </c>
      <c r="H15" s="71">
        <v>-67.198589999999996</v>
      </c>
      <c r="I15" s="71">
        <v>18.051819999999999</v>
      </c>
      <c r="J15" s="71">
        <v>-67.199700000000007</v>
      </c>
    </row>
    <row r="16" spans="1:10" ht="12.75" customHeight="1" x14ac:dyDescent="0.2">
      <c r="A16" s="71" t="s">
        <v>170</v>
      </c>
      <c r="B16" s="71" t="s">
        <v>175</v>
      </c>
      <c r="C16" s="71" t="s">
        <v>176</v>
      </c>
      <c r="D16" s="71" t="s">
        <v>29</v>
      </c>
      <c r="E16" s="71">
        <v>1</v>
      </c>
      <c r="F16" s="132">
        <v>623.20000000000005</v>
      </c>
      <c r="G16" s="71">
        <v>17.97523</v>
      </c>
      <c r="H16" s="71">
        <v>-67.212800000000001</v>
      </c>
      <c r="I16" s="71">
        <v>17.978069999999999</v>
      </c>
      <c r="J16" s="71">
        <v>-67.212959999999995</v>
      </c>
    </row>
    <row r="17" spans="1:10" ht="12.75" customHeight="1" x14ac:dyDescent="0.2">
      <c r="A17" s="72" t="s">
        <v>170</v>
      </c>
      <c r="B17" s="72" t="s">
        <v>177</v>
      </c>
      <c r="C17" s="72" t="s">
        <v>178</v>
      </c>
      <c r="D17" s="72" t="s">
        <v>29</v>
      </c>
      <c r="E17" s="72">
        <v>1</v>
      </c>
      <c r="F17" s="141">
        <v>393.6</v>
      </c>
      <c r="G17" s="72">
        <v>17.986750000000001</v>
      </c>
      <c r="H17" s="72">
        <v>-67.214389999999995</v>
      </c>
      <c r="I17" s="72">
        <v>17.985029999999998</v>
      </c>
      <c r="J17" s="72">
        <v>-67.214640000000003</v>
      </c>
    </row>
    <row r="18" spans="1:10" ht="12.75" customHeight="1" x14ac:dyDescent="0.2">
      <c r="A18" s="54"/>
      <c r="B18" s="31">
        <f>COUNTA(B14:B17)</f>
        <v>4</v>
      </c>
      <c r="C18" s="30"/>
      <c r="D18" s="30"/>
      <c r="E18" s="75"/>
      <c r="F18" s="52">
        <f>SUM(F14:F17)</f>
        <v>4559.2</v>
      </c>
      <c r="G18" s="30"/>
      <c r="H18" s="30"/>
      <c r="I18" s="30"/>
      <c r="J18" s="30"/>
    </row>
    <row r="19" spans="1:10" ht="12.75" customHeight="1" x14ac:dyDescent="0.2">
      <c r="A19" s="54"/>
      <c r="B19" s="31"/>
      <c r="C19" s="30"/>
      <c r="D19" s="30"/>
      <c r="E19" s="75"/>
      <c r="F19" s="52"/>
      <c r="G19" s="30"/>
      <c r="H19" s="30"/>
      <c r="I19" s="30"/>
      <c r="J19" s="30"/>
    </row>
    <row r="20" spans="1:10" ht="12.75" customHeight="1" x14ac:dyDescent="0.2">
      <c r="A20" s="72" t="s">
        <v>179</v>
      </c>
      <c r="B20" s="72" t="s">
        <v>180</v>
      </c>
      <c r="C20" s="72" t="s">
        <v>181</v>
      </c>
      <c r="D20" s="72" t="s">
        <v>29</v>
      </c>
      <c r="E20" s="72">
        <v>1</v>
      </c>
      <c r="F20" s="141">
        <v>1476</v>
      </c>
      <c r="G20" s="72">
        <v>18.447949999999999</v>
      </c>
      <c r="H20" s="72">
        <v>-65.999889999999994</v>
      </c>
      <c r="I20" s="72">
        <v>18.445150000000002</v>
      </c>
      <c r="J20" s="72">
        <v>-66.00609</v>
      </c>
    </row>
    <row r="21" spans="1:10" ht="12.75" customHeight="1" x14ac:dyDescent="0.2">
      <c r="A21" s="54"/>
      <c r="B21" s="31">
        <f>COUNTA(B20:B20)</f>
        <v>1</v>
      </c>
      <c r="C21" s="30"/>
      <c r="D21" s="30"/>
      <c r="E21" s="75"/>
      <c r="F21" s="52">
        <f>SUM(F20:F20)</f>
        <v>1476</v>
      </c>
      <c r="G21" s="30"/>
      <c r="H21" s="30"/>
      <c r="I21" s="30"/>
      <c r="J21" s="30"/>
    </row>
    <row r="22" spans="1:10" ht="12.75" customHeight="1" x14ac:dyDescent="0.2">
      <c r="A22" s="54"/>
      <c r="B22" s="31"/>
      <c r="C22" s="30"/>
      <c r="D22" s="30"/>
      <c r="E22" s="75"/>
      <c r="F22" s="52"/>
      <c r="G22" s="30"/>
      <c r="H22" s="30"/>
      <c r="I22" s="30"/>
      <c r="J22" s="30"/>
    </row>
    <row r="23" spans="1:10" ht="12.75" customHeight="1" x14ac:dyDescent="0.2">
      <c r="A23" s="72" t="s">
        <v>182</v>
      </c>
      <c r="B23" s="72" t="s">
        <v>183</v>
      </c>
      <c r="C23" s="72" t="s">
        <v>184</v>
      </c>
      <c r="D23" s="72" t="s">
        <v>29</v>
      </c>
      <c r="E23" s="72">
        <v>1</v>
      </c>
      <c r="F23" s="141">
        <v>2000.8</v>
      </c>
      <c r="G23" s="72">
        <v>18.329999999999998</v>
      </c>
      <c r="H23" s="72">
        <v>-65.319999999999993</v>
      </c>
      <c r="I23" s="72">
        <v>18.329999999999998</v>
      </c>
      <c r="J23" s="72">
        <v>-65.31</v>
      </c>
    </row>
    <row r="24" spans="1:10" ht="12.75" customHeight="1" x14ac:dyDescent="0.2">
      <c r="A24" s="54"/>
      <c r="B24" s="31">
        <f>COUNTA(B23:B23)</f>
        <v>1</v>
      </c>
      <c r="C24" s="30"/>
      <c r="D24" s="30"/>
      <c r="E24" s="75"/>
      <c r="F24" s="52">
        <f>SUM(F23:F23)</f>
        <v>2000.8</v>
      </c>
      <c r="G24" s="30"/>
      <c r="H24" s="30"/>
      <c r="I24" s="30"/>
      <c r="J24" s="30"/>
    </row>
    <row r="25" spans="1:10" ht="12.75" customHeight="1" x14ac:dyDescent="0.2">
      <c r="A25" s="54"/>
      <c r="B25" s="31"/>
      <c r="C25" s="30"/>
      <c r="D25" s="30"/>
      <c r="E25" s="75"/>
      <c r="F25" s="52"/>
      <c r="G25" s="30"/>
      <c r="H25" s="30"/>
      <c r="I25" s="30"/>
      <c r="J25" s="30"/>
    </row>
    <row r="26" spans="1:10" ht="12.75" customHeight="1" x14ac:dyDescent="0.2">
      <c r="A26" s="72" t="s">
        <v>185</v>
      </c>
      <c r="B26" s="72" t="s">
        <v>186</v>
      </c>
      <c r="C26" s="72" t="s">
        <v>187</v>
      </c>
      <c r="D26" s="72" t="s">
        <v>29</v>
      </c>
      <c r="E26" s="72">
        <v>1</v>
      </c>
      <c r="F26" s="141">
        <v>1344.8</v>
      </c>
      <c r="G26" s="72">
        <v>18.47532</v>
      </c>
      <c r="H26" s="72">
        <v>-66.278649999999999</v>
      </c>
      <c r="I26" s="72">
        <v>18.4726</v>
      </c>
      <c r="J26" s="72">
        <v>-66.283540000000002</v>
      </c>
    </row>
    <row r="27" spans="1:10" ht="12.75" customHeight="1" x14ac:dyDescent="0.2">
      <c r="A27" s="54"/>
      <c r="B27" s="31">
        <f>COUNTA(B26:B26)</f>
        <v>1</v>
      </c>
      <c r="C27" s="30"/>
      <c r="D27" s="30"/>
      <c r="E27" s="75"/>
      <c r="F27" s="52">
        <f>SUM(F26:F26)</f>
        <v>1344.8</v>
      </c>
      <c r="G27" s="30"/>
      <c r="H27" s="30"/>
      <c r="I27" s="30"/>
      <c r="J27" s="30"/>
    </row>
    <row r="28" spans="1:10" ht="12.75" customHeight="1" x14ac:dyDescent="0.2">
      <c r="A28" s="54"/>
      <c r="B28" s="31"/>
      <c r="C28" s="30"/>
      <c r="D28" s="30"/>
      <c r="E28" s="75"/>
      <c r="F28" s="52"/>
      <c r="G28" s="30"/>
      <c r="H28" s="30"/>
      <c r="I28" s="30"/>
      <c r="J28" s="30"/>
    </row>
    <row r="29" spans="1:10" ht="12.75" customHeight="1" x14ac:dyDescent="0.2">
      <c r="A29" s="72" t="s">
        <v>188</v>
      </c>
      <c r="B29" s="72" t="s">
        <v>189</v>
      </c>
      <c r="C29" s="72" t="s">
        <v>190</v>
      </c>
      <c r="D29" s="72" t="s">
        <v>29</v>
      </c>
      <c r="E29" s="72">
        <v>1</v>
      </c>
      <c r="F29" s="141">
        <v>1049.5999999999999</v>
      </c>
      <c r="G29" s="72">
        <v>18.37013</v>
      </c>
      <c r="H29" s="72">
        <v>-65.639089999999996</v>
      </c>
      <c r="I29" s="72">
        <v>18.36994</v>
      </c>
      <c r="J29" s="72">
        <v>-65.634289999999993</v>
      </c>
    </row>
    <row r="30" spans="1:10" ht="12.75" customHeight="1" x14ac:dyDescent="0.2">
      <c r="A30" s="54"/>
      <c r="B30" s="31">
        <f>COUNTA(B29:B29)</f>
        <v>1</v>
      </c>
      <c r="C30" s="30"/>
      <c r="D30" s="30"/>
      <c r="E30" s="75"/>
      <c r="F30" s="52">
        <f>SUM(F29:F29)</f>
        <v>1049.5999999999999</v>
      </c>
      <c r="G30" s="30"/>
      <c r="H30" s="30"/>
      <c r="I30" s="30"/>
      <c r="J30" s="30"/>
    </row>
    <row r="31" spans="1:10" ht="12.75" customHeight="1" x14ac:dyDescent="0.2">
      <c r="A31" s="54"/>
      <c r="B31" s="31"/>
      <c r="C31" s="30"/>
      <c r="D31" s="30"/>
      <c r="E31" s="75"/>
      <c r="F31" s="52"/>
      <c r="G31" s="30"/>
      <c r="H31" s="30"/>
      <c r="I31" s="30"/>
      <c r="J31" s="30"/>
    </row>
    <row r="32" spans="1:10" ht="12.75" customHeight="1" x14ac:dyDescent="0.2">
      <c r="A32" s="71" t="s">
        <v>191</v>
      </c>
      <c r="B32" s="71" t="s">
        <v>192</v>
      </c>
      <c r="C32" s="71" t="s">
        <v>193</v>
      </c>
      <c r="D32" s="71" t="s">
        <v>29</v>
      </c>
      <c r="E32" s="71">
        <v>1</v>
      </c>
      <c r="F32" s="132">
        <v>688.8</v>
      </c>
      <c r="G32" s="71">
        <v>17.952159999999999</v>
      </c>
      <c r="H32" s="71">
        <v>-66.885090000000005</v>
      </c>
      <c r="I32" s="71">
        <v>17.953009999999999</v>
      </c>
      <c r="J32" s="71">
        <v>-66.882009999999994</v>
      </c>
    </row>
    <row r="33" spans="1:10" ht="12.75" customHeight="1" x14ac:dyDescent="0.2">
      <c r="A33" s="72" t="s">
        <v>191</v>
      </c>
      <c r="B33" s="72" t="s">
        <v>194</v>
      </c>
      <c r="C33" s="72" t="s">
        <v>195</v>
      </c>
      <c r="D33" s="72" t="s">
        <v>29</v>
      </c>
      <c r="E33" s="72">
        <v>1</v>
      </c>
      <c r="F33" s="141">
        <v>656</v>
      </c>
      <c r="G33" s="72">
        <v>17.937100000000001</v>
      </c>
      <c r="H33" s="72">
        <v>-66.955039999999997</v>
      </c>
      <c r="I33" s="72">
        <v>17.93957</v>
      </c>
      <c r="J33" s="72">
        <v>-66.956999999999994</v>
      </c>
    </row>
    <row r="34" spans="1:10" ht="12.75" customHeight="1" x14ac:dyDescent="0.2">
      <c r="A34" s="54"/>
      <c r="B34" s="31">
        <f>COUNTA(B32:B33)</f>
        <v>2</v>
      </c>
      <c r="C34" s="30"/>
      <c r="D34" s="30"/>
      <c r="E34" s="75"/>
      <c r="F34" s="52">
        <f>SUM(F32:F33)</f>
        <v>1344.8</v>
      </c>
      <c r="G34" s="30"/>
      <c r="H34" s="30"/>
      <c r="I34" s="30"/>
      <c r="J34" s="30"/>
    </row>
    <row r="35" spans="1:10" ht="12.75" customHeight="1" x14ac:dyDescent="0.2">
      <c r="A35" s="54"/>
      <c r="B35" s="31"/>
      <c r="C35" s="30"/>
      <c r="D35" s="30"/>
      <c r="E35" s="75"/>
      <c r="F35" s="52"/>
      <c r="G35" s="30"/>
      <c r="H35" s="30"/>
      <c r="I35" s="30"/>
      <c r="J35" s="30"/>
    </row>
    <row r="36" spans="1:10" ht="12.75" customHeight="1" x14ac:dyDescent="0.2">
      <c r="A36" s="72" t="s">
        <v>196</v>
      </c>
      <c r="B36" s="72" t="s">
        <v>197</v>
      </c>
      <c r="C36" s="72" t="s">
        <v>198</v>
      </c>
      <c r="D36" s="72" t="s">
        <v>29</v>
      </c>
      <c r="E36" s="72">
        <v>1</v>
      </c>
      <c r="F36" s="141">
        <v>3739.2</v>
      </c>
      <c r="G36" s="72">
        <v>18.160689999999999</v>
      </c>
      <c r="H36" s="72">
        <v>-65.750519999999995</v>
      </c>
      <c r="I36" s="72">
        <v>18.15109</v>
      </c>
      <c r="J36" s="72">
        <v>-65.764660000000006</v>
      </c>
    </row>
    <row r="37" spans="1:10" ht="12.75" customHeight="1" x14ac:dyDescent="0.2">
      <c r="A37" s="54"/>
      <c r="B37" s="31">
        <f>COUNTA(B36:B36)</f>
        <v>1</v>
      </c>
      <c r="C37" s="30"/>
      <c r="D37" s="30"/>
      <c r="E37" s="75"/>
      <c r="F37" s="52">
        <f>SUM(F36:F36)</f>
        <v>3739.2</v>
      </c>
      <c r="G37" s="30"/>
      <c r="H37" s="30"/>
      <c r="I37" s="30"/>
      <c r="J37" s="30"/>
    </row>
    <row r="38" spans="1:10" ht="12.75" customHeight="1" x14ac:dyDescent="0.2">
      <c r="A38" s="54"/>
      <c r="B38" s="31"/>
      <c r="C38" s="30"/>
      <c r="D38" s="30"/>
      <c r="E38" s="75"/>
      <c r="F38" s="52"/>
      <c r="G38" s="30"/>
      <c r="H38" s="30"/>
      <c r="I38" s="30"/>
      <c r="J38" s="30"/>
    </row>
    <row r="39" spans="1:10" ht="12.75" customHeight="1" x14ac:dyDescent="0.2">
      <c r="A39" s="72" t="s">
        <v>199</v>
      </c>
      <c r="B39" s="72" t="s">
        <v>200</v>
      </c>
      <c r="C39" s="72" t="s">
        <v>201</v>
      </c>
      <c r="D39" s="72" t="s">
        <v>29</v>
      </c>
      <c r="E39" s="72">
        <v>1</v>
      </c>
      <c r="F39" s="141">
        <v>1246.4000000000001</v>
      </c>
      <c r="G39" s="72">
        <v>18.388349999999999</v>
      </c>
      <c r="H39" s="72">
        <v>-65.7286</v>
      </c>
      <c r="I39" s="72">
        <v>18.38364</v>
      </c>
      <c r="J39" s="72">
        <v>-65.731160000000003</v>
      </c>
    </row>
    <row r="40" spans="1:10" ht="12.75" customHeight="1" x14ac:dyDescent="0.2">
      <c r="A40" s="54"/>
      <c r="B40" s="31">
        <f>COUNTA(B39:B39)</f>
        <v>1</v>
      </c>
      <c r="C40" s="30"/>
      <c r="D40" s="30"/>
      <c r="E40" s="75"/>
      <c r="F40" s="52">
        <f>SUM(F39:F39)</f>
        <v>1246.4000000000001</v>
      </c>
      <c r="G40" s="30"/>
      <c r="H40" s="30"/>
      <c r="I40" s="30"/>
      <c r="J40" s="30"/>
    </row>
    <row r="41" spans="1:10" ht="12.75" customHeight="1" x14ac:dyDescent="0.2">
      <c r="A41" s="54"/>
      <c r="B41" s="31"/>
      <c r="C41" s="30"/>
      <c r="D41" s="30"/>
      <c r="E41" s="75"/>
      <c r="F41" s="52"/>
      <c r="G41" s="30"/>
      <c r="H41" s="30"/>
      <c r="I41" s="30"/>
      <c r="J41" s="30"/>
    </row>
    <row r="42" spans="1:10" ht="12.75" customHeight="1" x14ac:dyDescent="0.2">
      <c r="A42" s="72" t="s">
        <v>202</v>
      </c>
      <c r="B42" s="72" t="s">
        <v>203</v>
      </c>
      <c r="C42" s="72" t="s">
        <v>204</v>
      </c>
      <c r="D42" s="72" t="s">
        <v>29</v>
      </c>
      <c r="E42" s="72">
        <v>1</v>
      </c>
      <c r="F42" s="141">
        <v>360.8</v>
      </c>
      <c r="G42" s="72">
        <v>17.974910000000001</v>
      </c>
      <c r="H42" s="72">
        <v>-65.989639999999994</v>
      </c>
      <c r="I42" s="72">
        <v>17.973669999999998</v>
      </c>
      <c r="J42" s="72">
        <v>-65.988740000000007</v>
      </c>
    </row>
    <row r="43" spans="1:10" ht="12.75" customHeight="1" x14ac:dyDescent="0.2">
      <c r="A43" s="54"/>
      <c r="B43" s="31">
        <f>COUNTA(B42:B42)</f>
        <v>1</v>
      </c>
      <c r="C43" s="30"/>
      <c r="D43" s="30"/>
      <c r="E43" s="75"/>
      <c r="F43" s="52">
        <f>SUM(F42:F42)</f>
        <v>360.8</v>
      </c>
      <c r="G43" s="30"/>
      <c r="H43" s="30"/>
      <c r="I43" s="30"/>
      <c r="J43" s="30"/>
    </row>
    <row r="44" spans="1:10" ht="12.75" customHeight="1" x14ac:dyDescent="0.2">
      <c r="A44" s="54"/>
      <c r="B44" s="31"/>
      <c r="C44" s="30"/>
      <c r="D44" s="30"/>
      <c r="E44" s="75"/>
      <c r="F44" s="52"/>
      <c r="G44" s="30"/>
      <c r="H44" s="30"/>
      <c r="I44" s="30"/>
      <c r="J44" s="30"/>
    </row>
    <row r="45" spans="1:10" ht="12.75" customHeight="1" x14ac:dyDescent="0.2">
      <c r="A45" s="72" t="s">
        <v>205</v>
      </c>
      <c r="B45" s="72" t="s">
        <v>206</v>
      </c>
      <c r="C45" s="72" t="s">
        <v>207</v>
      </c>
      <c r="D45" s="72" t="s">
        <v>29</v>
      </c>
      <c r="E45" s="72">
        <v>1</v>
      </c>
      <c r="F45" s="141">
        <v>459.2</v>
      </c>
      <c r="G45" s="72">
        <v>18.341819999999998</v>
      </c>
      <c r="H45" s="72">
        <v>-67.256540000000001</v>
      </c>
      <c r="I45" s="72">
        <v>18.340039999999998</v>
      </c>
      <c r="J45" s="72">
        <v>-67.255480000000006</v>
      </c>
    </row>
    <row r="46" spans="1:10" ht="12.75" customHeight="1" x14ac:dyDescent="0.2">
      <c r="A46" s="54"/>
      <c r="B46" s="31">
        <f>COUNTA(B45:B45)</f>
        <v>1</v>
      </c>
      <c r="C46" s="30"/>
      <c r="D46" s="30"/>
      <c r="E46" s="75"/>
      <c r="F46" s="52">
        <f>SUM(F45:F45)</f>
        <v>459.2</v>
      </c>
      <c r="G46" s="30"/>
      <c r="H46" s="30"/>
      <c r="I46" s="30"/>
      <c r="J46" s="30"/>
    </row>
    <row r="47" spans="1:10" ht="12.75" customHeight="1" x14ac:dyDescent="0.2">
      <c r="A47" s="54"/>
      <c r="B47" s="31"/>
      <c r="C47" s="30"/>
      <c r="D47" s="30"/>
      <c r="E47" s="75"/>
      <c r="F47" s="52"/>
      <c r="G47" s="30"/>
      <c r="H47" s="30"/>
      <c r="I47" s="30"/>
      <c r="J47" s="30"/>
    </row>
    <row r="48" spans="1:10" ht="12.75" customHeight="1" x14ac:dyDescent="0.2">
      <c r="A48" s="72" t="s">
        <v>208</v>
      </c>
      <c r="B48" s="72" t="s">
        <v>209</v>
      </c>
      <c r="C48" s="72" t="s">
        <v>210</v>
      </c>
      <c r="D48" s="72" t="s">
        <v>29</v>
      </c>
      <c r="E48" s="72">
        <v>1</v>
      </c>
      <c r="F48" s="141">
        <v>656</v>
      </c>
      <c r="G48" s="72">
        <v>18.467870000000001</v>
      </c>
      <c r="H48" s="72">
        <v>-66.088610000000003</v>
      </c>
      <c r="I48" s="72">
        <v>18.466670000000001</v>
      </c>
      <c r="J48" s="72">
        <v>-66.091179999999994</v>
      </c>
    </row>
    <row r="49" spans="1:10" ht="12.75" customHeight="1" x14ac:dyDescent="0.2">
      <c r="A49" s="54"/>
      <c r="B49" s="31">
        <f>COUNTA(B48:B48)</f>
        <v>1</v>
      </c>
      <c r="C49" s="30"/>
      <c r="D49" s="30"/>
      <c r="E49" s="75"/>
      <c r="F49" s="52">
        <f>SUM(F48:F48)</f>
        <v>656</v>
      </c>
      <c r="G49" s="30"/>
      <c r="H49" s="30"/>
      <c r="I49" s="30"/>
      <c r="J49" s="30"/>
    </row>
    <row r="50" spans="1:10" ht="12.75" customHeight="1" x14ac:dyDescent="0.2">
      <c r="A50" s="54"/>
      <c r="B50" s="31"/>
      <c r="C50" s="30"/>
      <c r="D50" s="30"/>
      <c r="E50" s="75"/>
      <c r="F50" s="52"/>
      <c r="G50" s="30"/>
      <c r="H50" s="30"/>
      <c r="I50" s="30"/>
      <c r="J50" s="30"/>
    </row>
    <row r="51" spans="1:10" ht="12.75" customHeight="1" x14ac:dyDescent="0.2">
      <c r="A51" s="72" t="s">
        <v>211</v>
      </c>
      <c r="B51" s="72" t="s">
        <v>212</v>
      </c>
      <c r="C51" s="72" t="s">
        <v>213</v>
      </c>
      <c r="D51" s="72" t="s">
        <v>29</v>
      </c>
      <c r="E51" s="72">
        <v>1</v>
      </c>
      <c r="F51" s="141">
        <v>1115.2</v>
      </c>
      <c r="G51" s="72">
        <v>18.474139999999998</v>
      </c>
      <c r="H51" s="72">
        <v>-66.186279999999996</v>
      </c>
      <c r="I51" s="72">
        <v>18.46941</v>
      </c>
      <c r="J51" s="72">
        <v>-66.186859999999996</v>
      </c>
    </row>
    <row r="52" spans="1:10" ht="12.75" customHeight="1" x14ac:dyDescent="0.2">
      <c r="A52" s="54"/>
      <c r="B52" s="31">
        <f>COUNTA(B51:B51)</f>
        <v>1</v>
      </c>
      <c r="C52" s="30"/>
      <c r="D52" s="30"/>
      <c r="E52" s="75"/>
      <c r="F52" s="52">
        <f>SUM(F51:F51)</f>
        <v>1115.2</v>
      </c>
      <c r="G52" s="30"/>
      <c r="H52" s="30"/>
      <c r="I52" s="30"/>
      <c r="J52" s="30"/>
    </row>
    <row r="53" spans="1:10" ht="12.75" customHeight="1" x14ac:dyDescent="0.2">
      <c r="A53" s="54"/>
      <c r="B53" s="31"/>
      <c r="C53" s="30"/>
      <c r="D53" s="30"/>
      <c r="E53" s="75"/>
      <c r="F53" s="52"/>
      <c r="G53" s="30"/>
      <c r="H53" s="30"/>
      <c r="I53" s="30"/>
      <c r="J53" s="30"/>
    </row>
    <row r="54" spans="1:10" ht="12.75" customHeight="1" x14ac:dyDescent="0.2">
      <c r="A54" s="72" t="s">
        <v>214</v>
      </c>
      <c r="B54" s="72" t="s">
        <v>215</v>
      </c>
      <c r="C54" s="72" t="s">
        <v>216</v>
      </c>
      <c r="D54" s="72" t="s">
        <v>29</v>
      </c>
      <c r="E54" s="72">
        <v>1</v>
      </c>
      <c r="F54" s="141">
        <v>590.4</v>
      </c>
      <c r="G54" s="72">
        <v>18.482209999999998</v>
      </c>
      <c r="H54" s="72">
        <v>-66.338930000000005</v>
      </c>
      <c r="I54" s="72">
        <v>18.480899999999998</v>
      </c>
      <c r="J54" s="72">
        <v>-66.341449999999995</v>
      </c>
    </row>
    <row r="55" spans="1:10" ht="12.75" customHeight="1" x14ac:dyDescent="0.2">
      <c r="A55" s="54"/>
      <c r="B55" s="31">
        <f>COUNTA(B54:B54)</f>
        <v>1</v>
      </c>
      <c r="C55" s="30"/>
      <c r="D55" s="30"/>
      <c r="E55" s="75"/>
      <c r="F55" s="52">
        <f>SUM(F54:F54)</f>
        <v>590.4</v>
      </c>
      <c r="G55" s="30"/>
      <c r="H55" s="30"/>
      <c r="I55" s="30"/>
      <c r="J55" s="30"/>
    </row>
    <row r="56" spans="1:10" ht="12.75" customHeight="1" x14ac:dyDescent="0.2">
      <c r="A56" s="54"/>
      <c r="B56" s="31"/>
      <c r="C56" s="30"/>
      <c r="D56" s="30"/>
      <c r="E56" s="75"/>
      <c r="F56" s="52"/>
      <c r="G56" s="30"/>
      <c r="H56" s="30"/>
      <c r="I56" s="30"/>
      <c r="J56" s="30"/>
    </row>
    <row r="57" spans="1:10" ht="12.75" customHeight="1" x14ac:dyDescent="0.2">
      <c r="A57" s="72" t="s">
        <v>217</v>
      </c>
      <c r="B57" s="72" t="s">
        <v>218</v>
      </c>
      <c r="C57" s="72" t="s">
        <v>219</v>
      </c>
      <c r="D57" s="72" t="s">
        <v>29</v>
      </c>
      <c r="E57" s="72">
        <v>1</v>
      </c>
      <c r="F57" s="141">
        <v>754.4</v>
      </c>
      <c r="G57" s="72">
        <v>18.490590000000001</v>
      </c>
      <c r="H57" s="72">
        <v>-66.399370000000005</v>
      </c>
      <c r="I57" s="72">
        <v>18.49344</v>
      </c>
      <c r="J57" s="72">
        <v>-66.398449999999997</v>
      </c>
    </row>
    <row r="58" spans="1:10" ht="12.75" customHeight="1" x14ac:dyDescent="0.2">
      <c r="A58" s="54"/>
      <c r="B58" s="31">
        <f>COUNTA(B57:B57)</f>
        <v>1</v>
      </c>
      <c r="C58" s="30"/>
      <c r="D58" s="30"/>
      <c r="E58" s="75"/>
      <c r="F58" s="52">
        <f>SUM(F57:F57)</f>
        <v>754.4</v>
      </c>
      <c r="G58" s="30"/>
      <c r="H58" s="30"/>
      <c r="I58" s="30"/>
      <c r="J58" s="30"/>
    </row>
    <row r="59" spans="1:10" ht="12.75" customHeight="1" x14ac:dyDescent="0.2">
      <c r="A59" s="54"/>
      <c r="B59" s="31"/>
      <c r="C59" s="30"/>
      <c r="D59" s="30"/>
      <c r="E59" s="75"/>
      <c r="F59" s="52"/>
      <c r="G59" s="30"/>
      <c r="H59" s="30"/>
      <c r="I59" s="30"/>
      <c r="J59" s="30"/>
    </row>
    <row r="60" spans="1:10" ht="12.75" customHeight="1" x14ac:dyDescent="0.2">
      <c r="A60" s="54"/>
      <c r="B60" s="31"/>
      <c r="C60" s="30"/>
      <c r="D60" s="30"/>
      <c r="E60" s="75"/>
      <c r="F60" s="52"/>
      <c r="G60" s="30"/>
      <c r="H60" s="30"/>
      <c r="I60" s="30"/>
      <c r="J60" s="30"/>
    </row>
    <row r="61" spans="1:10" ht="12.75" customHeight="1" x14ac:dyDescent="0.2">
      <c r="A61" s="54"/>
      <c r="C61" s="99" t="s">
        <v>96</v>
      </c>
      <c r="D61" s="100"/>
      <c r="E61" s="101"/>
      <c r="G61" s="30"/>
      <c r="H61" s="30"/>
      <c r="I61" s="30"/>
      <c r="J61" s="30"/>
    </row>
    <row r="62" spans="1:10" s="2" customFormat="1" ht="12.75" customHeight="1" x14ac:dyDescent="0.15">
      <c r="C62" s="95" t="s">
        <v>94</v>
      </c>
      <c r="D62" s="96">
        <f>SUM(B3+B6+B9+B12+B18+B21+B24+B27+B30+B34+B37+B40+B43+B46+B49+B52+B55+B58)</f>
        <v>22</v>
      </c>
      <c r="E62" s="101"/>
      <c r="F62" s="134"/>
      <c r="G62" s="53"/>
      <c r="H62" s="53"/>
      <c r="I62" s="53"/>
      <c r="J62" s="53"/>
    </row>
    <row r="63" spans="1:10" ht="12.75" customHeight="1" x14ac:dyDescent="0.2">
      <c r="A63" s="135"/>
      <c r="B63" s="46"/>
      <c r="C63" s="95" t="s">
        <v>95</v>
      </c>
      <c r="D63" s="97">
        <f>SUM(F3+F6+F9+F12+F18+F21+F24+F27+F30+F34+F37+F40+F43+F46+F49+F52+F55+F58)</f>
        <v>24140.800000000003</v>
      </c>
      <c r="E63" s="98" t="s">
        <v>147</v>
      </c>
      <c r="F63" s="87"/>
      <c r="G63" s="45"/>
      <c r="H63" s="45"/>
      <c r="I63" s="45"/>
      <c r="J63" s="45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Puerto Rico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9"/>
  <sheetViews>
    <sheetView zoomScaleNormal="100" workbookViewId="0"/>
  </sheetViews>
  <sheetFormatPr defaultRowHeight="12.75" x14ac:dyDescent="0.2"/>
  <cols>
    <col min="1" max="1" width="14" style="5" customWidth="1"/>
    <col min="2" max="2" width="7.7109375" style="5" customWidth="1"/>
    <col min="3" max="3" width="41" style="5" customWidth="1"/>
    <col min="4" max="4" width="7.7109375" style="5" customWidth="1"/>
    <col min="5" max="5" width="11.42578125" style="5" customWidth="1"/>
    <col min="6" max="8" width="9.28515625" style="5" customWidth="1"/>
    <col min="9" max="9" width="9.140625" style="2"/>
    <col min="10" max="16384" width="9.140625" style="5"/>
  </cols>
  <sheetData>
    <row r="1" spans="1:9" s="2" customFormat="1" ht="53.25" customHeight="1" x14ac:dyDescent="0.15">
      <c r="A1" s="3" t="s">
        <v>12</v>
      </c>
      <c r="B1" s="3" t="s">
        <v>13</v>
      </c>
      <c r="C1" s="3" t="s">
        <v>66</v>
      </c>
      <c r="D1" s="3" t="s">
        <v>69</v>
      </c>
      <c r="E1" s="3" t="s">
        <v>240</v>
      </c>
      <c r="F1" s="3" t="s">
        <v>241</v>
      </c>
      <c r="G1" s="3" t="s">
        <v>242</v>
      </c>
      <c r="H1" s="3" t="s">
        <v>243</v>
      </c>
      <c r="I1" s="76" t="s">
        <v>146</v>
      </c>
    </row>
    <row r="2" spans="1:9" ht="12.75" customHeight="1" x14ac:dyDescent="0.2">
      <c r="A2" s="153" t="s">
        <v>158</v>
      </c>
      <c r="B2" s="153" t="s">
        <v>159</v>
      </c>
      <c r="C2" s="153" t="s">
        <v>160</v>
      </c>
      <c r="D2" s="153">
        <v>1</v>
      </c>
      <c r="E2" s="153" t="s">
        <v>28</v>
      </c>
      <c r="F2" s="153">
        <v>365</v>
      </c>
      <c r="G2" s="153">
        <v>0.5</v>
      </c>
      <c r="H2" s="153">
        <v>0</v>
      </c>
      <c r="I2" s="154">
        <v>328</v>
      </c>
    </row>
    <row r="3" spans="1:9" ht="12.75" customHeight="1" x14ac:dyDescent="0.2">
      <c r="A3" s="29"/>
      <c r="B3" s="60">
        <f>COUNTA(B2:B2)</f>
        <v>1</v>
      </c>
      <c r="C3" s="20"/>
      <c r="D3" s="20"/>
      <c r="E3" s="27">
        <f>COUNTIF(E2:E2, "Yes")</f>
        <v>1</v>
      </c>
      <c r="F3" s="20"/>
      <c r="G3" s="20"/>
      <c r="H3" s="20"/>
      <c r="I3" s="52">
        <f>SUM(I2:I2)</f>
        <v>328</v>
      </c>
    </row>
    <row r="4" spans="1:9" ht="12.75" customHeight="1" x14ac:dyDescent="0.2">
      <c r="A4" s="29"/>
      <c r="B4" s="54"/>
      <c r="C4" s="29"/>
      <c r="D4" s="29"/>
      <c r="E4" s="29"/>
      <c r="F4" s="29"/>
      <c r="G4" s="29"/>
      <c r="H4" s="29"/>
      <c r="I4" s="133"/>
    </row>
    <row r="5" spans="1:9" ht="12.75" customHeight="1" x14ac:dyDescent="0.2">
      <c r="A5" s="72" t="s">
        <v>161</v>
      </c>
      <c r="B5" s="72" t="s">
        <v>162</v>
      </c>
      <c r="C5" s="72" t="s">
        <v>163</v>
      </c>
      <c r="D5" s="72">
        <v>1</v>
      </c>
      <c r="E5" s="72" t="s">
        <v>28</v>
      </c>
      <c r="F5" s="72">
        <v>365</v>
      </c>
      <c r="G5" s="72">
        <v>0.5</v>
      </c>
      <c r="H5" s="72">
        <v>0</v>
      </c>
      <c r="I5" s="141">
        <v>787.2</v>
      </c>
    </row>
    <row r="6" spans="1:9" ht="12.75" customHeight="1" x14ac:dyDescent="0.2">
      <c r="A6" s="29"/>
      <c r="B6" s="20">
        <f>COUNTA(B5:B5)</f>
        <v>1</v>
      </c>
      <c r="C6" s="20"/>
      <c r="D6" s="20"/>
      <c r="E6" s="27">
        <f>COUNTIF(E5:E5, "Yes")</f>
        <v>1</v>
      </c>
      <c r="F6" s="29"/>
      <c r="G6" s="20"/>
      <c r="H6" s="20"/>
      <c r="I6" s="52">
        <f>SUM(I5:I5)</f>
        <v>787.2</v>
      </c>
    </row>
    <row r="7" spans="1:9" ht="12.75" customHeight="1" x14ac:dyDescent="0.2">
      <c r="A7" s="29"/>
      <c r="B7" s="60"/>
      <c r="C7" s="29"/>
      <c r="D7" s="29"/>
      <c r="E7" s="29"/>
      <c r="F7" s="29"/>
      <c r="G7" s="29"/>
      <c r="H7" s="29"/>
      <c r="I7" s="133"/>
    </row>
    <row r="8" spans="1:9" ht="12.75" customHeight="1" x14ac:dyDescent="0.2">
      <c r="A8" s="72" t="s">
        <v>164</v>
      </c>
      <c r="B8" s="72" t="s">
        <v>165</v>
      </c>
      <c r="C8" s="72" t="s">
        <v>166</v>
      </c>
      <c r="D8" s="72">
        <v>1</v>
      </c>
      <c r="E8" s="72" t="s">
        <v>28</v>
      </c>
      <c r="F8" s="72">
        <v>365</v>
      </c>
      <c r="G8" s="72">
        <v>0.5</v>
      </c>
      <c r="H8" s="72">
        <v>0</v>
      </c>
      <c r="I8" s="141">
        <v>1115.2</v>
      </c>
    </row>
    <row r="9" spans="1:9" x14ac:dyDescent="0.2">
      <c r="A9" s="29"/>
      <c r="B9" s="20">
        <f>COUNTA(B8:B8)</f>
        <v>1</v>
      </c>
      <c r="C9" s="20"/>
      <c r="D9" s="20"/>
      <c r="E9" s="27">
        <f>COUNTIF(E8:E8, "Yes")</f>
        <v>1</v>
      </c>
      <c r="F9" s="29"/>
      <c r="G9" s="20"/>
      <c r="H9" s="20"/>
      <c r="I9" s="52">
        <f>SUM(I8:I8)</f>
        <v>1115.2</v>
      </c>
    </row>
    <row r="10" spans="1:9" x14ac:dyDescent="0.2">
      <c r="A10" s="29"/>
      <c r="B10" s="20"/>
      <c r="C10" s="20"/>
      <c r="D10" s="20"/>
      <c r="E10" s="20"/>
      <c r="F10" s="29"/>
      <c r="G10" s="20"/>
      <c r="H10" s="20"/>
      <c r="I10" s="52"/>
    </row>
    <row r="11" spans="1:9" ht="12.75" customHeight="1" x14ac:dyDescent="0.2">
      <c r="A11" s="72" t="s">
        <v>167</v>
      </c>
      <c r="B11" s="72" t="s">
        <v>168</v>
      </c>
      <c r="C11" s="72" t="s">
        <v>169</v>
      </c>
      <c r="D11" s="72">
        <v>1</v>
      </c>
      <c r="E11" s="72" t="s">
        <v>28</v>
      </c>
      <c r="F11" s="72">
        <v>365</v>
      </c>
      <c r="G11" s="72">
        <v>0.5</v>
      </c>
      <c r="H11" s="72">
        <v>0</v>
      </c>
      <c r="I11" s="141">
        <v>1213.5999999999999</v>
      </c>
    </row>
    <row r="12" spans="1:9" x14ac:dyDescent="0.2">
      <c r="A12" s="29"/>
      <c r="B12" s="20">
        <f>COUNTA(B11:B11)</f>
        <v>1</v>
      </c>
      <c r="C12" s="20"/>
      <c r="D12" s="20"/>
      <c r="E12" s="27">
        <f>COUNTIF(E11:E11, "Yes")</f>
        <v>1</v>
      </c>
      <c r="F12" s="29"/>
      <c r="G12" s="20"/>
      <c r="H12" s="20"/>
      <c r="I12" s="52">
        <f>SUM(I11:I11)</f>
        <v>1213.5999999999999</v>
      </c>
    </row>
    <row r="13" spans="1:9" x14ac:dyDescent="0.2">
      <c r="A13" s="29"/>
      <c r="B13" s="20"/>
      <c r="C13" s="20"/>
      <c r="D13" s="20"/>
      <c r="E13" s="20"/>
      <c r="F13" s="29"/>
      <c r="G13" s="20"/>
      <c r="H13" s="20"/>
      <c r="I13" s="52"/>
    </row>
    <row r="14" spans="1:9" ht="12.75" customHeight="1" x14ac:dyDescent="0.2">
      <c r="A14" s="71" t="s">
        <v>170</v>
      </c>
      <c r="B14" s="71" t="s">
        <v>171</v>
      </c>
      <c r="C14" s="71" t="s">
        <v>172</v>
      </c>
      <c r="D14" s="71">
        <v>1</v>
      </c>
      <c r="E14" s="71" t="s">
        <v>28</v>
      </c>
      <c r="F14" s="71">
        <v>365</v>
      </c>
      <c r="G14" s="71">
        <v>0.5</v>
      </c>
      <c r="H14" s="71">
        <v>0</v>
      </c>
      <c r="I14" s="132">
        <v>2755.2</v>
      </c>
    </row>
    <row r="15" spans="1:9" ht="12.75" customHeight="1" x14ac:dyDescent="0.2">
      <c r="A15" s="71" t="s">
        <v>170</v>
      </c>
      <c r="B15" s="71" t="s">
        <v>173</v>
      </c>
      <c r="C15" s="71" t="s">
        <v>174</v>
      </c>
      <c r="D15" s="71">
        <v>1</v>
      </c>
      <c r="E15" s="71" t="s">
        <v>28</v>
      </c>
      <c r="F15" s="71">
        <v>365</v>
      </c>
      <c r="G15" s="71">
        <v>0.5</v>
      </c>
      <c r="H15" s="71">
        <v>0</v>
      </c>
      <c r="I15" s="132">
        <v>787.2</v>
      </c>
    </row>
    <row r="16" spans="1:9" ht="12.75" customHeight="1" x14ac:dyDescent="0.2">
      <c r="A16" s="71" t="s">
        <v>170</v>
      </c>
      <c r="B16" s="71" t="s">
        <v>175</v>
      </c>
      <c r="C16" s="71" t="s">
        <v>176</v>
      </c>
      <c r="D16" s="71">
        <v>1</v>
      </c>
      <c r="E16" s="71" t="s">
        <v>28</v>
      </c>
      <c r="F16" s="71">
        <v>365</v>
      </c>
      <c r="G16" s="71">
        <v>0.5</v>
      </c>
      <c r="H16" s="71">
        <v>0</v>
      </c>
      <c r="I16" s="132">
        <v>623.20000000000005</v>
      </c>
    </row>
    <row r="17" spans="1:9" ht="12.75" customHeight="1" x14ac:dyDescent="0.2">
      <c r="A17" s="72" t="s">
        <v>170</v>
      </c>
      <c r="B17" s="72" t="s">
        <v>177</v>
      </c>
      <c r="C17" s="72" t="s">
        <v>178</v>
      </c>
      <c r="D17" s="72">
        <v>1</v>
      </c>
      <c r="E17" s="72" t="s">
        <v>28</v>
      </c>
      <c r="F17" s="72">
        <v>365</v>
      </c>
      <c r="G17" s="72">
        <v>0.5</v>
      </c>
      <c r="H17" s="72">
        <v>0</v>
      </c>
      <c r="I17" s="141">
        <v>393.6</v>
      </c>
    </row>
    <row r="18" spans="1:9" x14ac:dyDescent="0.2">
      <c r="A18" s="29"/>
      <c r="B18" s="20">
        <f>COUNTA(B14:B17)</f>
        <v>4</v>
      </c>
      <c r="C18" s="20"/>
      <c r="D18" s="20"/>
      <c r="E18" s="27">
        <f>COUNTIF(E14:E17, "Yes")</f>
        <v>4</v>
      </c>
      <c r="F18" s="29"/>
      <c r="G18" s="20"/>
      <c r="H18" s="20"/>
      <c r="I18" s="52">
        <f>SUM(I14:I17)</f>
        <v>4559.2</v>
      </c>
    </row>
    <row r="19" spans="1:9" x14ac:dyDescent="0.2">
      <c r="A19" s="29"/>
      <c r="B19" s="20"/>
      <c r="C19" s="20"/>
      <c r="D19" s="20"/>
      <c r="E19" s="20"/>
      <c r="F19" s="29"/>
      <c r="G19" s="20"/>
      <c r="H19" s="20"/>
      <c r="I19" s="52"/>
    </row>
    <row r="20" spans="1:9" ht="12.75" customHeight="1" x14ac:dyDescent="0.2">
      <c r="A20" s="72" t="s">
        <v>179</v>
      </c>
      <c r="B20" s="72" t="s">
        <v>180</v>
      </c>
      <c r="C20" s="72" t="s">
        <v>181</v>
      </c>
      <c r="D20" s="72">
        <v>1</v>
      </c>
      <c r="E20" s="72" t="s">
        <v>28</v>
      </c>
      <c r="F20" s="72">
        <v>365</v>
      </c>
      <c r="G20" s="72">
        <v>0.5</v>
      </c>
      <c r="H20" s="72">
        <v>0</v>
      </c>
      <c r="I20" s="141">
        <v>1476</v>
      </c>
    </row>
    <row r="21" spans="1:9" x14ac:dyDescent="0.2">
      <c r="A21" s="29"/>
      <c r="B21" s="20">
        <f>COUNTA(B20:B20)</f>
        <v>1</v>
      </c>
      <c r="C21" s="20"/>
      <c r="D21" s="20"/>
      <c r="E21" s="27">
        <f>COUNTIF(E20:E20, "Yes")</f>
        <v>1</v>
      </c>
      <c r="F21" s="29"/>
      <c r="G21" s="20"/>
      <c r="H21" s="20"/>
      <c r="I21" s="52">
        <f>SUM(I20:I20)</f>
        <v>1476</v>
      </c>
    </row>
    <row r="22" spans="1:9" x14ac:dyDescent="0.2">
      <c r="A22" s="29"/>
      <c r="B22" s="20"/>
      <c r="C22" s="20"/>
      <c r="D22" s="20"/>
      <c r="E22" s="20"/>
      <c r="F22" s="29"/>
      <c r="G22" s="20"/>
      <c r="H22" s="20"/>
      <c r="I22" s="52"/>
    </row>
    <row r="23" spans="1:9" ht="12.75" customHeight="1" x14ac:dyDescent="0.2">
      <c r="A23" s="72" t="s">
        <v>182</v>
      </c>
      <c r="B23" s="72" t="s">
        <v>183</v>
      </c>
      <c r="C23" s="72" t="s">
        <v>184</v>
      </c>
      <c r="D23" s="72">
        <v>1</v>
      </c>
      <c r="E23" s="72" t="s">
        <v>28</v>
      </c>
      <c r="F23" s="72">
        <v>365</v>
      </c>
      <c r="G23" s="72">
        <v>0.5</v>
      </c>
      <c r="H23" s="72">
        <v>0</v>
      </c>
      <c r="I23" s="141">
        <v>2000.8</v>
      </c>
    </row>
    <row r="24" spans="1:9" x14ac:dyDescent="0.2">
      <c r="A24" s="29"/>
      <c r="B24" s="20">
        <f>COUNTA(B23:B23)</f>
        <v>1</v>
      </c>
      <c r="C24" s="20"/>
      <c r="D24" s="20"/>
      <c r="E24" s="27">
        <f>COUNTIF(E23:E23, "Yes")</f>
        <v>1</v>
      </c>
      <c r="F24" s="29"/>
      <c r="G24" s="20"/>
      <c r="H24" s="20"/>
      <c r="I24" s="52">
        <f>SUM(I23:I23)</f>
        <v>2000.8</v>
      </c>
    </row>
    <row r="25" spans="1:9" x14ac:dyDescent="0.2">
      <c r="A25" s="29"/>
      <c r="B25" s="20"/>
      <c r="C25" s="20"/>
      <c r="D25" s="20"/>
      <c r="E25" s="20"/>
      <c r="F25" s="29"/>
      <c r="G25" s="20"/>
      <c r="H25" s="20"/>
      <c r="I25" s="52"/>
    </row>
    <row r="26" spans="1:9" ht="12.75" customHeight="1" x14ac:dyDescent="0.2">
      <c r="A26" s="72" t="s">
        <v>185</v>
      </c>
      <c r="B26" s="72" t="s">
        <v>186</v>
      </c>
      <c r="C26" s="72" t="s">
        <v>187</v>
      </c>
      <c r="D26" s="72">
        <v>1</v>
      </c>
      <c r="E26" s="72" t="s">
        <v>28</v>
      </c>
      <c r="F26" s="72">
        <v>365</v>
      </c>
      <c r="G26" s="72">
        <v>0.5</v>
      </c>
      <c r="H26" s="72">
        <v>0</v>
      </c>
      <c r="I26" s="141">
        <v>1344.8</v>
      </c>
    </row>
    <row r="27" spans="1:9" x14ac:dyDescent="0.2">
      <c r="A27" s="29"/>
      <c r="B27" s="20">
        <f>COUNTA(B26:B26)</f>
        <v>1</v>
      </c>
      <c r="C27" s="20"/>
      <c r="D27" s="20"/>
      <c r="E27" s="27">
        <f>COUNTIF(E26:E26, "Yes")</f>
        <v>1</v>
      </c>
      <c r="F27" s="29"/>
      <c r="G27" s="20"/>
      <c r="H27" s="20"/>
      <c r="I27" s="52">
        <f>SUM(I26:I26)</f>
        <v>1344.8</v>
      </c>
    </row>
    <row r="28" spans="1:9" x14ac:dyDescent="0.2">
      <c r="A28" s="29"/>
      <c r="B28" s="20"/>
      <c r="C28" s="20"/>
      <c r="D28" s="20"/>
      <c r="E28" s="20"/>
      <c r="F28" s="29"/>
      <c r="G28" s="20"/>
      <c r="H28" s="20"/>
      <c r="I28" s="52"/>
    </row>
    <row r="29" spans="1:9" ht="12.75" customHeight="1" x14ac:dyDescent="0.2">
      <c r="A29" s="72" t="s">
        <v>188</v>
      </c>
      <c r="B29" s="72" t="s">
        <v>189</v>
      </c>
      <c r="C29" s="72" t="s">
        <v>190</v>
      </c>
      <c r="D29" s="72">
        <v>1</v>
      </c>
      <c r="E29" s="72" t="s">
        <v>28</v>
      </c>
      <c r="F29" s="72">
        <v>365</v>
      </c>
      <c r="G29" s="72">
        <v>0.5</v>
      </c>
      <c r="H29" s="72">
        <v>0</v>
      </c>
      <c r="I29" s="141">
        <v>1049.5999999999999</v>
      </c>
    </row>
    <row r="30" spans="1:9" x14ac:dyDescent="0.2">
      <c r="A30" s="29"/>
      <c r="B30" s="20">
        <f>COUNTA(B29:B29)</f>
        <v>1</v>
      </c>
      <c r="C30" s="20"/>
      <c r="D30" s="20"/>
      <c r="E30" s="27">
        <f>COUNTIF(E29:E29, "Yes")</f>
        <v>1</v>
      </c>
      <c r="F30" s="29"/>
      <c r="G30" s="20"/>
      <c r="H30" s="20"/>
      <c r="I30" s="52">
        <f>SUM(I29:I29)</f>
        <v>1049.5999999999999</v>
      </c>
    </row>
    <row r="31" spans="1:9" x14ac:dyDescent="0.2">
      <c r="A31" s="29"/>
      <c r="B31" s="20"/>
      <c r="C31" s="20"/>
      <c r="D31" s="20"/>
      <c r="E31" s="20"/>
      <c r="F31" s="29"/>
      <c r="G31" s="20"/>
      <c r="H31" s="20"/>
      <c r="I31" s="52"/>
    </row>
    <row r="32" spans="1:9" ht="12.75" customHeight="1" x14ac:dyDescent="0.2">
      <c r="A32" s="71" t="s">
        <v>191</v>
      </c>
      <c r="B32" s="71" t="s">
        <v>192</v>
      </c>
      <c r="C32" s="71" t="s">
        <v>193</v>
      </c>
      <c r="D32" s="71">
        <v>1</v>
      </c>
      <c r="E32" s="71" t="s">
        <v>28</v>
      </c>
      <c r="F32" s="71">
        <v>365</v>
      </c>
      <c r="G32" s="71">
        <v>0.5</v>
      </c>
      <c r="H32" s="71">
        <v>0</v>
      </c>
      <c r="I32" s="132">
        <v>688.8</v>
      </c>
    </row>
    <row r="33" spans="1:9" ht="12.75" customHeight="1" x14ac:dyDescent="0.2">
      <c r="A33" s="72" t="s">
        <v>191</v>
      </c>
      <c r="B33" s="72" t="s">
        <v>194</v>
      </c>
      <c r="C33" s="72" t="s">
        <v>195</v>
      </c>
      <c r="D33" s="72">
        <v>1</v>
      </c>
      <c r="E33" s="72" t="s">
        <v>28</v>
      </c>
      <c r="F33" s="72">
        <v>365</v>
      </c>
      <c r="G33" s="72">
        <v>0.5</v>
      </c>
      <c r="H33" s="72">
        <v>0</v>
      </c>
      <c r="I33" s="141">
        <v>656</v>
      </c>
    </row>
    <row r="34" spans="1:9" x14ac:dyDescent="0.2">
      <c r="A34" s="29"/>
      <c r="B34" s="20">
        <f>COUNTA(B32:B33)</f>
        <v>2</v>
      </c>
      <c r="C34" s="20"/>
      <c r="D34" s="20"/>
      <c r="E34" s="27">
        <f>COUNTIF(E32:E33, "Yes")</f>
        <v>2</v>
      </c>
      <c r="F34" s="29"/>
      <c r="G34" s="20"/>
      <c r="H34" s="20"/>
      <c r="I34" s="52">
        <f>SUM(I32:I33)</f>
        <v>1344.8</v>
      </c>
    </row>
    <row r="35" spans="1:9" x14ac:dyDescent="0.2">
      <c r="A35" s="29"/>
      <c r="B35" s="20"/>
      <c r="C35" s="20"/>
      <c r="D35" s="20"/>
      <c r="E35" s="20"/>
      <c r="F35" s="29"/>
      <c r="G35" s="20"/>
      <c r="H35" s="20"/>
      <c r="I35" s="52"/>
    </row>
    <row r="36" spans="1:9" ht="12.75" customHeight="1" x14ac:dyDescent="0.2">
      <c r="A36" s="72" t="s">
        <v>196</v>
      </c>
      <c r="B36" s="72" t="s">
        <v>197</v>
      </c>
      <c r="C36" s="72" t="s">
        <v>198</v>
      </c>
      <c r="D36" s="72">
        <v>1</v>
      </c>
      <c r="E36" s="72" t="s">
        <v>28</v>
      </c>
      <c r="F36" s="72">
        <v>365</v>
      </c>
      <c r="G36" s="72">
        <v>0.5</v>
      </c>
      <c r="H36" s="72">
        <v>0</v>
      </c>
      <c r="I36" s="141">
        <v>3739.2</v>
      </c>
    </row>
    <row r="37" spans="1:9" x14ac:dyDescent="0.2">
      <c r="A37" s="29"/>
      <c r="B37" s="20">
        <f>COUNTA(B36:B36)</f>
        <v>1</v>
      </c>
      <c r="C37" s="20"/>
      <c r="D37" s="20"/>
      <c r="E37" s="27">
        <f>COUNTIF(E36:E36, "Yes")</f>
        <v>1</v>
      </c>
      <c r="F37" s="29"/>
      <c r="G37" s="20"/>
      <c r="H37" s="20"/>
      <c r="I37" s="52">
        <f>SUM(I36:I36)</f>
        <v>3739.2</v>
      </c>
    </row>
    <row r="38" spans="1:9" x14ac:dyDescent="0.2">
      <c r="A38" s="29"/>
      <c r="B38" s="20"/>
      <c r="C38" s="20"/>
      <c r="D38" s="20"/>
      <c r="E38" s="20"/>
      <c r="F38" s="29"/>
      <c r="G38" s="20"/>
      <c r="H38" s="20"/>
      <c r="I38" s="52"/>
    </row>
    <row r="39" spans="1:9" ht="12.75" customHeight="1" x14ac:dyDescent="0.2">
      <c r="A39" s="72" t="s">
        <v>199</v>
      </c>
      <c r="B39" s="72" t="s">
        <v>200</v>
      </c>
      <c r="C39" s="72" t="s">
        <v>201</v>
      </c>
      <c r="D39" s="72">
        <v>1</v>
      </c>
      <c r="E39" s="72" t="s">
        <v>28</v>
      </c>
      <c r="F39" s="72">
        <v>365</v>
      </c>
      <c r="G39" s="72">
        <v>0.5</v>
      </c>
      <c r="H39" s="72">
        <v>0</v>
      </c>
      <c r="I39" s="141">
        <v>1246.4000000000001</v>
      </c>
    </row>
    <row r="40" spans="1:9" x14ac:dyDescent="0.2">
      <c r="A40" s="29"/>
      <c r="B40" s="20">
        <f>COUNTA(B39:B39)</f>
        <v>1</v>
      </c>
      <c r="C40" s="20"/>
      <c r="D40" s="20"/>
      <c r="E40" s="27">
        <f>COUNTIF(E39:E39, "Yes")</f>
        <v>1</v>
      </c>
      <c r="F40" s="29"/>
      <c r="G40" s="20"/>
      <c r="H40" s="20"/>
      <c r="I40" s="52">
        <f>SUM(I39:I39)</f>
        <v>1246.4000000000001</v>
      </c>
    </row>
    <row r="41" spans="1:9" x14ac:dyDescent="0.2">
      <c r="A41" s="29"/>
      <c r="B41" s="20"/>
      <c r="C41" s="20"/>
      <c r="D41" s="20"/>
      <c r="E41" s="20"/>
      <c r="F41" s="29"/>
      <c r="G41" s="20"/>
      <c r="H41" s="20"/>
      <c r="I41" s="52"/>
    </row>
    <row r="42" spans="1:9" ht="12.75" customHeight="1" x14ac:dyDescent="0.2">
      <c r="A42" s="72" t="s">
        <v>202</v>
      </c>
      <c r="B42" s="72" t="s">
        <v>203</v>
      </c>
      <c r="C42" s="72" t="s">
        <v>204</v>
      </c>
      <c r="D42" s="72">
        <v>1</v>
      </c>
      <c r="E42" s="72" t="s">
        <v>28</v>
      </c>
      <c r="F42" s="72">
        <v>365</v>
      </c>
      <c r="G42" s="72">
        <v>0.5</v>
      </c>
      <c r="H42" s="72">
        <v>0</v>
      </c>
      <c r="I42" s="141">
        <v>360.8</v>
      </c>
    </row>
    <row r="43" spans="1:9" x14ac:dyDescent="0.2">
      <c r="A43" s="29"/>
      <c r="B43" s="20">
        <f>COUNTA(B42:B42)</f>
        <v>1</v>
      </c>
      <c r="C43" s="20"/>
      <c r="D43" s="20"/>
      <c r="E43" s="27">
        <f>COUNTIF(E42:E42, "Yes")</f>
        <v>1</v>
      </c>
      <c r="F43" s="29"/>
      <c r="G43" s="20"/>
      <c r="H43" s="20"/>
      <c r="I43" s="52">
        <f>SUM(I42:I42)</f>
        <v>360.8</v>
      </c>
    </row>
    <row r="44" spans="1:9" x14ac:dyDescent="0.2">
      <c r="A44" s="29"/>
      <c r="B44" s="20"/>
      <c r="C44" s="20"/>
      <c r="D44" s="20"/>
      <c r="E44" s="20"/>
      <c r="F44" s="29"/>
      <c r="G44" s="20"/>
      <c r="H44" s="20"/>
      <c r="I44" s="52"/>
    </row>
    <row r="45" spans="1:9" ht="12.75" customHeight="1" x14ac:dyDescent="0.2">
      <c r="A45" s="72" t="s">
        <v>205</v>
      </c>
      <c r="B45" s="72" t="s">
        <v>206</v>
      </c>
      <c r="C45" s="72" t="s">
        <v>207</v>
      </c>
      <c r="D45" s="72">
        <v>1</v>
      </c>
      <c r="E45" s="72" t="s">
        <v>28</v>
      </c>
      <c r="F45" s="72">
        <v>365</v>
      </c>
      <c r="G45" s="72">
        <v>0.5</v>
      </c>
      <c r="H45" s="72">
        <v>0</v>
      </c>
      <c r="I45" s="141">
        <v>459.2</v>
      </c>
    </row>
    <row r="46" spans="1:9" x14ac:dyDescent="0.2">
      <c r="A46" s="29"/>
      <c r="B46" s="20">
        <f>COUNTA(B45:B45)</f>
        <v>1</v>
      </c>
      <c r="C46" s="20"/>
      <c r="D46" s="20"/>
      <c r="E46" s="27">
        <f>COUNTIF(E45:E45, "Yes")</f>
        <v>1</v>
      </c>
      <c r="F46" s="29"/>
      <c r="G46" s="20"/>
      <c r="H46" s="20"/>
      <c r="I46" s="52">
        <f>SUM(I45:I45)</f>
        <v>459.2</v>
      </c>
    </row>
    <row r="47" spans="1:9" x14ac:dyDescent="0.2">
      <c r="A47" s="29"/>
      <c r="B47" s="20"/>
      <c r="C47" s="20"/>
      <c r="D47" s="20"/>
      <c r="E47" s="20"/>
      <c r="F47" s="29"/>
      <c r="G47" s="20"/>
      <c r="H47" s="20"/>
      <c r="I47" s="52"/>
    </row>
    <row r="48" spans="1:9" ht="12.75" customHeight="1" x14ac:dyDescent="0.2">
      <c r="A48" s="72" t="s">
        <v>208</v>
      </c>
      <c r="B48" s="72" t="s">
        <v>209</v>
      </c>
      <c r="C48" s="72" t="s">
        <v>210</v>
      </c>
      <c r="D48" s="72">
        <v>1</v>
      </c>
      <c r="E48" s="72" t="s">
        <v>28</v>
      </c>
      <c r="F48" s="72">
        <v>365</v>
      </c>
      <c r="G48" s="72">
        <v>0.5</v>
      </c>
      <c r="H48" s="72">
        <v>0</v>
      </c>
      <c r="I48" s="141">
        <v>656</v>
      </c>
    </row>
    <row r="49" spans="1:9" x14ac:dyDescent="0.2">
      <c r="A49" s="29"/>
      <c r="B49" s="20">
        <f>COUNTA(B48:B48)</f>
        <v>1</v>
      </c>
      <c r="C49" s="20"/>
      <c r="D49" s="20"/>
      <c r="E49" s="27">
        <f>COUNTIF(E48:E48, "Yes")</f>
        <v>1</v>
      </c>
      <c r="F49" s="29"/>
      <c r="G49" s="20"/>
      <c r="H49" s="20"/>
      <c r="I49" s="52">
        <f>SUM(I48:I48)</f>
        <v>656</v>
      </c>
    </row>
    <row r="50" spans="1:9" x14ac:dyDescent="0.2">
      <c r="A50" s="29"/>
      <c r="B50" s="20"/>
      <c r="C50" s="20"/>
      <c r="D50" s="20"/>
      <c r="E50" s="20"/>
      <c r="F50" s="29"/>
      <c r="G50" s="20"/>
      <c r="H50" s="20"/>
      <c r="I50" s="52"/>
    </row>
    <row r="51" spans="1:9" ht="12.75" customHeight="1" x14ac:dyDescent="0.2">
      <c r="A51" s="72" t="s">
        <v>211</v>
      </c>
      <c r="B51" s="72" t="s">
        <v>212</v>
      </c>
      <c r="C51" s="72" t="s">
        <v>213</v>
      </c>
      <c r="D51" s="72">
        <v>1</v>
      </c>
      <c r="E51" s="72" t="s">
        <v>28</v>
      </c>
      <c r="F51" s="72">
        <v>365</v>
      </c>
      <c r="G51" s="72">
        <v>0.5</v>
      </c>
      <c r="H51" s="72">
        <v>0</v>
      </c>
      <c r="I51" s="141">
        <v>1115.2</v>
      </c>
    </row>
    <row r="52" spans="1:9" x14ac:dyDescent="0.2">
      <c r="A52" s="29"/>
      <c r="B52" s="20">
        <f>COUNTA(B51:B51)</f>
        <v>1</v>
      </c>
      <c r="C52" s="20"/>
      <c r="D52" s="20"/>
      <c r="E52" s="27">
        <f>COUNTIF(E51:E51, "Yes")</f>
        <v>1</v>
      </c>
      <c r="F52" s="29"/>
      <c r="G52" s="20"/>
      <c r="H52" s="20"/>
      <c r="I52" s="52">
        <f>SUM(I51:I51)</f>
        <v>1115.2</v>
      </c>
    </row>
    <row r="53" spans="1:9" x14ac:dyDescent="0.2">
      <c r="A53" s="29"/>
      <c r="B53" s="20"/>
      <c r="C53" s="20"/>
      <c r="D53" s="20"/>
      <c r="E53" s="20"/>
      <c r="F53" s="29"/>
      <c r="G53" s="20"/>
      <c r="H53" s="20"/>
      <c r="I53" s="52"/>
    </row>
    <row r="54" spans="1:9" ht="12.75" customHeight="1" x14ac:dyDescent="0.2">
      <c r="A54" s="72" t="s">
        <v>214</v>
      </c>
      <c r="B54" s="72" t="s">
        <v>215</v>
      </c>
      <c r="C54" s="72" t="s">
        <v>216</v>
      </c>
      <c r="D54" s="72">
        <v>1</v>
      </c>
      <c r="E54" s="72" t="s">
        <v>28</v>
      </c>
      <c r="F54" s="72">
        <v>365</v>
      </c>
      <c r="G54" s="72">
        <v>0.5</v>
      </c>
      <c r="H54" s="72">
        <v>0</v>
      </c>
      <c r="I54" s="141">
        <v>590.4</v>
      </c>
    </row>
    <row r="55" spans="1:9" x14ac:dyDescent="0.2">
      <c r="A55" s="29"/>
      <c r="B55" s="20">
        <f>COUNTA(B54:B54)</f>
        <v>1</v>
      </c>
      <c r="C55" s="20"/>
      <c r="D55" s="20"/>
      <c r="E55" s="27">
        <f>COUNTIF(E54:E54, "Yes")</f>
        <v>1</v>
      </c>
      <c r="F55" s="29"/>
      <c r="G55" s="20"/>
      <c r="H55" s="20"/>
      <c r="I55" s="52">
        <f>SUM(I54:I54)</f>
        <v>590.4</v>
      </c>
    </row>
    <row r="56" spans="1:9" x14ac:dyDescent="0.2">
      <c r="A56" s="29"/>
      <c r="B56" s="20"/>
      <c r="C56" s="20"/>
      <c r="D56" s="20"/>
      <c r="E56" s="20"/>
      <c r="F56" s="29"/>
      <c r="G56" s="20"/>
      <c r="H56" s="20"/>
      <c r="I56" s="52"/>
    </row>
    <row r="57" spans="1:9" ht="12.75" customHeight="1" x14ac:dyDescent="0.2">
      <c r="A57" s="72" t="s">
        <v>217</v>
      </c>
      <c r="B57" s="72" t="s">
        <v>218</v>
      </c>
      <c r="C57" s="72" t="s">
        <v>219</v>
      </c>
      <c r="D57" s="72">
        <v>1</v>
      </c>
      <c r="E57" s="72" t="s">
        <v>28</v>
      </c>
      <c r="F57" s="72">
        <v>365</v>
      </c>
      <c r="G57" s="72">
        <v>0.5</v>
      </c>
      <c r="H57" s="72">
        <v>0</v>
      </c>
      <c r="I57" s="141">
        <v>754.4</v>
      </c>
    </row>
    <row r="58" spans="1:9" x14ac:dyDescent="0.2">
      <c r="A58" s="29"/>
      <c r="B58" s="20">
        <f>COUNTA(B57:B57)</f>
        <v>1</v>
      </c>
      <c r="C58" s="20"/>
      <c r="D58" s="20"/>
      <c r="E58" s="27">
        <f>COUNTIF(E57:E57, "Yes")</f>
        <v>1</v>
      </c>
      <c r="F58" s="29"/>
      <c r="G58" s="20"/>
      <c r="H58" s="20"/>
      <c r="I58" s="52">
        <f>SUM(I57:I57)</f>
        <v>754.4</v>
      </c>
    </row>
    <row r="59" spans="1:9" x14ac:dyDescent="0.2">
      <c r="A59" s="29"/>
      <c r="B59" s="20"/>
      <c r="C59" s="20"/>
      <c r="D59" s="20"/>
      <c r="E59" s="20"/>
      <c r="F59" s="29"/>
      <c r="G59" s="20"/>
      <c r="H59" s="20"/>
      <c r="I59" s="52"/>
    </row>
    <row r="60" spans="1:9" x14ac:dyDescent="0.2">
      <c r="A60" s="29"/>
      <c r="B60" s="20"/>
      <c r="C60" s="20"/>
      <c r="D60" s="20"/>
      <c r="E60" s="20"/>
      <c r="F60" s="29"/>
      <c r="G60" s="20"/>
      <c r="H60" s="20"/>
      <c r="I60" s="52"/>
    </row>
    <row r="61" spans="1:9" x14ac:dyDescent="0.2">
      <c r="A61" s="67"/>
      <c r="B61" s="67"/>
      <c r="D61" s="181" t="s">
        <v>99</v>
      </c>
      <c r="E61" s="136"/>
      <c r="F61" s="94"/>
      <c r="G61" s="67"/>
      <c r="H61" s="67"/>
    </row>
    <row r="62" spans="1:9" x14ac:dyDescent="0.2">
      <c r="A62" s="67"/>
      <c r="B62" s="67"/>
      <c r="D62" s="107" t="s">
        <v>94</v>
      </c>
      <c r="E62" s="137">
        <f>SUM(B3+B6+B9+B12+B18+B21+B24+B27+B30+B34+B37+B40+B43+B46+B49+B52+B55+B58)</f>
        <v>22</v>
      </c>
      <c r="G62" s="67"/>
      <c r="H62" s="67"/>
    </row>
    <row r="63" spans="1:9" x14ac:dyDescent="0.2">
      <c r="D63" s="107" t="s">
        <v>97</v>
      </c>
      <c r="E63" s="137">
        <f>SUM(E3+E6+E9+E12+E18+E21+E24+E27+E30+E34+E37+E40+E43+E46+E49+E52+E55+E58)</f>
        <v>22</v>
      </c>
      <c r="I63" s="138"/>
    </row>
    <row r="64" spans="1:9" x14ac:dyDescent="0.2">
      <c r="D64" s="107" t="s">
        <v>141</v>
      </c>
      <c r="E64" s="139">
        <f>E63/E62</f>
        <v>1</v>
      </c>
    </row>
    <row r="65" spans="4:6" x14ac:dyDescent="0.2">
      <c r="D65" s="107" t="s">
        <v>98</v>
      </c>
      <c r="E65" s="140">
        <f>SUM(I3+I6+I9+I12+I18+I21+I24+I27+I30+I34+I37+I40+I43+I46+I49+I52+I55+I58)</f>
        <v>24140.800000000003</v>
      </c>
    </row>
    <row r="66" spans="4:6" x14ac:dyDescent="0.2">
      <c r="D66" s="180"/>
    </row>
    <row r="67" spans="4:6" x14ac:dyDescent="0.2">
      <c r="D67" s="118" t="s">
        <v>227</v>
      </c>
      <c r="E67" s="177" t="s">
        <v>228</v>
      </c>
      <c r="F67" s="177" t="s">
        <v>103</v>
      </c>
    </row>
    <row r="68" spans="4:6" x14ac:dyDescent="0.2">
      <c r="D68" s="107" t="s">
        <v>229</v>
      </c>
      <c r="E68" s="178">
        <f>COUNTIF(G2:G57, "0.25")</f>
        <v>0</v>
      </c>
      <c r="F68" s="179">
        <f>E68/E63</f>
        <v>0</v>
      </c>
    </row>
    <row r="69" spans="4:6" x14ac:dyDescent="0.2">
      <c r="D69" s="107" t="s">
        <v>230</v>
      </c>
      <c r="E69" s="178">
        <f>COUNTIF(G2:G57, "0.5")</f>
        <v>22</v>
      </c>
      <c r="F69" s="179">
        <f>E69/E63</f>
        <v>1</v>
      </c>
    </row>
    <row r="70" spans="4:6" x14ac:dyDescent="0.2">
      <c r="D70" s="107" t="s">
        <v>231</v>
      </c>
      <c r="E70" s="178">
        <f>COUNTIF(G2:G57, "1")</f>
        <v>0</v>
      </c>
      <c r="F70" s="179">
        <f>E70/E63</f>
        <v>0</v>
      </c>
    </row>
    <row r="71" spans="4:6" x14ac:dyDescent="0.2">
      <c r="D71" s="107" t="s">
        <v>232</v>
      </c>
      <c r="E71" s="178">
        <f>COUNTIF(G2:G57, "1.25")</f>
        <v>0</v>
      </c>
      <c r="F71" s="179">
        <f>E71/E63</f>
        <v>0</v>
      </c>
    </row>
    <row r="72" spans="4:6" x14ac:dyDescent="0.2">
      <c r="D72" s="107" t="s">
        <v>233</v>
      </c>
      <c r="E72" s="178">
        <f>COUNTIF(G2:G57, "1.50")</f>
        <v>0</v>
      </c>
      <c r="F72" s="179">
        <f>E72/E63</f>
        <v>0</v>
      </c>
    </row>
    <row r="73" spans="4:6" x14ac:dyDescent="0.2">
      <c r="D73" s="107" t="s">
        <v>234</v>
      </c>
      <c r="E73" s="178">
        <f>COUNTIF(G2:G57, "2")</f>
        <v>0</v>
      </c>
      <c r="F73" s="179">
        <f>E73/E63</f>
        <v>0</v>
      </c>
    </row>
    <row r="74" spans="4:6" x14ac:dyDescent="0.2">
      <c r="D74" s="107" t="s">
        <v>235</v>
      </c>
      <c r="E74" s="178">
        <f>COUNTIF(G2:G57, "2.5")</f>
        <v>0</v>
      </c>
      <c r="F74" s="179">
        <f>E74/E63</f>
        <v>0</v>
      </c>
    </row>
    <row r="75" spans="4:6" x14ac:dyDescent="0.2">
      <c r="D75" s="107" t="s">
        <v>236</v>
      </c>
      <c r="E75" s="178">
        <f>COUNTIF(G2:G57, "3")</f>
        <v>0</v>
      </c>
      <c r="F75" s="179">
        <f>E75/E63</f>
        <v>0</v>
      </c>
    </row>
    <row r="76" spans="4:6" x14ac:dyDescent="0.2">
      <c r="D76" s="107" t="s">
        <v>237</v>
      </c>
      <c r="E76" s="178">
        <f>COUNTIF(G2:G57, "4")</f>
        <v>0</v>
      </c>
      <c r="F76" s="179">
        <f>E76/E63</f>
        <v>0</v>
      </c>
    </row>
    <row r="77" spans="4:6" x14ac:dyDescent="0.2">
      <c r="D77" s="107" t="s">
        <v>238</v>
      </c>
      <c r="E77" s="178">
        <f>COUNTIF(G2:G57, "5")</f>
        <v>0</v>
      </c>
      <c r="F77" s="179">
        <f>E77/E63</f>
        <v>0</v>
      </c>
    </row>
    <row r="78" spans="4:6" x14ac:dyDescent="0.2">
      <c r="D78" s="107" t="s">
        <v>239</v>
      </c>
      <c r="E78" s="178">
        <f>COUNTIF(G2:G57, "7")</f>
        <v>0</v>
      </c>
      <c r="F78" s="179">
        <f>E78/E63</f>
        <v>0</v>
      </c>
    </row>
    <row r="79" spans="4:6" x14ac:dyDescent="0.2">
      <c r="D79" s="32"/>
      <c r="F79" s="178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Puerto Rico Beach Monitoring</oddHeader>
    <oddFooter>&amp;R&amp;P of &amp;N</oddFooter>
  </headerFooter>
  <rowBreaks count="1" manualBreakCount="1"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8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710937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19" x14ac:dyDescent="0.2">
      <c r="A1" s="59"/>
      <c r="B1" s="188" t="s">
        <v>35</v>
      </c>
      <c r="C1" s="188"/>
      <c r="D1" s="184"/>
      <c r="E1" s="59"/>
      <c r="F1" s="59"/>
      <c r="G1" s="189" t="s">
        <v>142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s="24" customFormat="1" ht="39" customHeight="1" x14ac:dyDescent="0.15">
      <c r="A2" s="25" t="s">
        <v>12</v>
      </c>
      <c r="B2" s="25" t="s">
        <v>13</v>
      </c>
      <c r="C2" s="25" t="s">
        <v>66</v>
      </c>
      <c r="D2" s="3" t="s">
        <v>69</v>
      </c>
      <c r="E2" s="25" t="s">
        <v>74</v>
      </c>
      <c r="F2" s="25" t="s">
        <v>75</v>
      </c>
      <c r="G2" s="25" t="s">
        <v>76</v>
      </c>
      <c r="H2" s="25" t="s">
        <v>77</v>
      </c>
      <c r="I2" s="3" t="s">
        <v>78</v>
      </c>
      <c r="J2" s="25" t="s">
        <v>79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80</v>
      </c>
      <c r="P2" s="25" t="s">
        <v>81</v>
      </c>
      <c r="Q2" s="25" t="s">
        <v>82</v>
      </c>
      <c r="R2" s="25" t="s">
        <v>83</v>
      </c>
      <c r="S2" s="25" t="s">
        <v>84</v>
      </c>
    </row>
    <row r="3" spans="1:19" ht="18" x14ac:dyDescent="0.2">
      <c r="A3" s="153" t="s">
        <v>158</v>
      </c>
      <c r="B3" s="153" t="s">
        <v>159</v>
      </c>
      <c r="C3" s="153" t="s">
        <v>160</v>
      </c>
      <c r="D3" s="153">
        <v>1</v>
      </c>
      <c r="E3" s="153" t="s">
        <v>28</v>
      </c>
      <c r="F3" s="153" t="s">
        <v>28</v>
      </c>
      <c r="G3" s="153"/>
      <c r="H3" s="153" t="s">
        <v>28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x14ac:dyDescent="0.2">
      <c r="A4" s="30"/>
      <c r="B4" s="31">
        <f>COUNTA(B3:B3)</f>
        <v>1</v>
      </c>
      <c r="C4" s="59"/>
      <c r="D4" s="182"/>
      <c r="E4" s="31">
        <f t="shared" ref="E4:S4" si="0">COUNTIF(E3:E3,"Yes")</f>
        <v>1</v>
      </c>
      <c r="F4" s="31">
        <f t="shared" si="0"/>
        <v>1</v>
      </c>
      <c r="G4" s="31">
        <f t="shared" si="0"/>
        <v>0</v>
      </c>
      <c r="H4" s="31">
        <f t="shared" si="0"/>
        <v>1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0</v>
      </c>
      <c r="O4" s="31">
        <f t="shared" si="0"/>
        <v>0</v>
      </c>
      <c r="P4" s="31">
        <f t="shared" si="0"/>
        <v>0</v>
      </c>
      <c r="Q4" s="31">
        <f t="shared" si="0"/>
        <v>0</v>
      </c>
      <c r="R4" s="31">
        <f t="shared" si="0"/>
        <v>0</v>
      </c>
      <c r="S4" s="31">
        <f t="shared" si="0"/>
        <v>0</v>
      </c>
    </row>
    <row r="5" spans="1:19" x14ac:dyDescent="0.2">
      <c r="A5" s="30"/>
      <c r="B5" s="4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8" x14ac:dyDescent="0.2">
      <c r="A6" s="72" t="s">
        <v>161</v>
      </c>
      <c r="B6" s="72" t="s">
        <v>162</v>
      </c>
      <c r="C6" s="72" t="s">
        <v>163</v>
      </c>
      <c r="D6" s="72">
        <v>1</v>
      </c>
      <c r="E6" s="72" t="s">
        <v>28</v>
      </c>
      <c r="F6" s="72" t="s">
        <v>28</v>
      </c>
      <c r="G6" s="72"/>
      <c r="H6" s="72"/>
      <c r="I6" s="72"/>
      <c r="J6" s="72"/>
      <c r="K6" s="72"/>
      <c r="L6" s="72"/>
      <c r="M6" s="72"/>
      <c r="N6" s="72"/>
      <c r="O6" s="72"/>
      <c r="P6" s="72" t="s">
        <v>28</v>
      </c>
      <c r="Q6" s="72"/>
      <c r="R6" s="72"/>
      <c r="S6" s="72"/>
    </row>
    <row r="7" spans="1:19" x14ac:dyDescent="0.2">
      <c r="A7" s="30"/>
      <c r="B7" s="31">
        <f>COUNTA(B6:B6)</f>
        <v>1</v>
      </c>
      <c r="C7" s="59"/>
      <c r="D7" s="182"/>
      <c r="E7" s="31">
        <f t="shared" ref="E7:S7" si="1">COUNTIF(E6:E6,"Yes")</f>
        <v>1</v>
      </c>
      <c r="F7" s="31">
        <f t="shared" si="1"/>
        <v>1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0</v>
      </c>
      <c r="O7" s="31">
        <f t="shared" si="1"/>
        <v>0</v>
      </c>
      <c r="P7" s="31">
        <f t="shared" si="1"/>
        <v>1</v>
      </c>
      <c r="Q7" s="31">
        <f t="shared" si="1"/>
        <v>0</v>
      </c>
      <c r="R7" s="31">
        <f t="shared" si="1"/>
        <v>0</v>
      </c>
      <c r="S7" s="31">
        <f t="shared" si="1"/>
        <v>0</v>
      </c>
    </row>
    <row r="8" spans="1:19" x14ac:dyDescent="0.2">
      <c r="A8" s="46"/>
      <c r="B8" s="46"/>
      <c r="C8" s="88"/>
      <c r="D8" s="88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x14ac:dyDescent="0.2">
      <c r="A9" s="72" t="s">
        <v>164</v>
      </c>
      <c r="B9" s="72" t="s">
        <v>165</v>
      </c>
      <c r="C9" s="72" t="s">
        <v>166</v>
      </c>
      <c r="D9" s="72">
        <v>1</v>
      </c>
      <c r="E9" s="72" t="s">
        <v>28</v>
      </c>
      <c r="F9" s="72" t="s">
        <v>28</v>
      </c>
      <c r="G9" s="72"/>
      <c r="H9" s="72" t="s">
        <v>28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x14ac:dyDescent="0.2">
      <c r="A10" s="30"/>
      <c r="B10" s="31">
        <f>COUNTA(B9:B9)</f>
        <v>1</v>
      </c>
      <c r="C10" s="125"/>
      <c r="D10" s="182"/>
      <c r="E10" s="31">
        <f t="shared" ref="E10:S10" si="2">COUNTIF(E9:E9,"Yes")</f>
        <v>1</v>
      </c>
      <c r="F10" s="31">
        <f t="shared" si="2"/>
        <v>1</v>
      </c>
      <c r="G10" s="31">
        <f t="shared" si="2"/>
        <v>0</v>
      </c>
      <c r="H10" s="31">
        <f t="shared" si="2"/>
        <v>1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</row>
    <row r="11" spans="1:19" x14ac:dyDescent="0.2">
      <c r="A11" s="46"/>
      <c r="B11" s="46"/>
      <c r="C11" s="88"/>
      <c r="D11" s="88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8" x14ac:dyDescent="0.2">
      <c r="A12" s="72" t="s">
        <v>167</v>
      </c>
      <c r="B12" s="72" t="s">
        <v>168</v>
      </c>
      <c r="C12" s="72" t="s">
        <v>169</v>
      </c>
      <c r="D12" s="72">
        <v>1</v>
      </c>
      <c r="E12" s="72" t="s">
        <v>33</v>
      </c>
      <c r="F12" s="72" t="s">
        <v>220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x14ac:dyDescent="0.2">
      <c r="A13" s="30"/>
      <c r="B13" s="31">
        <f>COUNTA(B12:B12)</f>
        <v>1</v>
      </c>
      <c r="C13" s="125"/>
      <c r="D13" s="182"/>
      <c r="E13" s="31">
        <f t="shared" ref="E13:S13" si="3">COUNTIF(E12:E12,"Yes")</f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</row>
    <row r="14" spans="1:19" x14ac:dyDescent="0.2">
      <c r="A14" s="46"/>
      <c r="B14" s="46"/>
      <c r="C14" s="88"/>
      <c r="D14" s="8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8" x14ac:dyDescent="0.2">
      <c r="A15" s="71" t="s">
        <v>170</v>
      </c>
      <c r="B15" s="71" t="s">
        <v>171</v>
      </c>
      <c r="C15" s="71" t="s">
        <v>172</v>
      </c>
      <c r="D15" s="71">
        <v>1</v>
      </c>
      <c r="E15" s="71" t="s">
        <v>33</v>
      </c>
      <c r="F15" s="71" t="s">
        <v>220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x14ac:dyDescent="0.2">
      <c r="A16" s="71" t="s">
        <v>170</v>
      </c>
      <c r="B16" s="71" t="s">
        <v>173</v>
      </c>
      <c r="C16" s="71" t="s">
        <v>174</v>
      </c>
      <c r="D16" s="71">
        <v>1</v>
      </c>
      <c r="E16" s="71" t="s">
        <v>33</v>
      </c>
      <c r="F16" s="71" t="s">
        <v>220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2">
      <c r="A17" s="71" t="s">
        <v>170</v>
      </c>
      <c r="B17" s="71" t="s">
        <v>175</v>
      </c>
      <c r="C17" s="71" t="s">
        <v>176</v>
      </c>
      <c r="D17" s="71">
        <v>1</v>
      </c>
      <c r="E17" s="71" t="s">
        <v>33</v>
      </c>
      <c r="F17" s="71" t="s">
        <v>220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8" x14ac:dyDescent="0.2">
      <c r="A18" s="72" t="s">
        <v>170</v>
      </c>
      <c r="B18" s="72" t="s">
        <v>177</v>
      </c>
      <c r="C18" s="72" t="s">
        <v>178</v>
      </c>
      <c r="D18" s="72">
        <v>1</v>
      </c>
      <c r="E18" s="72" t="s">
        <v>33</v>
      </c>
      <c r="F18" s="72" t="s">
        <v>220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x14ac:dyDescent="0.2">
      <c r="A19" s="30"/>
      <c r="B19" s="31">
        <f>COUNTA(B15:B18)</f>
        <v>4</v>
      </c>
      <c r="C19" s="125"/>
      <c r="D19" s="182"/>
      <c r="E19" s="31">
        <f t="shared" ref="E19:S19" si="4">COUNTIF(E15:E18,"Yes")</f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  <c r="P19" s="31">
        <f t="shared" si="4"/>
        <v>0</v>
      </c>
      <c r="Q19" s="31">
        <f t="shared" si="4"/>
        <v>0</v>
      </c>
      <c r="R19" s="31">
        <f t="shared" si="4"/>
        <v>0</v>
      </c>
      <c r="S19" s="31">
        <f t="shared" si="4"/>
        <v>0</v>
      </c>
    </row>
    <row r="20" spans="1:19" x14ac:dyDescent="0.2">
      <c r="A20" s="46"/>
      <c r="B20" s="46"/>
      <c r="C20" s="88"/>
      <c r="D20" s="8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x14ac:dyDescent="0.2">
      <c r="A21" s="72" t="s">
        <v>179</v>
      </c>
      <c r="B21" s="72" t="s">
        <v>180</v>
      </c>
      <c r="C21" s="72" t="s">
        <v>181</v>
      </c>
      <c r="D21" s="72">
        <v>1</v>
      </c>
      <c r="E21" s="72" t="s">
        <v>33</v>
      </c>
      <c r="F21" s="72" t="s">
        <v>220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2">
      <c r="A22" s="30"/>
      <c r="B22" s="31">
        <f>COUNTA(B21:B21)</f>
        <v>1</v>
      </c>
      <c r="C22" s="125"/>
      <c r="D22" s="182"/>
      <c r="E22" s="31">
        <f t="shared" ref="E22:S22" si="5">COUNTIF(E21:E21,"Yes")</f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</row>
    <row r="23" spans="1:19" x14ac:dyDescent="0.2">
      <c r="A23" s="46"/>
      <c r="B23" s="46"/>
      <c r="C23" s="88"/>
      <c r="D23" s="8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x14ac:dyDescent="0.2">
      <c r="A24" s="72" t="s">
        <v>182</v>
      </c>
      <c r="B24" s="72" t="s">
        <v>183</v>
      </c>
      <c r="C24" s="72" t="s">
        <v>184</v>
      </c>
      <c r="D24" s="72">
        <v>1</v>
      </c>
      <c r="E24" s="72" t="s">
        <v>33</v>
      </c>
      <c r="F24" s="72" t="s">
        <v>220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x14ac:dyDescent="0.2">
      <c r="A25" s="30"/>
      <c r="B25" s="31">
        <f>COUNTA(B24:B24)</f>
        <v>1</v>
      </c>
      <c r="C25" s="125"/>
      <c r="D25" s="182"/>
      <c r="E25" s="31">
        <f t="shared" ref="E25:S25" si="6">COUNTIF(E24:E24,"Yes")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6"/>
        <v>0</v>
      </c>
      <c r="P25" s="31">
        <f t="shared" si="6"/>
        <v>0</v>
      </c>
      <c r="Q25" s="31">
        <f t="shared" si="6"/>
        <v>0</v>
      </c>
      <c r="R25" s="31">
        <f t="shared" si="6"/>
        <v>0</v>
      </c>
      <c r="S25" s="31">
        <f t="shared" si="6"/>
        <v>0</v>
      </c>
    </row>
    <row r="26" spans="1:19" x14ac:dyDescent="0.2">
      <c r="A26" s="46"/>
      <c r="B26" s="46"/>
      <c r="C26" s="88"/>
      <c r="D26" s="8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x14ac:dyDescent="0.2">
      <c r="A27" s="72" t="s">
        <v>185</v>
      </c>
      <c r="B27" s="72" t="s">
        <v>186</v>
      </c>
      <c r="C27" s="72" t="s">
        <v>187</v>
      </c>
      <c r="D27" s="72">
        <v>1</v>
      </c>
      <c r="E27" s="72" t="s">
        <v>33</v>
      </c>
      <c r="F27" s="72" t="s">
        <v>220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x14ac:dyDescent="0.2">
      <c r="A28" s="30"/>
      <c r="B28" s="31">
        <f>COUNTA(B27:B27)</f>
        <v>1</v>
      </c>
      <c r="C28" s="125"/>
      <c r="D28" s="182"/>
      <c r="E28" s="31">
        <f t="shared" ref="E28:S28" si="7">COUNTIF(E27:E27,"Yes")</f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7"/>
        <v>0</v>
      </c>
      <c r="P28" s="31">
        <f t="shared" si="7"/>
        <v>0</v>
      </c>
      <c r="Q28" s="31">
        <f t="shared" si="7"/>
        <v>0</v>
      </c>
      <c r="R28" s="31">
        <f t="shared" si="7"/>
        <v>0</v>
      </c>
      <c r="S28" s="31">
        <f t="shared" si="7"/>
        <v>0</v>
      </c>
    </row>
    <row r="29" spans="1:19" x14ac:dyDescent="0.2">
      <c r="A29" s="46"/>
      <c r="B29" s="46"/>
      <c r="C29" s="88"/>
      <c r="D29" s="8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8" x14ac:dyDescent="0.2">
      <c r="A30" s="72" t="s">
        <v>188</v>
      </c>
      <c r="B30" s="72" t="s">
        <v>189</v>
      </c>
      <c r="C30" s="72" t="s">
        <v>190</v>
      </c>
      <c r="D30" s="72">
        <v>1</v>
      </c>
      <c r="E30" s="72" t="s">
        <v>33</v>
      </c>
      <c r="F30" s="72" t="s">
        <v>220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x14ac:dyDescent="0.2">
      <c r="A31" s="30"/>
      <c r="B31" s="31">
        <f>COUNTA(B30:B30)</f>
        <v>1</v>
      </c>
      <c r="C31" s="125"/>
      <c r="D31" s="182"/>
      <c r="E31" s="31">
        <f t="shared" ref="E31:S31" si="8">COUNTIF(E30:E30,"Yes")</f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31">
        <f t="shared" si="8"/>
        <v>0</v>
      </c>
      <c r="R31" s="31">
        <f t="shared" si="8"/>
        <v>0</v>
      </c>
      <c r="S31" s="31">
        <f t="shared" si="8"/>
        <v>0</v>
      </c>
    </row>
    <row r="32" spans="1:19" x14ac:dyDescent="0.2">
      <c r="A32" s="46"/>
      <c r="B32" s="46"/>
      <c r="C32" s="88"/>
      <c r="D32" s="8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8" x14ac:dyDescent="0.2">
      <c r="A33" s="71" t="s">
        <v>191</v>
      </c>
      <c r="B33" s="71" t="s">
        <v>192</v>
      </c>
      <c r="C33" s="71" t="s">
        <v>193</v>
      </c>
      <c r="D33" s="71">
        <v>1</v>
      </c>
      <c r="E33" s="71" t="s">
        <v>33</v>
      </c>
      <c r="F33" s="71" t="s">
        <v>220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x14ac:dyDescent="0.2">
      <c r="A34" s="72" t="s">
        <v>191</v>
      </c>
      <c r="B34" s="72" t="s">
        <v>194</v>
      </c>
      <c r="C34" s="72" t="s">
        <v>195</v>
      </c>
      <c r="D34" s="72">
        <v>1</v>
      </c>
      <c r="E34" s="72" t="s">
        <v>28</v>
      </c>
      <c r="F34" s="72" t="s">
        <v>28</v>
      </c>
      <c r="G34" s="72"/>
      <c r="H34" s="72"/>
      <c r="I34" s="72"/>
      <c r="J34" s="72"/>
      <c r="K34" s="72"/>
      <c r="L34" s="72"/>
      <c r="M34" s="72"/>
      <c r="N34" s="72"/>
      <c r="O34" s="72"/>
      <c r="P34" s="72" t="s">
        <v>28</v>
      </c>
      <c r="Q34" s="72"/>
      <c r="R34" s="72"/>
      <c r="S34" s="72"/>
    </row>
    <row r="35" spans="1:19" x14ac:dyDescent="0.2">
      <c r="A35" s="30"/>
      <c r="B35" s="31">
        <f>COUNTA(B33:B34)</f>
        <v>2</v>
      </c>
      <c r="C35" s="125"/>
      <c r="D35" s="182"/>
      <c r="E35" s="31">
        <f t="shared" ref="E35:S35" si="9">COUNTIF(E33:E34,"Yes")</f>
        <v>1</v>
      </c>
      <c r="F35" s="31">
        <f t="shared" si="9"/>
        <v>1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1</v>
      </c>
      <c r="Q35" s="31">
        <f t="shared" si="9"/>
        <v>0</v>
      </c>
      <c r="R35" s="31">
        <f t="shared" si="9"/>
        <v>0</v>
      </c>
      <c r="S35" s="31">
        <f t="shared" si="9"/>
        <v>0</v>
      </c>
    </row>
    <row r="36" spans="1:19" x14ac:dyDescent="0.2">
      <c r="A36" s="46"/>
      <c r="B36" s="46"/>
      <c r="C36" s="88"/>
      <c r="D36" s="8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72" t="s">
        <v>196</v>
      </c>
      <c r="B37" s="72" t="s">
        <v>197</v>
      </c>
      <c r="C37" s="72" t="s">
        <v>198</v>
      </c>
      <c r="D37" s="72">
        <v>1</v>
      </c>
      <c r="E37" s="72" t="s">
        <v>33</v>
      </c>
      <c r="F37" s="72" t="s">
        <v>220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x14ac:dyDescent="0.2">
      <c r="A38" s="30"/>
      <c r="B38" s="31">
        <f>COUNTA(B37:B37)</f>
        <v>1</v>
      </c>
      <c r="C38" s="125"/>
      <c r="D38" s="182"/>
      <c r="E38" s="31">
        <f t="shared" ref="E38:S38" si="10">COUNTIF(E37:E37,"Yes")</f>
        <v>0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0</v>
      </c>
      <c r="P38" s="31">
        <f t="shared" si="10"/>
        <v>0</v>
      </c>
      <c r="Q38" s="31">
        <f t="shared" si="10"/>
        <v>0</v>
      </c>
      <c r="R38" s="31">
        <f t="shared" si="10"/>
        <v>0</v>
      </c>
      <c r="S38" s="31">
        <f t="shared" si="10"/>
        <v>0</v>
      </c>
    </row>
    <row r="39" spans="1:19" x14ac:dyDescent="0.2">
      <c r="A39" s="46"/>
      <c r="B39" s="46"/>
      <c r="C39" s="88"/>
      <c r="D39" s="8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8" customHeight="1" x14ac:dyDescent="0.2">
      <c r="A40" s="72" t="s">
        <v>199</v>
      </c>
      <c r="B40" s="72" t="s">
        <v>200</v>
      </c>
      <c r="C40" s="72" t="s">
        <v>201</v>
      </c>
      <c r="D40" s="72">
        <v>1</v>
      </c>
      <c r="E40" s="72" t="s">
        <v>33</v>
      </c>
      <c r="F40" s="72" t="s">
        <v>220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x14ac:dyDescent="0.2">
      <c r="A41" s="30"/>
      <c r="B41" s="31">
        <f>COUNTA(B40:B40)</f>
        <v>1</v>
      </c>
      <c r="C41" s="125"/>
      <c r="D41" s="182"/>
      <c r="E41" s="31">
        <f t="shared" ref="E41:S41" si="11">COUNTIF(E40:E40,"Yes")</f>
        <v>0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 t="shared" si="11"/>
        <v>0</v>
      </c>
      <c r="P41" s="31">
        <f t="shared" si="11"/>
        <v>0</v>
      </c>
      <c r="Q41" s="31">
        <f t="shared" si="11"/>
        <v>0</v>
      </c>
      <c r="R41" s="31">
        <f t="shared" si="11"/>
        <v>0</v>
      </c>
      <c r="S41" s="31">
        <f t="shared" si="11"/>
        <v>0</v>
      </c>
    </row>
    <row r="42" spans="1:19" ht="10.5" customHeight="1" x14ac:dyDescent="0.2">
      <c r="A42" s="46"/>
      <c r="B42" s="46"/>
      <c r="C42" s="88"/>
      <c r="D42" s="8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.75" customHeight="1" x14ac:dyDescent="0.2">
      <c r="A43" s="72" t="s">
        <v>202</v>
      </c>
      <c r="B43" s="72" t="s">
        <v>203</v>
      </c>
      <c r="C43" s="72" t="s">
        <v>204</v>
      </c>
      <c r="D43" s="72">
        <v>1</v>
      </c>
      <c r="E43" s="72" t="s">
        <v>28</v>
      </c>
      <c r="F43" s="72" t="s">
        <v>28</v>
      </c>
      <c r="G43" s="72"/>
      <c r="H43" s="72" t="s">
        <v>28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x14ac:dyDescent="0.2">
      <c r="A44" s="30"/>
      <c r="B44" s="31">
        <f>COUNTA(B43:B43)</f>
        <v>1</v>
      </c>
      <c r="C44" s="129"/>
      <c r="D44" s="182"/>
      <c r="E44" s="31">
        <f t="shared" ref="E44:S44" si="12">COUNTIF(E43:E43,"Yes")</f>
        <v>1</v>
      </c>
      <c r="F44" s="31">
        <f t="shared" si="12"/>
        <v>1</v>
      </c>
      <c r="G44" s="31">
        <f t="shared" si="12"/>
        <v>0</v>
      </c>
      <c r="H44" s="31">
        <f t="shared" si="12"/>
        <v>1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0</v>
      </c>
      <c r="P44" s="31">
        <f t="shared" si="12"/>
        <v>0</v>
      </c>
      <c r="Q44" s="31">
        <f t="shared" si="12"/>
        <v>0</v>
      </c>
      <c r="R44" s="31">
        <f t="shared" si="12"/>
        <v>0</v>
      </c>
      <c r="S44" s="31">
        <f t="shared" si="12"/>
        <v>0</v>
      </c>
    </row>
    <row r="45" spans="1:19" ht="10.5" customHeight="1" x14ac:dyDescent="0.2">
      <c r="A45" s="46"/>
      <c r="B45" s="46"/>
      <c r="C45" s="88"/>
      <c r="D45" s="88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.75" customHeight="1" x14ac:dyDescent="0.2">
      <c r="A46" s="72" t="s">
        <v>205</v>
      </c>
      <c r="B46" s="72" t="s">
        <v>206</v>
      </c>
      <c r="C46" s="72" t="s">
        <v>207</v>
      </c>
      <c r="D46" s="72">
        <v>1</v>
      </c>
      <c r="E46" s="72" t="s">
        <v>33</v>
      </c>
      <c r="F46" s="72" t="s">
        <v>220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x14ac:dyDescent="0.2">
      <c r="A47" s="30"/>
      <c r="B47" s="31">
        <f>COUNTA(B46:B46)</f>
        <v>1</v>
      </c>
      <c r="C47" s="129"/>
      <c r="D47" s="182"/>
      <c r="E47" s="31">
        <f t="shared" ref="E47:S47" si="13">COUNTIF(E46:E46,"Yes")</f>
        <v>0</v>
      </c>
      <c r="F47" s="31">
        <f t="shared" si="13"/>
        <v>0</v>
      </c>
      <c r="G47" s="31">
        <f t="shared" si="13"/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31">
        <f t="shared" si="13"/>
        <v>0</v>
      </c>
      <c r="P47" s="31">
        <f t="shared" si="13"/>
        <v>0</v>
      </c>
      <c r="Q47" s="31">
        <f t="shared" si="13"/>
        <v>0</v>
      </c>
      <c r="R47" s="31">
        <f t="shared" si="13"/>
        <v>0</v>
      </c>
      <c r="S47" s="31">
        <f t="shared" si="13"/>
        <v>0</v>
      </c>
    </row>
    <row r="48" spans="1:19" ht="10.5" customHeight="1" x14ac:dyDescent="0.2">
      <c r="A48" s="46"/>
      <c r="B48" s="46"/>
      <c r="C48" s="88"/>
      <c r="D48" s="88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8" x14ac:dyDescent="0.2">
      <c r="A49" s="72" t="s">
        <v>208</v>
      </c>
      <c r="B49" s="72" t="s">
        <v>209</v>
      </c>
      <c r="C49" s="72" t="s">
        <v>210</v>
      </c>
      <c r="D49" s="72">
        <v>1</v>
      </c>
      <c r="E49" s="72" t="s">
        <v>28</v>
      </c>
      <c r="F49" s="72" t="s">
        <v>28</v>
      </c>
      <c r="G49" s="72"/>
      <c r="H49" s="72"/>
      <c r="I49" s="72"/>
      <c r="J49" s="72"/>
      <c r="K49" s="72"/>
      <c r="L49" s="72"/>
      <c r="M49" s="72"/>
      <c r="N49" s="72"/>
      <c r="O49" s="72" t="s">
        <v>28</v>
      </c>
      <c r="P49" s="72"/>
      <c r="Q49" s="72"/>
      <c r="R49" s="72"/>
      <c r="S49" s="72"/>
    </row>
    <row r="50" spans="1:19" x14ac:dyDescent="0.2">
      <c r="A50" s="30"/>
      <c r="B50" s="31">
        <f>COUNTA(B49:B49)</f>
        <v>1</v>
      </c>
      <c r="C50" s="129"/>
      <c r="D50" s="182"/>
      <c r="E50" s="31">
        <f t="shared" ref="E50:S50" si="14">COUNTIF(E49:E49,"Yes")</f>
        <v>1</v>
      </c>
      <c r="F50" s="31">
        <f t="shared" si="14"/>
        <v>1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 t="shared" si="14"/>
        <v>0</v>
      </c>
      <c r="O50" s="31">
        <f t="shared" si="14"/>
        <v>1</v>
      </c>
      <c r="P50" s="31">
        <f t="shared" si="14"/>
        <v>0</v>
      </c>
      <c r="Q50" s="31">
        <f t="shared" si="14"/>
        <v>0</v>
      </c>
      <c r="R50" s="31">
        <f t="shared" si="14"/>
        <v>0</v>
      </c>
      <c r="S50" s="31">
        <f t="shared" si="14"/>
        <v>0</v>
      </c>
    </row>
    <row r="51" spans="1:19" ht="10.5" customHeight="1" x14ac:dyDescent="0.2">
      <c r="A51" s="46"/>
      <c r="B51" s="46"/>
      <c r="C51" s="88"/>
      <c r="D51" s="8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8" x14ac:dyDescent="0.2">
      <c r="A52" s="72" t="s">
        <v>211</v>
      </c>
      <c r="B52" s="72" t="s">
        <v>212</v>
      </c>
      <c r="C52" s="72" t="s">
        <v>213</v>
      </c>
      <c r="D52" s="72">
        <v>1</v>
      </c>
      <c r="E52" s="72" t="s">
        <v>33</v>
      </c>
      <c r="F52" s="72" t="s">
        <v>220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30"/>
      <c r="B53" s="31">
        <f>COUNTA(B52:B52)</f>
        <v>1</v>
      </c>
      <c r="C53" s="129"/>
      <c r="D53" s="182"/>
      <c r="E53" s="31">
        <f t="shared" ref="E53:S53" si="15">COUNTIF(E52:E52,"Yes")</f>
        <v>0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31">
        <f t="shared" si="15"/>
        <v>0</v>
      </c>
      <c r="Q53" s="31">
        <f t="shared" si="15"/>
        <v>0</v>
      </c>
      <c r="R53" s="31">
        <f t="shared" si="15"/>
        <v>0</v>
      </c>
      <c r="S53" s="31">
        <f t="shared" si="15"/>
        <v>0</v>
      </c>
    </row>
    <row r="54" spans="1:19" ht="9.75" customHeight="1" x14ac:dyDescent="0.2">
      <c r="A54" s="46"/>
      <c r="B54" s="46"/>
      <c r="C54" s="88"/>
      <c r="D54" s="88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8" x14ac:dyDescent="0.2">
      <c r="A55" s="72" t="s">
        <v>214</v>
      </c>
      <c r="B55" s="72" t="s">
        <v>215</v>
      </c>
      <c r="C55" s="72" t="s">
        <v>216</v>
      </c>
      <c r="D55" s="72">
        <v>1</v>
      </c>
      <c r="E55" s="72" t="s">
        <v>33</v>
      </c>
      <c r="F55" s="72" t="s">
        <v>220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x14ac:dyDescent="0.2">
      <c r="A56" s="30"/>
      <c r="B56" s="31">
        <f>COUNTA(B55:B55)</f>
        <v>1</v>
      </c>
      <c r="C56" s="129"/>
      <c r="D56" s="182"/>
      <c r="E56" s="31">
        <f t="shared" ref="E56:S56" si="16">COUNTIF(E55:E55,"Yes")</f>
        <v>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 t="shared" si="16"/>
        <v>0</v>
      </c>
      <c r="O56" s="31">
        <f t="shared" si="16"/>
        <v>0</v>
      </c>
      <c r="P56" s="31">
        <f t="shared" si="16"/>
        <v>0</v>
      </c>
      <c r="Q56" s="31">
        <f t="shared" si="16"/>
        <v>0</v>
      </c>
      <c r="R56" s="31">
        <f t="shared" si="16"/>
        <v>0</v>
      </c>
      <c r="S56" s="31">
        <f t="shared" si="16"/>
        <v>0</v>
      </c>
    </row>
    <row r="57" spans="1:19" ht="10.5" customHeight="1" x14ac:dyDescent="0.2">
      <c r="A57" s="46"/>
      <c r="B57" s="46"/>
      <c r="C57" s="88"/>
      <c r="D57" s="88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8" x14ac:dyDescent="0.2">
      <c r="A58" s="72" t="s">
        <v>217</v>
      </c>
      <c r="B58" s="72" t="s">
        <v>218</v>
      </c>
      <c r="C58" s="72" t="s">
        <v>219</v>
      </c>
      <c r="D58" s="72">
        <v>1</v>
      </c>
      <c r="E58" s="72" t="s">
        <v>28</v>
      </c>
      <c r="F58" s="72" t="s">
        <v>28</v>
      </c>
      <c r="G58" s="72"/>
      <c r="H58" s="72"/>
      <c r="I58" s="72"/>
      <c r="J58" s="72"/>
      <c r="K58" s="72"/>
      <c r="L58" s="72"/>
      <c r="M58" s="72"/>
      <c r="N58" s="72"/>
      <c r="O58" s="72"/>
      <c r="P58" s="72" t="s">
        <v>28</v>
      </c>
      <c r="Q58" s="72"/>
      <c r="R58" s="72"/>
      <c r="S58" s="72"/>
    </row>
    <row r="59" spans="1:19" x14ac:dyDescent="0.2">
      <c r="A59" s="30"/>
      <c r="B59" s="31">
        <f>COUNTA(B58:B58)</f>
        <v>1</v>
      </c>
      <c r="C59" s="129"/>
      <c r="D59" s="182"/>
      <c r="E59" s="31">
        <f t="shared" ref="E59:S59" si="17">COUNTIF(E58:E58,"Yes")</f>
        <v>1</v>
      </c>
      <c r="F59" s="31">
        <f t="shared" si="17"/>
        <v>1</v>
      </c>
      <c r="G59" s="31">
        <f t="shared" si="17"/>
        <v>0</v>
      </c>
      <c r="H59" s="31">
        <f t="shared" si="17"/>
        <v>0</v>
      </c>
      <c r="I59" s="31">
        <f t="shared" si="17"/>
        <v>0</v>
      </c>
      <c r="J59" s="31">
        <f t="shared" si="17"/>
        <v>0</v>
      </c>
      <c r="K59" s="31">
        <f t="shared" si="17"/>
        <v>0</v>
      </c>
      <c r="L59" s="31">
        <f t="shared" si="17"/>
        <v>0</v>
      </c>
      <c r="M59" s="31">
        <f t="shared" si="17"/>
        <v>0</v>
      </c>
      <c r="N59" s="31">
        <f t="shared" si="17"/>
        <v>0</v>
      </c>
      <c r="O59" s="31">
        <f t="shared" si="17"/>
        <v>0</v>
      </c>
      <c r="P59" s="31">
        <f t="shared" si="17"/>
        <v>1</v>
      </c>
      <c r="Q59" s="31">
        <f t="shared" si="17"/>
        <v>0</v>
      </c>
      <c r="R59" s="31">
        <f t="shared" si="17"/>
        <v>0</v>
      </c>
      <c r="S59" s="31">
        <f t="shared" si="17"/>
        <v>0</v>
      </c>
    </row>
    <row r="60" spans="1:19" x14ac:dyDescent="0.2">
      <c r="A60" s="46"/>
      <c r="B60" s="46"/>
      <c r="C60" s="88"/>
      <c r="D60" s="88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x14ac:dyDescent="0.2">
      <c r="A61" s="50"/>
      <c r="C61" s="102" t="s">
        <v>65</v>
      </c>
      <c r="D61" s="102"/>
      <c r="E61" s="103"/>
      <c r="F61" s="103"/>
      <c r="G61" s="103"/>
      <c r="H61" s="103"/>
      <c r="I61" s="103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2">
      <c r="A62" s="50"/>
      <c r="B62" s="93"/>
      <c r="C62" s="104"/>
      <c r="D62" s="104"/>
      <c r="E62" s="105"/>
      <c r="F62" s="106"/>
      <c r="G62" s="107" t="s">
        <v>97</v>
      </c>
      <c r="H62" s="98">
        <f>SUM(+B4+B7+B10+B13+B19+B22+B25+B28+B31+B35+B38+B41+B44+B47+B50+B53+B56+B59)</f>
        <v>22</v>
      </c>
      <c r="I62" s="103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2">
      <c r="B63" s="92"/>
      <c r="C63" s="104"/>
      <c r="D63" s="104"/>
      <c r="E63" s="105"/>
      <c r="F63" s="105"/>
      <c r="G63" s="108" t="s">
        <v>100</v>
      </c>
      <c r="H63" s="98">
        <f>SUM(+E4+E7+E10+E13+E19+E22+E25+E28+E31+E35+E38+E41+E44+E47+E50+E53+E56+E59)</f>
        <v>7</v>
      </c>
      <c r="I63" s="104"/>
    </row>
    <row r="64" spans="1:19" x14ac:dyDescent="0.2">
      <c r="B64" s="92"/>
      <c r="C64" s="104"/>
      <c r="D64" s="104"/>
      <c r="E64" s="105"/>
      <c r="F64" s="105"/>
      <c r="G64" s="108" t="s">
        <v>101</v>
      </c>
      <c r="H64" s="98">
        <f>SUM(+F4+F7+F10+F13+F19+F22+F25+F28+F31+F35+F38+F41+F44+F47+F50+F53+F56+F59)</f>
        <v>7</v>
      </c>
      <c r="I64" s="104"/>
    </row>
    <row r="65" spans="2:9" x14ac:dyDescent="0.2">
      <c r="B65" s="92"/>
      <c r="C65" s="104"/>
      <c r="D65" s="104"/>
      <c r="E65" s="104"/>
      <c r="F65" s="104"/>
      <c r="G65" s="104"/>
      <c r="H65" s="104"/>
      <c r="I65" s="104"/>
    </row>
    <row r="66" spans="2:9" x14ac:dyDescent="0.2">
      <c r="B66" s="92"/>
      <c r="C66" s="102" t="s">
        <v>102</v>
      </c>
      <c r="D66" s="102"/>
      <c r="E66" s="104"/>
      <c r="F66" s="104"/>
      <c r="G66" s="104"/>
      <c r="H66" s="109" t="s">
        <v>92</v>
      </c>
      <c r="I66" s="109" t="s">
        <v>103</v>
      </c>
    </row>
    <row r="67" spans="2:9" x14ac:dyDescent="0.2">
      <c r="B67" s="92"/>
      <c r="C67" s="104"/>
      <c r="D67" s="104"/>
      <c r="E67" s="104"/>
      <c r="F67" s="104"/>
      <c r="G67" s="110" t="s">
        <v>111</v>
      </c>
      <c r="H67" s="98">
        <f>SUM(+G4+G7+G10+G13+G19+G22+G25+G28+G31+G35+G38+G41+G44+G47+G50+G53+G56+G59)</f>
        <v>0</v>
      </c>
      <c r="I67" s="112">
        <f>H67/(H80)</f>
        <v>0</v>
      </c>
    </row>
    <row r="68" spans="2:9" x14ac:dyDescent="0.2">
      <c r="B68" s="92"/>
      <c r="C68" s="104"/>
      <c r="D68" s="104"/>
      <c r="E68" s="104"/>
      <c r="F68" s="104"/>
      <c r="G68" s="110" t="s">
        <v>112</v>
      </c>
      <c r="H68" s="98">
        <f>SUM(+H4+H7+H10+H13+H19+H22+H25+H28+H31+H35+H38+H41+H44+H47+H50+H53+H56+H59)</f>
        <v>3</v>
      </c>
      <c r="I68" s="112">
        <f>H68/H80</f>
        <v>0.42857142857142855</v>
      </c>
    </row>
    <row r="69" spans="2:9" x14ac:dyDescent="0.2">
      <c r="B69" s="92"/>
      <c r="C69" s="104"/>
      <c r="D69" s="104"/>
      <c r="E69" s="104"/>
      <c r="F69" s="104"/>
      <c r="G69" s="110" t="s">
        <v>113</v>
      </c>
      <c r="H69" s="98">
        <f>SUM(+I4+I7+I10+I13+I19+I22+I25+I28+I31+J35+J38+J41+J44+J47+J50+J53+J56+J59)</f>
        <v>0</v>
      </c>
      <c r="I69" s="112">
        <f>H69/H80</f>
        <v>0</v>
      </c>
    </row>
    <row r="70" spans="2:9" x14ac:dyDescent="0.2">
      <c r="B70" s="92"/>
      <c r="C70" s="104"/>
      <c r="D70" s="104"/>
      <c r="E70" s="104"/>
      <c r="F70" s="104"/>
      <c r="G70" s="110" t="s">
        <v>114</v>
      </c>
      <c r="H70" s="98">
        <f>SUM(J4+J7+J10+J13+J19+J22+J25+J28+J31+J35+J38+J41+J44+J47+J50+J53+J56+J59)</f>
        <v>0</v>
      </c>
      <c r="I70" s="112">
        <f>H70/H80</f>
        <v>0</v>
      </c>
    </row>
    <row r="71" spans="2:9" x14ac:dyDescent="0.2">
      <c r="B71" s="92"/>
      <c r="C71" s="104"/>
      <c r="D71" s="104"/>
      <c r="E71" s="104"/>
      <c r="F71" s="104"/>
      <c r="G71" s="110" t="s">
        <v>115</v>
      </c>
      <c r="H71" s="98">
        <f>SUM(+K4+K7+K10+K13+K19+K22+K25+K28+K31+K35+K38+K41+K44+K47+K50+K53+K56+K59)</f>
        <v>0</v>
      </c>
      <c r="I71" s="112">
        <f>H71/H80</f>
        <v>0</v>
      </c>
    </row>
    <row r="72" spans="2:9" x14ac:dyDescent="0.2">
      <c r="B72" s="92"/>
      <c r="C72" s="104"/>
      <c r="D72" s="104"/>
      <c r="E72" s="104"/>
      <c r="F72" s="104"/>
      <c r="G72" s="110" t="s">
        <v>116</v>
      </c>
      <c r="H72" s="98">
        <f>SUM(L4+L7+L10+L13+L19+L22+L25+L28+L31+L35+L38+L41+L44+L47+L50+L53+L56+L59)</f>
        <v>0</v>
      </c>
      <c r="I72" s="112">
        <f>H72/H80</f>
        <v>0</v>
      </c>
    </row>
    <row r="73" spans="2:9" x14ac:dyDescent="0.2">
      <c r="B73" s="92"/>
      <c r="C73" s="104"/>
      <c r="D73" s="104"/>
      <c r="E73" s="104"/>
      <c r="F73" s="104"/>
      <c r="G73" s="110" t="s">
        <v>117</v>
      </c>
      <c r="H73" s="98">
        <f>SUM(+M4+M7+M10+M13+M19+M22+M25+M28+M31+M35+M38+M41+M44+M47+M50+M53+M56+M59)</f>
        <v>0</v>
      </c>
      <c r="I73" s="112">
        <f>H73/H80</f>
        <v>0</v>
      </c>
    </row>
    <row r="74" spans="2:9" x14ac:dyDescent="0.2">
      <c r="B74" s="92"/>
      <c r="C74" s="104"/>
      <c r="D74" s="104"/>
      <c r="E74" s="104"/>
      <c r="F74" s="104"/>
      <c r="G74" s="110" t="s">
        <v>118</v>
      </c>
      <c r="H74" s="98">
        <f>SUM(N4+N7+N10+N13+N19+N22+N25+N28+N31+N35+N38+N41+N44+N47+N50+N53+N56+N59)</f>
        <v>0</v>
      </c>
      <c r="I74" s="112">
        <f>H74/H80</f>
        <v>0</v>
      </c>
    </row>
    <row r="75" spans="2:9" x14ac:dyDescent="0.2">
      <c r="B75" s="92"/>
      <c r="C75" s="104"/>
      <c r="D75" s="104"/>
      <c r="E75" s="104"/>
      <c r="F75" s="104"/>
      <c r="G75" s="110" t="s">
        <v>119</v>
      </c>
      <c r="H75" s="98">
        <f>SUM(O4+O7+O10+O13+O19+O22+O25+O28+O31+O35+O38+O41+O44+O47+O50+O53+O56+O59)</f>
        <v>1</v>
      </c>
      <c r="I75" s="112">
        <f>H75/H80</f>
        <v>0.14285714285714285</v>
      </c>
    </row>
    <row r="76" spans="2:9" x14ac:dyDescent="0.2">
      <c r="B76" s="92"/>
      <c r="C76" s="104"/>
      <c r="D76" s="104"/>
      <c r="E76" s="104"/>
      <c r="F76" s="104"/>
      <c r="G76" s="110" t="s">
        <v>120</v>
      </c>
      <c r="H76" s="98">
        <f>SUM(P4+P7+P10+P13+P19+P22+P25+P28+P31+P35+P38+P41+P44+P47+P50+P53+P56+P59)</f>
        <v>3</v>
      </c>
      <c r="I76" s="112">
        <f>H76/H80</f>
        <v>0.42857142857142855</v>
      </c>
    </row>
    <row r="77" spans="2:9" x14ac:dyDescent="0.2">
      <c r="B77" s="92"/>
      <c r="C77" s="104"/>
      <c r="D77" s="104"/>
      <c r="E77" s="104"/>
      <c r="F77" s="104"/>
      <c r="G77" s="110" t="s">
        <v>121</v>
      </c>
      <c r="H77" s="98">
        <f>SUM(Q4+Q7+Q10+Q13+Q19+Q22+Q25+Q28+Q31+Q35+Q38+Q41+Q44+Q47+Q50+Q53+Q56+Q59)</f>
        <v>0</v>
      </c>
      <c r="I77" s="112">
        <f>H77/H80</f>
        <v>0</v>
      </c>
    </row>
    <row r="78" spans="2:9" x14ac:dyDescent="0.2">
      <c r="B78" s="92"/>
      <c r="C78" s="104"/>
      <c r="D78" s="104"/>
      <c r="E78" s="104"/>
      <c r="F78" s="104"/>
      <c r="G78" s="110" t="s">
        <v>122</v>
      </c>
      <c r="H78" s="98">
        <f>SUM(R4+R7+R10+R13+R19+R22+R25+R28+R31+R35+R38+R41+R44+R47+R50+R53+R56+R59)</f>
        <v>0</v>
      </c>
      <c r="I78" s="112">
        <f>H78/H80</f>
        <v>0</v>
      </c>
    </row>
    <row r="79" spans="2:9" x14ac:dyDescent="0.2">
      <c r="B79" s="92"/>
      <c r="C79" s="104"/>
      <c r="D79" s="104"/>
      <c r="E79" s="104"/>
      <c r="F79" s="104"/>
      <c r="G79" s="110" t="s">
        <v>123</v>
      </c>
      <c r="H79" s="121">
        <f>SUM(S4+S7+S10+S13+S19+S22+S25+S28+S31+S35+S38+S41+S44+S47+S50+S53+S56+S59)</f>
        <v>0</v>
      </c>
      <c r="I79" s="113">
        <f>H79/H80</f>
        <v>0</v>
      </c>
    </row>
    <row r="80" spans="2:9" x14ac:dyDescent="0.2">
      <c r="B80" s="92"/>
      <c r="C80" s="104"/>
      <c r="D80" s="104"/>
      <c r="E80" s="104"/>
      <c r="F80" s="104"/>
      <c r="G80" s="110"/>
      <c r="H80" s="120">
        <f>SUM(H67:H79)</f>
        <v>7</v>
      </c>
      <c r="I80" s="142">
        <f>SUM(I67:I79)</f>
        <v>1</v>
      </c>
    </row>
  </sheetData>
  <sortState ref="A191:R208">
    <sortCondition ref="C191:C208"/>
  </sortState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Puerto Rico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8.140625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9" width="12.28515625" style="1" customWidth="1"/>
    <col min="10" max="10" width="17" style="1" customWidth="1"/>
    <col min="11" max="11" width="12.28515625" style="1" customWidth="1"/>
    <col min="12" max="16384" width="9.140625" style="1"/>
  </cols>
  <sheetData>
    <row r="1" spans="1:11" ht="37.5" customHeight="1" x14ac:dyDescent="0.15">
      <c r="A1" s="27" t="s">
        <v>12</v>
      </c>
      <c r="B1" s="27" t="s">
        <v>13</v>
      </c>
      <c r="C1" s="27" t="s">
        <v>66</v>
      </c>
      <c r="D1" s="3" t="s">
        <v>69</v>
      </c>
      <c r="E1" s="27"/>
      <c r="F1" s="166" t="s">
        <v>85</v>
      </c>
      <c r="G1" s="166" t="s">
        <v>86</v>
      </c>
      <c r="H1" s="167" t="s">
        <v>87</v>
      </c>
      <c r="I1" s="27" t="s">
        <v>88</v>
      </c>
      <c r="J1" s="27" t="s">
        <v>89</v>
      </c>
      <c r="K1" s="27" t="s">
        <v>90</v>
      </c>
    </row>
    <row r="2" spans="1:11" s="24" customFormat="1" ht="12.75" customHeight="1" x14ac:dyDescent="0.15">
      <c r="A2" s="168" t="s">
        <v>158</v>
      </c>
      <c r="B2" s="168" t="s">
        <v>159</v>
      </c>
      <c r="C2" s="168" t="s">
        <v>160</v>
      </c>
      <c r="D2" s="168">
        <v>1</v>
      </c>
      <c r="E2" s="168" t="s">
        <v>31</v>
      </c>
      <c r="F2" s="169">
        <v>40700</v>
      </c>
      <c r="G2" s="169">
        <v>40704</v>
      </c>
      <c r="H2" s="168">
        <v>4</v>
      </c>
      <c r="I2" s="168" t="s">
        <v>30</v>
      </c>
      <c r="J2" s="168" t="s">
        <v>151</v>
      </c>
      <c r="K2" s="168" t="s">
        <v>221</v>
      </c>
    </row>
    <row r="3" spans="1:11" s="24" customFormat="1" ht="12.75" customHeight="1" x14ac:dyDescent="0.15">
      <c r="A3" s="170" t="s">
        <v>158</v>
      </c>
      <c r="B3" s="170" t="s">
        <v>159</v>
      </c>
      <c r="C3" s="170" t="s">
        <v>160</v>
      </c>
      <c r="D3" s="170">
        <v>1</v>
      </c>
      <c r="E3" s="170" t="s">
        <v>31</v>
      </c>
      <c r="F3" s="171">
        <v>40725</v>
      </c>
      <c r="G3" s="171">
        <v>40735</v>
      </c>
      <c r="H3" s="170">
        <v>10</v>
      </c>
      <c r="I3" s="170" t="s">
        <v>30</v>
      </c>
      <c r="J3" s="170" t="s">
        <v>149</v>
      </c>
      <c r="K3" s="170" t="s">
        <v>221</v>
      </c>
    </row>
    <row r="4" spans="1:11" ht="12.75" customHeight="1" x14ac:dyDescent="0.15">
      <c r="A4" s="172" t="s">
        <v>158</v>
      </c>
      <c r="B4" s="172" t="s">
        <v>159</v>
      </c>
      <c r="C4" s="172" t="s">
        <v>160</v>
      </c>
      <c r="D4" s="172">
        <v>1</v>
      </c>
      <c r="E4" s="172" t="s">
        <v>31</v>
      </c>
      <c r="F4" s="173">
        <v>40808</v>
      </c>
      <c r="G4" s="173">
        <v>40823</v>
      </c>
      <c r="H4" s="172">
        <v>15</v>
      </c>
      <c r="I4" s="172" t="s">
        <v>30</v>
      </c>
      <c r="J4" s="172" t="s">
        <v>151</v>
      </c>
      <c r="K4" s="172" t="s">
        <v>221</v>
      </c>
    </row>
    <row r="5" spans="1:11" ht="12.75" customHeight="1" x14ac:dyDescent="0.15">
      <c r="A5" s="30"/>
      <c r="B5" s="61">
        <f>SUM(IF(FREQUENCY(MATCH(B2:B4,B2:B4,0),MATCH(B2:B4,B2:B4,0))&gt;0,1))</f>
        <v>1</v>
      </c>
      <c r="C5" s="61"/>
      <c r="D5" s="61"/>
      <c r="E5" s="27">
        <f>COUNTA(E2:E4)</f>
        <v>3</v>
      </c>
      <c r="F5" s="27"/>
      <c r="G5" s="27"/>
      <c r="H5" s="27">
        <f>SUM(H2:H4)</f>
        <v>29</v>
      </c>
      <c r="I5" s="30"/>
      <c r="J5" s="30"/>
      <c r="K5" s="30"/>
    </row>
    <row r="6" spans="1:11" ht="12.75" customHeight="1" x14ac:dyDescent="0.15">
      <c r="A6" s="30"/>
      <c r="B6" s="61"/>
      <c r="C6" s="61"/>
      <c r="D6" s="61"/>
      <c r="E6" s="27"/>
      <c r="F6" s="27"/>
      <c r="G6" s="27"/>
      <c r="H6" s="27"/>
      <c r="I6" s="30"/>
      <c r="J6" s="30"/>
      <c r="K6" s="30"/>
    </row>
    <row r="7" spans="1:11" ht="12.75" customHeight="1" x14ac:dyDescent="0.15">
      <c r="A7" s="168" t="s">
        <v>161</v>
      </c>
      <c r="B7" s="168" t="s">
        <v>162</v>
      </c>
      <c r="C7" s="168" t="s">
        <v>163</v>
      </c>
      <c r="D7" s="168">
        <v>1</v>
      </c>
      <c r="E7" s="168" t="s">
        <v>31</v>
      </c>
      <c r="F7" s="169">
        <v>40700</v>
      </c>
      <c r="G7" s="169">
        <v>40704</v>
      </c>
      <c r="H7" s="168">
        <v>4</v>
      </c>
      <c r="I7" s="168" t="s">
        <v>30</v>
      </c>
      <c r="J7" s="168" t="s">
        <v>151</v>
      </c>
      <c r="K7" s="168" t="s">
        <v>221</v>
      </c>
    </row>
    <row r="8" spans="1:11" ht="12.75" customHeight="1" x14ac:dyDescent="0.15">
      <c r="A8" s="172" t="s">
        <v>161</v>
      </c>
      <c r="B8" s="172" t="s">
        <v>162</v>
      </c>
      <c r="C8" s="172" t="s">
        <v>163</v>
      </c>
      <c r="D8" s="172">
        <v>1</v>
      </c>
      <c r="E8" s="172" t="s">
        <v>31</v>
      </c>
      <c r="F8" s="173">
        <v>40808</v>
      </c>
      <c r="G8" s="173">
        <v>40816</v>
      </c>
      <c r="H8" s="172">
        <v>8</v>
      </c>
      <c r="I8" s="172" t="s">
        <v>30</v>
      </c>
      <c r="J8" s="172" t="s">
        <v>151</v>
      </c>
      <c r="K8" s="172" t="s">
        <v>221</v>
      </c>
    </row>
    <row r="9" spans="1:11" ht="12.75" customHeight="1" x14ac:dyDescent="0.15">
      <c r="A9" s="30"/>
      <c r="B9" s="61">
        <f>SUM(IF(FREQUENCY(MATCH(B7:B8,B7:B8,0),MATCH(B7:B8,B7:B8,0))&gt;0,1))</f>
        <v>1</v>
      </c>
      <c r="C9" s="61"/>
      <c r="D9" s="61"/>
      <c r="E9" s="27">
        <f>COUNTA(E7:E8)</f>
        <v>2</v>
      </c>
      <c r="F9" s="27"/>
      <c r="G9" s="27"/>
      <c r="H9" s="27">
        <f>SUM(H7:H8)</f>
        <v>12</v>
      </c>
      <c r="I9" s="30"/>
      <c r="J9" s="54"/>
      <c r="K9" s="54"/>
    </row>
    <row r="10" spans="1:11" ht="12.75" customHeight="1" x14ac:dyDescent="0.15">
      <c r="A10" s="30"/>
      <c r="B10" s="61"/>
      <c r="C10" s="61"/>
      <c r="D10" s="61"/>
      <c r="E10" s="27"/>
      <c r="F10" s="27"/>
      <c r="G10" s="27"/>
      <c r="H10" s="27"/>
      <c r="I10" s="30"/>
      <c r="J10" s="30"/>
      <c r="K10" s="30"/>
    </row>
    <row r="11" spans="1:11" s="174" customFormat="1" ht="12.75" customHeight="1" x14ac:dyDescent="0.15">
      <c r="A11" s="172" t="s">
        <v>164</v>
      </c>
      <c r="B11" s="172" t="s">
        <v>165</v>
      </c>
      <c r="C11" s="172" t="s">
        <v>166</v>
      </c>
      <c r="D11" s="172">
        <v>1</v>
      </c>
      <c r="E11" s="172" t="s">
        <v>31</v>
      </c>
      <c r="F11" s="173">
        <v>40808</v>
      </c>
      <c r="G11" s="173">
        <v>40816</v>
      </c>
      <c r="H11" s="172">
        <v>8</v>
      </c>
      <c r="I11" s="172" t="s">
        <v>30</v>
      </c>
      <c r="J11" s="172" t="s">
        <v>149</v>
      </c>
      <c r="K11" s="172" t="s">
        <v>221</v>
      </c>
    </row>
    <row r="12" spans="1:11" ht="12.75" customHeight="1" x14ac:dyDescent="0.15">
      <c r="A12" s="30"/>
      <c r="B12" s="61">
        <f>SUM(IF(FREQUENCY(MATCH(B11:B11,B11:B11,0),MATCH(B11:B11,B11:B11,0))&gt;0,1))</f>
        <v>1</v>
      </c>
      <c r="C12" s="61"/>
      <c r="D12" s="61"/>
      <c r="E12" s="27">
        <f>COUNTA(E11:E11)</f>
        <v>1</v>
      </c>
      <c r="F12" s="27"/>
      <c r="G12" s="27"/>
      <c r="H12" s="27">
        <f>SUM(H11:H11)</f>
        <v>8</v>
      </c>
      <c r="I12" s="30"/>
      <c r="J12" s="54"/>
      <c r="K12" s="54"/>
    </row>
    <row r="13" spans="1:11" ht="12.7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54"/>
      <c r="K13" s="54"/>
    </row>
    <row r="14" spans="1:11" ht="12.75" customHeight="1" x14ac:dyDescent="0.15">
      <c r="A14" s="168" t="s">
        <v>170</v>
      </c>
      <c r="B14" s="168" t="s">
        <v>173</v>
      </c>
      <c r="C14" s="168" t="s">
        <v>174</v>
      </c>
      <c r="D14" s="168">
        <v>1</v>
      </c>
      <c r="E14" s="168" t="s">
        <v>31</v>
      </c>
      <c r="F14" s="169">
        <v>40683</v>
      </c>
      <c r="G14" s="169">
        <v>40690</v>
      </c>
      <c r="H14" s="168">
        <v>7</v>
      </c>
      <c r="I14" s="168" t="s">
        <v>30</v>
      </c>
      <c r="J14" s="168" t="s">
        <v>149</v>
      </c>
      <c r="K14" s="168" t="s">
        <v>221</v>
      </c>
    </row>
    <row r="15" spans="1:11" ht="12.75" customHeight="1" x14ac:dyDescent="0.15">
      <c r="A15" s="168" t="s">
        <v>170</v>
      </c>
      <c r="B15" s="168" t="s">
        <v>173</v>
      </c>
      <c r="C15" s="168" t="s">
        <v>174</v>
      </c>
      <c r="D15" s="168">
        <v>1</v>
      </c>
      <c r="E15" s="168" t="s">
        <v>31</v>
      </c>
      <c r="F15" s="169">
        <v>40738</v>
      </c>
      <c r="G15" s="169">
        <v>40746</v>
      </c>
      <c r="H15" s="168">
        <v>8</v>
      </c>
      <c r="I15" s="168" t="s">
        <v>30</v>
      </c>
      <c r="J15" s="168" t="s">
        <v>149</v>
      </c>
      <c r="K15" s="168" t="s">
        <v>221</v>
      </c>
    </row>
    <row r="16" spans="1:11" ht="12.75" customHeight="1" x14ac:dyDescent="0.15">
      <c r="A16" s="168" t="s">
        <v>170</v>
      </c>
      <c r="B16" s="168" t="s">
        <v>177</v>
      </c>
      <c r="C16" s="168" t="s">
        <v>178</v>
      </c>
      <c r="D16" s="168">
        <v>1</v>
      </c>
      <c r="E16" s="168" t="s">
        <v>31</v>
      </c>
      <c r="F16" s="169">
        <v>40808</v>
      </c>
      <c r="G16" s="169">
        <v>40816</v>
      </c>
      <c r="H16" s="168">
        <v>8</v>
      </c>
      <c r="I16" s="168" t="s">
        <v>30</v>
      </c>
      <c r="J16" s="168" t="s">
        <v>149</v>
      </c>
      <c r="K16" s="168" t="s">
        <v>221</v>
      </c>
    </row>
    <row r="17" spans="1:11" ht="12.75" customHeight="1" x14ac:dyDescent="0.15">
      <c r="A17" s="172" t="s">
        <v>170</v>
      </c>
      <c r="B17" s="172" t="s">
        <v>177</v>
      </c>
      <c r="C17" s="172" t="s">
        <v>178</v>
      </c>
      <c r="D17" s="172">
        <v>1</v>
      </c>
      <c r="E17" s="172" t="s">
        <v>31</v>
      </c>
      <c r="F17" s="173">
        <v>40865</v>
      </c>
      <c r="G17" s="173">
        <v>40879</v>
      </c>
      <c r="H17" s="172">
        <v>14</v>
      </c>
      <c r="I17" s="172" t="s">
        <v>30</v>
      </c>
      <c r="J17" s="172" t="s">
        <v>149</v>
      </c>
      <c r="K17" s="172" t="s">
        <v>221</v>
      </c>
    </row>
    <row r="18" spans="1:11" ht="12.75" customHeight="1" x14ac:dyDescent="0.15">
      <c r="A18" s="30"/>
      <c r="B18" s="61">
        <f>SUM(IF(FREQUENCY(MATCH(B14:B17,B14:B17,0),MATCH(B14:B17,B14:B17,0))&gt;0,1))</f>
        <v>2</v>
      </c>
      <c r="C18" s="31"/>
      <c r="D18" s="31"/>
      <c r="E18" s="27">
        <f>COUNTA(E14:E17)</f>
        <v>4</v>
      </c>
      <c r="F18" s="27"/>
      <c r="G18" s="27"/>
      <c r="H18" s="27">
        <f>SUM(H14:H17)</f>
        <v>37</v>
      </c>
      <c r="I18" s="30"/>
      <c r="J18" s="30"/>
      <c r="K18" s="30"/>
    </row>
    <row r="19" spans="1:11" ht="12.75" customHeight="1" x14ac:dyDescent="0.15">
      <c r="A19" s="30"/>
      <c r="B19" s="61"/>
      <c r="C19" s="31"/>
      <c r="D19" s="31"/>
      <c r="E19" s="27"/>
      <c r="F19" s="27"/>
      <c r="G19" s="27"/>
      <c r="H19" s="27"/>
      <c r="I19" s="30"/>
      <c r="J19" s="30"/>
      <c r="K19" s="30"/>
    </row>
    <row r="20" spans="1:11" ht="12" customHeight="1" x14ac:dyDescent="0.15">
      <c r="A20" s="172" t="s">
        <v>185</v>
      </c>
      <c r="B20" s="172" t="s">
        <v>186</v>
      </c>
      <c r="C20" s="172" t="s">
        <v>187</v>
      </c>
      <c r="D20" s="172">
        <v>1</v>
      </c>
      <c r="E20" s="172" t="s">
        <v>31</v>
      </c>
      <c r="F20" s="173">
        <v>40865</v>
      </c>
      <c r="G20" s="173">
        <v>40886</v>
      </c>
      <c r="H20" s="172">
        <v>21</v>
      </c>
      <c r="I20" s="172" t="s">
        <v>30</v>
      </c>
      <c r="J20" s="172" t="s">
        <v>151</v>
      </c>
      <c r="K20" s="172" t="s">
        <v>221</v>
      </c>
    </row>
    <row r="21" spans="1:11" ht="12.75" customHeight="1" x14ac:dyDescent="0.15">
      <c r="A21" s="30"/>
      <c r="B21" s="61">
        <f>SUM(IF(FREQUENCY(MATCH(B20:B20,B20:B20,0),MATCH(B20:B20,B20:B20,0))&gt;0,1))</f>
        <v>1</v>
      </c>
      <c r="C21" s="31"/>
      <c r="D21" s="31"/>
      <c r="E21" s="27">
        <f>COUNTA(E20:E20)</f>
        <v>1</v>
      </c>
      <c r="F21" s="27"/>
      <c r="G21" s="27"/>
      <c r="H21" s="27">
        <f>SUM(H20:H20)</f>
        <v>21</v>
      </c>
      <c r="I21" s="30"/>
      <c r="J21" s="30"/>
      <c r="K21" s="30"/>
    </row>
    <row r="22" spans="1:11" ht="12.75" customHeight="1" x14ac:dyDescent="0.15">
      <c r="A22" s="30"/>
      <c r="B22" s="61"/>
      <c r="C22" s="31"/>
      <c r="D22" s="31"/>
      <c r="E22" s="27"/>
      <c r="F22" s="27"/>
      <c r="G22" s="27"/>
      <c r="H22" s="27"/>
      <c r="I22" s="30"/>
      <c r="J22" s="30"/>
      <c r="K22" s="30"/>
    </row>
    <row r="23" spans="1:11" ht="12.75" customHeight="1" x14ac:dyDescent="0.15">
      <c r="A23" s="168" t="s">
        <v>188</v>
      </c>
      <c r="B23" s="168" t="s">
        <v>189</v>
      </c>
      <c r="C23" s="168" t="s">
        <v>190</v>
      </c>
      <c r="D23" s="168">
        <v>1</v>
      </c>
      <c r="E23" s="168" t="s">
        <v>31</v>
      </c>
      <c r="F23" s="169">
        <v>40795</v>
      </c>
      <c r="G23" s="169">
        <v>40808</v>
      </c>
      <c r="H23" s="168">
        <v>13</v>
      </c>
      <c r="I23" s="168" t="s">
        <v>30</v>
      </c>
      <c r="J23" s="168" t="s">
        <v>149</v>
      </c>
      <c r="K23" s="168" t="s">
        <v>221</v>
      </c>
    </row>
    <row r="24" spans="1:11" ht="12.75" customHeight="1" x14ac:dyDescent="0.15">
      <c r="A24" s="172" t="s">
        <v>188</v>
      </c>
      <c r="B24" s="172" t="s">
        <v>189</v>
      </c>
      <c r="C24" s="172" t="s">
        <v>190</v>
      </c>
      <c r="D24" s="172">
        <v>1</v>
      </c>
      <c r="E24" s="172" t="s">
        <v>31</v>
      </c>
      <c r="F24" s="173">
        <v>40886</v>
      </c>
      <c r="G24" s="173">
        <v>40900</v>
      </c>
      <c r="H24" s="172">
        <v>14</v>
      </c>
      <c r="I24" s="172" t="s">
        <v>30</v>
      </c>
      <c r="J24" s="172" t="s">
        <v>150</v>
      </c>
      <c r="K24" s="172" t="s">
        <v>221</v>
      </c>
    </row>
    <row r="25" spans="1:11" ht="12.75" customHeight="1" x14ac:dyDescent="0.15">
      <c r="A25" s="30"/>
      <c r="B25" s="61">
        <f>SUM(IF(FREQUENCY(MATCH(B23:B24,B23:B24,0),MATCH(B23:B24,B23:B24,0))&gt;0,1))</f>
        <v>1</v>
      </c>
      <c r="C25" s="61"/>
      <c r="D25" s="61"/>
      <c r="E25" s="27">
        <f>COUNTA(E23:E24)</f>
        <v>2</v>
      </c>
      <c r="F25" s="27"/>
      <c r="G25" s="27"/>
      <c r="H25" s="27">
        <f>SUM(H23:H24)</f>
        <v>27</v>
      </c>
      <c r="I25" s="30"/>
      <c r="J25" s="54"/>
      <c r="K25" s="54"/>
    </row>
    <row r="26" spans="1:11" ht="12.75" customHeight="1" x14ac:dyDescent="0.15">
      <c r="A26" s="30"/>
      <c r="B26" s="61"/>
      <c r="C26" s="31"/>
      <c r="D26" s="31"/>
      <c r="E26" s="27"/>
      <c r="F26" s="27"/>
      <c r="G26" s="27"/>
      <c r="H26" s="27"/>
      <c r="I26" s="30"/>
      <c r="J26" s="30"/>
      <c r="K26" s="30"/>
    </row>
    <row r="27" spans="1:11" ht="12.75" customHeight="1" x14ac:dyDescent="0.15">
      <c r="A27" s="168" t="s">
        <v>191</v>
      </c>
      <c r="B27" s="168" t="s">
        <v>192</v>
      </c>
      <c r="C27" s="168" t="s">
        <v>193</v>
      </c>
      <c r="D27" s="168">
        <v>1</v>
      </c>
      <c r="E27" s="168" t="s">
        <v>31</v>
      </c>
      <c r="F27" s="169">
        <v>40700</v>
      </c>
      <c r="G27" s="169">
        <v>40718</v>
      </c>
      <c r="H27" s="168">
        <v>18</v>
      </c>
      <c r="I27" s="168" t="s">
        <v>30</v>
      </c>
      <c r="J27" s="168" t="s">
        <v>149</v>
      </c>
      <c r="K27" s="168" t="s">
        <v>221</v>
      </c>
    </row>
    <row r="28" spans="1:11" ht="12.75" customHeight="1" x14ac:dyDescent="0.15">
      <c r="A28" s="168" t="s">
        <v>191</v>
      </c>
      <c r="B28" s="168" t="s">
        <v>194</v>
      </c>
      <c r="C28" s="168" t="s">
        <v>195</v>
      </c>
      <c r="D28" s="168">
        <v>1</v>
      </c>
      <c r="E28" s="168" t="s">
        <v>31</v>
      </c>
      <c r="F28" s="169">
        <v>40683</v>
      </c>
      <c r="G28" s="169">
        <v>40690</v>
      </c>
      <c r="H28" s="168">
        <v>7</v>
      </c>
      <c r="I28" s="168" t="s">
        <v>30</v>
      </c>
      <c r="J28" s="168" t="s">
        <v>149</v>
      </c>
      <c r="K28" s="168" t="s">
        <v>221</v>
      </c>
    </row>
    <row r="29" spans="1:11" ht="12.75" customHeight="1" x14ac:dyDescent="0.15">
      <c r="A29" s="172" t="s">
        <v>191</v>
      </c>
      <c r="B29" s="172" t="s">
        <v>194</v>
      </c>
      <c r="C29" s="172" t="s">
        <v>195</v>
      </c>
      <c r="D29" s="172">
        <v>1</v>
      </c>
      <c r="E29" s="172" t="s">
        <v>31</v>
      </c>
      <c r="F29" s="173">
        <v>40738</v>
      </c>
      <c r="G29" s="173">
        <v>40746</v>
      </c>
      <c r="H29" s="172">
        <v>8</v>
      </c>
      <c r="I29" s="172" t="s">
        <v>30</v>
      </c>
      <c r="J29" s="172" t="s">
        <v>149</v>
      </c>
      <c r="K29" s="172" t="s">
        <v>221</v>
      </c>
    </row>
    <row r="30" spans="1:11" ht="12.75" customHeight="1" x14ac:dyDescent="0.15">
      <c r="A30" s="30"/>
      <c r="B30" s="61">
        <f>SUM(IF(FREQUENCY(MATCH(B27:B29,B27:B29,0),MATCH(B27:B29,B27:B29,0))&gt;0,1))</f>
        <v>2</v>
      </c>
      <c r="C30" s="31"/>
      <c r="D30" s="31"/>
      <c r="E30" s="27">
        <f>COUNTA(E27:E29)</f>
        <v>3</v>
      </c>
      <c r="F30" s="27"/>
      <c r="G30" s="27"/>
      <c r="H30" s="27">
        <f>SUM(H27:H29)</f>
        <v>33</v>
      </c>
      <c r="I30" s="30"/>
      <c r="J30" s="30"/>
      <c r="K30" s="30"/>
    </row>
    <row r="31" spans="1:11" ht="12.75" customHeight="1" x14ac:dyDescent="0.15">
      <c r="A31" s="30"/>
      <c r="B31" s="61"/>
      <c r="C31" s="31"/>
      <c r="D31" s="31"/>
      <c r="E31" s="27"/>
      <c r="F31" s="27"/>
      <c r="G31" s="27"/>
      <c r="H31" s="27"/>
      <c r="I31" s="30"/>
      <c r="J31" s="30"/>
      <c r="K31" s="30"/>
    </row>
    <row r="32" spans="1:11" ht="12.75" customHeight="1" x14ac:dyDescent="0.15">
      <c r="A32" s="172" t="s">
        <v>199</v>
      </c>
      <c r="B32" s="172" t="s">
        <v>200</v>
      </c>
      <c r="C32" s="172" t="s">
        <v>201</v>
      </c>
      <c r="D32" s="172">
        <v>1</v>
      </c>
      <c r="E32" s="172" t="s">
        <v>31</v>
      </c>
      <c r="F32" s="173">
        <v>40886</v>
      </c>
      <c r="G32" s="173">
        <v>40899</v>
      </c>
      <c r="H32" s="172">
        <v>13</v>
      </c>
      <c r="I32" s="172" t="s">
        <v>30</v>
      </c>
      <c r="J32" s="172" t="s">
        <v>150</v>
      </c>
      <c r="K32" s="172" t="s">
        <v>221</v>
      </c>
    </row>
    <row r="33" spans="1:11" ht="12.75" customHeight="1" x14ac:dyDescent="0.15">
      <c r="A33" s="30"/>
      <c r="B33" s="61">
        <f>SUM(IF(FREQUENCY(MATCH(B32:B32,B32:B32,0),MATCH(B32:B32,B32:B32,0))&gt;0,1))</f>
        <v>1</v>
      </c>
      <c r="C33" s="31"/>
      <c r="D33" s="31"/>
      <c r="E33" s="27">
        <f>COUNTA(E32:E32)</f>
        <v>1</v>
      </c>
      <c r="F33" s="27"/>
      <c r="G33" s="27"/>
      <c r="H33" s="27">
        <f>SUM(H32:H32)</f>
        <v>13</v>
      </c>
      <c r="I33" s="30"/>
      <c r="J33" s="30"/>
      <c r="K33" s="30"/>
    </row>
    <row r="34" spans="1:11" ht="12.75" customHeight="1" x14ac:dyDescent="0.15">
      <c r="A34" s="30"/>
      <c r="B34" s="61"/>
      <c r="C34" s="31"/>
      <c r="D34" s="31"/>
      <c r="E34" s="27"/>
      <c r="F34" s="27"/>
      <c r="G34" s="27"/>
      <c r="H34" s="27"/>
      <c r="I34" s="30"/>
      <c r="J34" s="30"/>
      <c r="K34" s="30"/>
    </row>
    <row r="35" spans="1:11" ht="12.75" customHeight="1" x14ac:dyDescent="0.15">
      <c r="A35" s="168" t="s">
        <v>202</v>
      </c>
      <c r="B35" s="168" t="s">
        <v>203</v>
      </c>
      <c r="C35" s="168" t="s">
        <v>204</v>
      </c>
      <c r="D35" s="168">
        <v>1</v>
      </c>
      <c r="E35" s="168" t="s">
        <v>31</v>
      </c>
      <c r="F35" s="169">
        <v>40588</v>
      </c>
      <c r="G35" s="169">
        <v>40599</v>
      </c>
      <c r="H35" s="168">
        <v>11</v>
      </c>
      <c r="I35" s="168" t="s">
        <v>30</v>
      </c>
      <c r="J35" s="168" t="s">
        <v>149</v>
      </c>
      <c r="K35" s="168" t="s">
        <v>221</v>
      </c>
    </row>
    <row r="36" spans="1:11" ht="12.75" customHeight="1" x14ac:dyDescent="0.15">
      <c r="A36" s="168" t="s">
        <v>202</v>
      </c>
      <c r="B36" s="168" t="s">
        <v>203</v>
      </c>
      <c r="C36" s="168" t="s">
        <v>204</v>
      </c>
      <c r="D36" s="168">
        <v>1</v>
      </c>
      <c r="E36" s="168" t="s">
        <v>31</v>
      </c>
      <c r="F36" s="169">
        <v>40683</v>
      </c>
      <c r="G36" s="169">
        <v>40690</v>
      </c>
      <c r="H36" s="168">
        <v>7</v>
      </c>
      <c r="I36" s="168" t="s">
        <v>30</v>
      </c>
      <c r="J36" s="168" t="s">
        <v>151</v>
      </c>
      <c r="K36" s="168" t="s">
        <v>221</v>
      </c>
    </row>
    <row r="37" spans="1:11" ht="12.75" customHeight="1" x14ac:dyDescent="0.15">
      <c r="A37" s="168" t="s">
        <v>202</v>
      </c>
      <c r="B37" s="168" t="s">
        <v>203</v>
      </c>
      <c r="C37" s="168" t="s">
        <v>204</v>
      </c>
      <c r="D37" s="168">
        <v>1</v>
      </c>
      <c r="E37" s="168" t="s">
        <v>31</v>
      </c>
      <c r="F37" s="169">
        <v>40711</v>
      </c>
      <c r="G37" s="169">
        <v>40718</v>
      </c>
      <c r="H37" s="168">
        <v>7</v>
      </c>
      <c r="I37" s="168" t="s">
        <v>30</v>
      </c>
      <c r="J37" s="168" t="s">
        <v>151</v>
      </c>
      <c r="K37" s="168" t="s">
        <v>221</v>
      </c>
    </row>
    <row r="38" spans="1:11" ht="12.75" customHeight="1" x14ac:dyDescent="0.15">
      <c r="A38" s="172" t="s">
        <v>202</v>
      </c>
      <c r="B38" s="172" t="s">
        <v>203</v>
      </c>
      <c r="C38" s="172" t="s">
        <v>204</v>
      </c>
      <c r="D38" s="172">
        <v>1</v>
      </c>
      <c r="E38" s="172" t="s">
        <v>31</v>
      </c>
      <c r="F38" s="173">
        <v>40894</v>
      </c>
      <c r="G38" s="173">
        <v>40908</v>
      </c>
      <c r="H38" s="172">
        <v>14</v>
      </c>
      <c r="I38" s="172" t="s">
        <v>30</v>
      </c>
      <c r="J38" s="172" t="s">
        <v>149</v>
      </c>
      <c r="K38" s="172" t="s">
        <v>221</v>
      </c>
    </row>
    <row r="39" spans="1:11" ht="12.75" customHeight="1" x14ac:dyDescent="0.15">
      <c r="A39" s="30"/>
      <c r="B39" s="61">
        <f>SUM(IF(FREQUENCY(MATCH(B35:B38,B35:B38,0),MATCH(B35:B38,B35:B38,0))&gt;0,1))</f>
        <v>1</v>
      </c>
      <c r="C39" s="31"/>
      <c r="D39" s="31"/>
      <c r="E39" s="27">
        <f>COUNTA(E35:E38)</f>
        <v>4</v>
      </c>
      <c r="F39" s="27"/>
      <c r="G39" s="27"/>
      <c r="H39" s="27">
        <f>SUM(H35:H38)</f>
        <v>39</v>
      </c>
      <c r="I39" s="30"/>
      <c r="J39" s="30"/>
      <c r="K39" s="30"/>
    </row>
    <row r="40" spans="1:11" ht="12.75" customHeight="1" x14ac:dyDescent="0.15">
      <c r="A40" s="30"/>
      <c r="B40" s="61"/>
      <c r="C40" s="31"/>
      <c r="D40" s="31"/>
      <c r="E40" s="27"/>
      <c r="F40" s="27"/>
      <c r="G40" s="27"/>
      <c r="H40" s="27"/>
      <c r="I40" s="30"/>
      <c r="J40" s="30"/>
      <c r="K40" s="30"/>
    </row>
    <row r="41" spans="1:11" ht="12.75" customHeight="1" x14ac:dyDescent="0.15">
      <c r="A41" s="172" t="s">
        <v>205</v>
      </c>
      <c r="B41" s="172" t="s">
        <v>206</v>
      </c>
      <c r="C41" s="172" t="s">
        <v>207</v>
      </c>
      <c r="D41" s="172">
        <v>1</v>
      </c>
      <c r="E41" s="172" t="s">
        <v>31</v>
      </c>
      <c r="F41" s="173">
        <v>40808</v>
      </c>
      <c r="G41" s="173">
        <v>40816</v>
      </c>
      <c r="H41" s="172">
        <v>8</v>
      </c>
      <c r="I41" s="172" t="s">
        <v>30</v>
      </c>
      <c r="J41" s="172" t="s">
        <v>149</v>
      </c>
      <c r="K41" s="172" t="s">
        <v>221</v>
      </c>
    </row>
    <row r="42" spans="1:11" ht="12.75" customHeight="1" x14ac:dyDescent="0.15">
      <c r="A42" s="30"/>
      <c r="B42" s="61">
        <f>SUM(IF(FREQUENCY(MATCH(B41:B41,B41:B41,0),MATCH(B41:B41,B41:B41,0))&gt;0,1))</f>
        <v>1</v>
      </c>
      <c r="C42" s="31"/>
      <c r="D42" s="31"/>
      <c r="E42" s="27">
        <f>COUNTA(E41:E41)</f>
        <v>1</v>
      </c>
      <c r="F42" s="27"/>
      <c r="G42" s="27"/>
      <c r="H42" s="27">
        <f>SUM(H41:H41)</f>
        <v>8</v>
      </c>
      <c r="I42" s="30"/>
      <c r="J42" s="30"/>
      <c r="K42" s="30"/>
    </row>
    <row r="43" spans="1:11" ht="12.75" customHeight="1" x14ac:dyDescent="0.15">
      <c r="A43" s="30"/>
      <c r="B43" s="61"/>
      <c r="C43" s="31"/>
      <c r="D43" s="31"/>
      <c r="E43" s="27"/>
      <c r="F43" s="27"/>
      <c r="G43" s="27"/>
      <c r="H43" s="27"/>
      <c r="I43" s="30"/>
      <c r="J43" s="30"/>
      <c r="K43" s="30"/>
    </row>
    <row r="44" spans="1:11" ht="12.75" customHeight="1" x14ac:dyDescent="0.15">
      <c r="A44" s="172" t="s">
        <v>208</v>
      </c>
      <c r="B44" s="172" t="s">
        <v>209</v>
      </c>
      <c r="C44" s="172" t="s">
        <v>210</v>
      </c>
      <c r="D44" s="172">
        <v>1</v>
      </c>
      <c r="E44" s="172" t="s">
        <v>31</v>
      </c>
      <c r="F44" s="173">
        <v>40893</v>
      </c>
      <c r="G44" s="173">
        <v>40900</v>
      </c>
      <c r="H44" s="172">
        <v>7</v>
      </c>
      <c r="I44" s="172" t="s">
        <v>30</v>
      </c>
      <c r="J44" s="172" t="s">
        <v>149</v>
      </c>
      <c r="K44" s="172" t="s">
        <v>221</v>
      </c>
    </row>
    <row r="45" spans="1:11" ht="12.75" customHeight="1" x14ac:dyDescent="0.15">
      <c r="A45" s="30"/>
      <c r="B45" s="61">
        <f>SUM(IF(FREQUENCY(MATCH(B44:B44,B44:B44,0),MATCH(B44:B44,B44:B44,0))&gt;0,1))</f>
        <v>1</v>
      </c>
      <c r="C45" s="31"/>
      <c r="D45" s="31"/>
      <c r="E45" s="27">
        <f>COUNTA(E44:E44)</f>
        <v>1</v>
      </c>
      <c r="F45" s="27"/>
      <c r="G45" s="27"/>
      <c r="H45" s="27">
        <f>SUM(H44:H44)</f>
        <v>7</v>
      </c>
      <c r="I45" s="30"/>
      <c r="J45" s="30"/>
      <c r="K45" s="30"/>
    </row>
    <row r="46" spans="1:11" ht="12.75" customHeight="1" x14ac:dyDescent="0.15">
      <c r="A46" s="30"/>
      <c r="B46" s="61"/>
      <c r="C46" s="31"/>
      <c r="D46" s="31"/>
      <c r="E46" s="27"/>
      <c r="F46" s="27"/>
      <c r="G46" s="27"/>
      <c r="H46" s="27"/>
      <c r="I46" s="30"/>
      <c r="J46" s="30"/>
      <c r="K46" s="30"/>
    </row>
    <row r="47" spans="1:11" ht="12.75" customHeight="1" x14ac:dyDescent="0.15">
      <c r="A47" s="168" t="s">
        <v>214</v>
      </c>
      <c r="B47" s="168" t="s">
        <v>215</v>
      </c>
      <c r="C47" s="168" t="s">
        <v>216</v>
      </c>
      <c r="D47" s="168">
        <v>1</v>
      </c>
      <c r="E47" s="168" t="s">
        <v>31</v>
      </c>
      <c r="F47" s="169">
        <v>40725</v>
      </c>
      <c r="G47" s="169">
        <v>40732</v>
      </c>
      <c r="H47" s="168">
        <v>7</v>
      </c>
      <c r="I47" s="168" t="s">
        <v>30</v>
      </c>
      <c r="J47" s="168" t="s">
        <v>149</v>
      </c>
      <c r="K47" s="168" t="s">
        <v>221</v>
      </c>
    </row>
    <row r="48" spans="1:11" ht="12.75" customHeight="1" x14ac:dyDescent="0.15">
      <c r="A48" s="172" t="s">
        <v>214</v>
      </c>
      <c r="B48" s="172" t="s">
        <v>215</v>
      </c>
      <c r="C48" s="172" t="s">
        <v>216</v>
      </c>
      <c r="D48" s="172">
        <v>1</v>
      </c>
      <c r="E48" s="172" t="s">
        <v>31</v>
      </c>
      <c r="F48" s="173">
        <v>40865</v>
      </c>
      <c r="G48" s="173">
        <v>40877</v>
      </c>
      <c r="H48" s="172">
        <v>12</v>
      </c>
      <c r="I48" s="172" t="s">
        <v>30</v>
      </c>
      <c r="J48" s="172" t="s">
        <v>151</v>
      </c>
      <c r="K48" s="172" t="s">
        <v>221</v>
      </c>
    </row>
    <row r="49" spans="1:11" ht="12.75" customHeight="1" x14ac:dyDescent="0.15">
      <c r="A49" s="30"/>
      <c r="B49" s="61">
        <f>SUM(IF(FREQUENCY(MATCH(B47:B48,B47:B48,0),MATCH(B47:B48,B47:B48,0))&gt;0,1))</f>
        <v>1</v>
      </c>
      <c r="C49" s="31"/>
      <c r="D49" s="31"/>
      <c r="E49" s="27">
        <f>COUNTA(E47:E48)</f>
        <v>2</v>
      </c>
      <c r="F49" s="27"/>
      <c r="G49" s="27"/>
      <c r="H49" s="27">
        <f>SUM(H47:H48)</f>
        <v>19</v>
      </c>
      <c r="I49" s="30"/>
      <c r="J49" s="30"/>
      <c r="K49" s="30"/>
    </row>
    <row r="50" spans="1:11" ht="12.75" customHeight="1" x14ac:dyDescent="0.15">
      <c r="A50" s="30"/>
      <c r="B50" s="61"/>
      <c r="C50" s="31"/>
      <c r="D50" s="31"/>
      <c r="E50" s="27"/>
      <c r="F50" s="27"/>
      <c r="G50" s="27"/>
      <c r="H50" s="27"/>
      <c r="I50" s="30"/>
      <c r="J50" s="30"/>
      <c r="K50" s="30"/>
    </row>
    <row r="51" spans="1:11" ht="12.75" customHeight="1" x14ac:dyDescent="0.15">
      <c r="A51" s="168" t="s">
        <v>217</v>
      </c>
      <c r="B51" s="168" t="s">
        <v>218</v>
      </c>
      <c r="C51" s="168" t="s">
        <v>219</v>
      </c>
      <c r="D51" s="168">
        <v>1</v>
      </c>
      <c r="E51" s="168" t="s">
        <v>31</v>
      </c>
      <c r="F51" s="169">
        <v>40592</v>
      </c>
      <c r="G51" s="169">
        <v>40606</v>
      </c>
      <c r="H51" s="168">
        <v>14</v>
      </c>
      <c r="I51" s="168" t="s">
        <v>30</v>
      </c>
      <c r="J51" s="168" t="s">
        <v>149</v>
      </c>
      <c r="K51" s="168" t="s">
        <v>221</v>
      </c>
    </row>
    <row r="52" spans="1:11" ht="12.75" customHeight="1" x14ac:dyDescent="0.15">
      <c r="A52" s="172" t="s">
        <v>217</v>
      </c>
      <c r="B52" s="172" t="s">
        <v>218</v>
      </c>
      <c r="C52" s="172" t="s">
        <v>219</v>
      </c>
      <c r="D52" s="172">
        <v>1</v>
      </c>
      <c r="E52" s="172" t="s">
        <v>31</v>
      </c>
      <c r="F52" s="173">
        <v>40683</v>
      </c>
      <c r="G52" s="173">
        <v>40690</v>
      </c>
      <c r="H52" s="172">
        <v>7</v>
      </c>
      <c r="I52" s="172" t="s">
        <v>30</v>
      </c>
      <c r="J52" s="172" t="s">
        <v>149</v>
      </c>
      <c r="K52" s="172" t="s">
        <v>221</v>
      </c>
    </row>
    <row r="53" spans="1:11" ht="12.75" customHeight="1" x14ac:dyDescent="0.15">
      <c r="A53" s="30"/>
      <c r="B53" s="61">
        <f>SUM(IF(FREQUENCY(MATCH(B51:B52,B51:B52,0),MATCH(B51:B52,B51:B52,0))&gt;0,1))</f>
        <v>1</v>
      </c>
      <c r="C53" s="31"/>
      <c r="D53" s="31"/>
      <c r="E53" s="27">
        <f>COUNTA(E51:E52)</f>
        <v>2</v>
      </c>
      <c r="F53" s="27"/>
      <c r="G53" s="27"/>
      <c r="H53" s="27">
        <f>SUM(H51:H52)</f>
        <v>21</v>
      </c>
      <c r="I53" s="30"/>
      <c r="J53" s="30"/>
      <c r="K53" s="30"/>
    </row>
    <row r="54" spans="1:11" ht="12.75" customHeight="1" x14ac:dyDescent="0.15">
      <c r="A54" s="30"/>
      <c r="B54" s="61"/>
      <c r="C54" s="31"/>
      <c r="D54" s="31"/>
      <c r="E54" s="27"/>
      <c r="F54" s="27"/>
      <c r="G54" s="27"/>
      <c r="H54" s="27"/>
      <c r="I54" s="30"/>
      <c r="J54" s="30"/>
      <c r="K54" s="30"/>
    </row>
    <row r="55" spans="1:11" ht="12.75" customHeight="1" x14ac:dyDescent="0.15">
      <c r="A55" s="30"/>
      <c r="B55" s="61"/>
      <c r="C55" s="31"/>
      <c r="D55" s="31"/>
      <c r="E55" s="27"/>
      <c r="F55" s="27"/>
      <c r="G55" s="27"/>
      <c r="H55" s="27"/>
      <c r="I55" s="30"/>
      <c r="J55" s="30"/>
      <c r="K55" s="30"/>
    </row>
    <row r="56" spans="1:11" ht="12.75" customHeight="1" x14ac:dyDescent="0.2">
      <c r="A56" s="30"/>
      <c r="C56" s="1"/>
      <c r="D56" s="118" t="s">
        <v>223</v>
      </c>
      <c r="E56" s="115"/>
      <c r="F56" s="115"/>
      <c r="G56" s="27"/>
      <c r="H56" s="27"/>
      <c r="I56" s="30"/>
      <c r="J56" s="30"/>
      <c r="K56" s="30"/>
    </row>
    <row r="57" spans="1:11" ht="12.75" customHeight="1" x14ac:dyDescent="0.2">
      <c r="A57" s="30"/>
      <c r="B57" s="116"/>
      <c r="C57" s="1"/>
      <c r="D57" s="117" t="s">
        <v>127</v>
      </c>
      <c r="E57" s="98">
        <f>SUM(B5+B9+B12+B18+B21+B25+B30+B33+B39+B42+B45+B49+B53)</f>
        <v>15</v>
      </c>
      <c r="F57" s="115"/>
      <c r="G57" s="27"/>
      <c r="H57" s="27"/>
      <c r="I57" s="30"/>
      <c r="J57" s="30"/>
      <c r="K57" s="30"/>
    </row>
    <row r="58" spans="1:11" ht="12.75" customHeight="1" x14ac:dyDescent="0.2">
      <c r="A58" s="30"/>
      <c r="B58" s="116"/>
      <c r="C58" s="1"/>
      <c r="D58" s="117" t="s">
        <v>128</v>
      </c>
      <c r="E58" s="98">
        <f>SUM(E5+E9+E12+E18+E21+E25+E30+E33+E39+E42+E45+E49+E53)</f>
        <v>27</v>
      </c>
      <c r="F58" s="115"/>
      <c r="G58" s="27"/>
      <c r="H58" s="27"/>
      <c r="I58" s="30"/>
      <c r="J58" s="30"/>
      <c r="K58" s="30"/>
    </row>
    <row r="59" spans="1:11" ht="12.75" customHeight="1" x14ac:dyDescent="0.2">
      <c r="A59" s="30"/>
      <c r="B59" s="116"/>
      <c r="C59" s="1"/>
      <c r="D59" s="117" t="s">
        <v>129</v>
      </c>
      <c r="E59" s="97">
        <f>SUM(H5+H9+H12+H18+H21+H25+H30+H33+H39+H42+H45+H49+H53)</f>
        <v>274</v>
      </c>
      <c r="F59" s="115"/>
      <c r="G59" s="27"/>
      <c r="H59" s="27"/>
      <c r="I59" s="30"/>
      <c r="J59" s="30"/>
      <c r="K59" s="30"/>
    </row>
    <row r="60" spans="1:11" ht="12.75" customHeight="1" x14ac:dyDescent="0.2">
      <c r="A60" s="30"/>
      <c r="B60" s="116"/>
      <c r="C60" s="1"/>
      <c r="D60" s="111"/>
      <c r="E60" s="115"/>
      <c r="F60" s="115"/>
      <c r="G60" s="27"/>
      <c r="H60" s="27"/>
      <c r="I60" s="30"/>
      <c r="J60" s="30"/>
      <c r="K60" s="30"/>
    </row>
    <row r="61" spans="1:11" ht="12.75" customHeight="1" x14ac:dyDescent="0.2">
      <c r="A61" s="30"/>
      <c r="B61" s="104"/>
      <c r="C61" s="1"/>
      <c r="D61" s="118" t="s">
        <v>106</v>
      </c>
      <c r="E61" s="115"/>
      <c r="F61" s="115"/>
      <c r="G61" s="27"/>
      <c r="H61" s="27"/>
      <c r="I61" s="30"/>
      <c r="J61" s="30"/>
      <c r="K61" s="30"/>
    </row>
    <row r="62" spans="1:11" ht="12.75" customHeight="1" x14ac:dyDescent="0.2">
      <c r="A62" s="30"/>
      <c r="B62" s="116"/>
      <c r="C62" s="1"/>
      <c r="D62" s="98"/>
      <c r="E62" s="109" t="s">
        <v>92</v>
      </c>
      <c r="F62" s="109" t="s">
        <v>93</v>
      </c>
      <c r="G62" s="27"/>
      <c r="H62" s="27"/>
      <c r="I62" s="30"/>
      <c r="J62" s="30"/>
      <c r="K62" s="30"/>
    </row>
    <row r="63" spans="1:11" ht="12.75" customHeight="1" x14ac:dyDescent="0.2">
      <c r="A63" s="84"/>
      <c r="B63" s="104"/>
      <c r="C63" s="1"/>
      <c r="D63" s="119" t="s">
        <v>124</v>
      </c>
      <c r="E63" s="100"/>
      <c r="F63" s="100"/>
      <c r="G63" s="28"/>
      <c r="H63" s="143"/>
      <c r="I63" s="143"/>
      <c r="J63" s="143"/>
      <c r="K63" s="54"/>
    </row>
    <row r="64" spans="1:11" ht="12.75" customHeight="1" x14ac:dyDescent="0.15">
      <c r="A64" s="27"/>
      <c r="B64" s="111"/>
      <c r="C64" s="1"/>
      <c r="D64" s="175" t="s">
        <v>91</v>
      </c>
      <c r="E64" s="121">
        <f>COUNTIF(I2:I54, "*ELEV_BACT*")</f>
        <v>27</v>
      </c>
      <c r="F64" s="113">
        <f>E64/E65</f>
        <v>1</v>
      </c>
      <c r="G64" s="30"/>
      <c r="H64" s="143"/>
      <c r="I64" s="143"/>
      <c r="J64" s="143"/>
      <c r="K64" s="30"/>
    </row>
    <row r="65" spans="2:11" ht="12.75" customHeight="1" x14ac:dyDescent="0.2">
      <c r="B65" s="104"/>
      <c r="C65" s="1"/>
      <c r="D65" s="122"/>
      <c r="E65" s="123">
        <f>SUM(E64:E64)</f>
        <v>27</v>
      </c>
      <c r="F65" s="112">
        <f>SUM(F64:F64)</f>
        <v>1</v>
      </c>
      <c r="G65" s="30"/>
      <c r="H65" s="71"/>
      <c r="I65" s="71"/>
      <c r="J65" s="30"/>
      <c r="K65" s="30"/>
    </row>
    <row r="66" spans="2:11" ht="12.75" customHeight="1" x14ac:dyDescent="0.2">
      <c r="B66" s="104"/>
      <c r="C66" s="1"/>
      <c r="D66" s="119" t="s">
        <v>125</v>
      </c>
      <c r="E66" s="100"/>
      <c r="F66" s="120"/>
      <c r="H66" s="71"/>
      <c r="I66" s="71"/>
      <c r="J66" s="45"/>
      <c r="K66" s="89"/>
    </row>
    <row r="67" spans="2:11" ht="12.75" customHeight="1" x14ac:dyDescent="0.2">
      <c r="B67" s="104"/>
      <c r="C67" s="1"/>
      <c r="D67" s="175" t="s">
        <v>152</v>
      </c>
      <c r="E67" s="98">
        <f>COUNTIF(J2:J54, "*ENTERO*")</f>
        <v>27</v>
      </c>
      <c r="F67" s="124">
        <f>E67/E69</f>
        <v>0.72972972972972971</v>
      </c>
      <c r="H67" s="71"/>
      <c r="I67" s="71"/>
      <c r="J67" s="45"/>
      <c r="K67" s="89"/>
    </row>
    <row r="68" spans="2:11" ht="12.75" customHeight="1" x14ac:dyDescent="0.2">
      <c r="B68" s="104"/>
      <c r="C68" s="1"/>
      <c r="D68" s="175" t="s">
        <v>153</v>
      </c>
      <c r="E68" s="121">
        <f>COUNTIF(J2:J54, "*FECAL_COL*")</f>
        <v>10</v>
      </c>
      <c r="F68" s="113">
        <f>E68/E69</f>
        <v>0.27027027027027029</v>
      </c>
      <c r="H68" s="71"/>
      <c r="I68" s="71"/>
      <c r="J68" s="45"/>
      <c r="K68" s="89"/>
    </row>
    <row r="69" spans="2:11" ht="12.75" customHeight="1" x14ac:dyDescent="0.2">
      <c r="B69" s="104"/>
      <c r="C69" s="1"/>
      <c r="D69" s="122"/>
      <c r="E69" s="123">
        <f>SUM(E67:E68)</f>
        <v>37</v>
      </c>
      <c r="F69" s="112">
        <f>SUM(F67:F68)</f>
        <v>1</v>
      </c>
      <c r="I69" s="83"/>
      <c r="J69" s="30"/>
      <c r="K69" s="45"/>
    </row>
    <row r="70" spans="2:11" ht="12.75" customHeight="1" x14ac:dyDescent="0.2">
      <c r="B70" s="104"/>
      <c r="C70" s="1"/>
      <c r="D70" s="119" t="s">
        <v>126</v>
      </c>
      <c r="E70" s="100"/>
      <c r="F70" s="120"/>
      <c r="I70" s="82"/>
      <c r="J70" s="45"/>
      <c r="K70" s="89"/>
    </row>
    <row r="71" spans="2:11" ht="12.75" customHeight="1" x14ac:dyDescent="0.2">
      <c r="B71" s="104"/>
      <c r="C71" s="1"/>
      <c r="D71" s="175" t="s">
        <v>145</v>
      </c>
      <c r="E71" s="120">
        <f>COUNTIF(K2:K54, "*RUNOFF*")</f>
        <v>27</v>
      </c>
      <c r="F71" s="112">
        <f>E71/E82</f>
        <v>1</v>
      </c>
      <c r="I71" s="82"/>
      <c r="J71" s="45"/>
      <c r="K71" s="89"/>
    </row>
    <row r="72" spans="2:11" ht="12.75" customHeight="1" x14ac:dyDescent="0.2">
      <c r="B72" s="104"/>
      <c r="C72" s="1"/>
      <c r="D72" s="175" t="s">
        <v>107</v>
      </c>
      <c r="E72" s="120">
        <f>COUNTIF(K2:K54, "*STORM*")</f>
        <v>0</v>
      </c>
      <c r="F72" s="112">
        <f>E72/E82</f>
        <v>0</v>
      </c>
      <c r="I72" s="82"/>
      <c r="J72" s="45"/>
      <c r="K72" s="89"/>
    </row>
    <row r="73" spans="2:11" ht="12.75" customHeight="1" x14ac:dyDescent="0.2">
      <c r="B73" s="104"/>
      <c r="C73" s="1"/>
      <c r="D73" s="175" t="s">
        <v>143</v>
      </c>
      <c r="E73" s="120">
        <f>COUNTIF(K2:K54, "*AGRICULTURAL*")</f>
        <v>0</v>
      </c>
      <c r="F73" s="112">
        <f>E73/E82</f>
        <v>0</v>
      </c>
      <c r="I73" s="82"/>
      <c r="J73" s="45"/>
      <c r="K73" s="89"/>
    </row>
    <row r="74" spans="2:11" ht="12.75" customHeight="1" x14ac:dyDescent="0.2">
      <c r="B74" s="104"/>
      <c r="C74" s="1"/>
      <c r="D74" s="175" t="s">
        <v>154</v>
      </c>
      <c r="E74" s="120">
        <f>COUNTIF(K2:K54, "*BOAT*")</f>
        <v>0</v>
      </c>
      <c r="F74" s="112">
        <f>E74/E82</f>
        <v>0</v>
      </c>
      <c r="I74" s="82"/>
      <c r="J74" s="45"/>
      <c r="K74" s="89"/>
    </row>
    <row r="75" spans="2:11" ht="12.75" customHeight="1" x14ac:dyDescent="0.2">
      <c r="B75" s="104"/>
      <c r="C75" s="1"/>
      <c r="D75" s="175" t="s">
        <v>144</v>
      </c>
      <c r="E75" s="120">
        <f>COUNTIF(K2:K54, "*SSO*")</f>
        <v>0</v>
      </c>
      <c r="F75" s="112">
        <f>E75/E82</f>
        <v>0</v>
      </c>
      <c r="I75" s="82"/>
      <c r="J75" s="45"/>
      <c r="K75" s="89"/>
    </row>
    <row r="76" spans="2:11" ht="12.75" customHeight="1" x14ac:dyDescent="0.2">
      <c r="B76" s="104"/>
      <c r="C76" s="1"/>
      <c r="D76" s="175" t="s">
        <v>155</v>
      </c>
      <c r="E76" s="120">
        <f>COUNTIF(K2:K54, "*POTW*")</f>
        <v>0</v>
      </c>
      <c r="F76" s="112">
        <f>E76/E82</f>
        <v>0</v>
      </c>
      <c r="I76" s="82"/>
      <c r="J76" s="45"/>
      <c r="K76" s="89"/>
    </row>
    <row r="77" spans="2:11" ht="12.75" customHeight="1" x14ac:dyDescent="0.2">
      <c r="B77" s="104"/>
      <c r="C77" s="1"/>
      <c r="D77" s="175" t="s">
        <v>157</v>
      </c>
      <c r="E77" s="120">
        <f>COUNTIF(K2:K54, "*SEWER_LINE*")</f>
        <v>0</v>
      </c>
      <c r="F77" s="112">
        <f>E77/E82</f>
        <v>0</v>
      </c>
      <c r="I77" s="90"/>
      <c r="J77" s="91"/>
      <c r="K77" s="89"/>
    </row>
    <row r="78" spans="2:11" ht="12.75" customHeight="1" x14ac:dyDescent="0.2">
      <c r="B78" s="104"/>
      <c r="C78" s="1"/>
      <c r="D78" s="175" t="s">
        <v>156</v>
      </c>
      <c r="E78" s="120">
        <f>COUNTIF(K2:K54, "*SEPTIC*")</f>
        <v>0</v>
      </c>
      <c r="F78" s="112">
        <f>E78/E82</f>
        <v>0</v>
      </c>
      <c r="I78" s="90"/>
      <c r="J78" s="91"/>
      <c r="K78" s="89"/>
    </row>
    <row r="79" spans="2:11" ht="12.75" customHeight="1" x14ac:dyDescent="0.2">
      <c r="B79" s="104"/>
      <c r="C79" s="1"/>
      <c r="D79" s="175" t="s">
        <v>108</v>
      </c>
      <c r="E79" s="120">
        <f>COUNTIF(K2:K54, "*WILDLIFE*")</f>
        <v>0</v>
      </c>
      <c r="F79" s="112">
        <f>E79/E82</f>
        <v>0</v>
      </c>
      <c r="I79" s="83"/>
      <c r="J79" s="30"/>
      <c r="K79" s="45"/>
    </row>
    <row r="80" spans="2:11" ht="12.75" customHeight="1" x14ac:dyDescent="0.2">
      <c r="B80" s="104"/>
      <c r="C80" s="1"/>
      <c r="D80" s="175" t="s">
        <v>109</v>
      </c>
      <c r="E80" s="120">
        <f>COUNTIF(K2:K54, "*OTHER*")</f>
        <v>0</v>
      </c>
      <c r="F80" s="112">
        <f>E80/E82</f>
        <v>0</v>
      </c>
      <c r="I80" s="71"/>
      <c r="J80" s="45"/>
      <c r="K80" s="89"/>
    </row>
    <row r="81" spans="2:11" ht="12.75" customHeight="1" x14ac:dyDescent="0.2">
      <c r="B81" s="104"/>
      <c r="C81" s="1"/>
      <c r="D81" s="175" t="s">
        <v>110</v>
      </c>
      <c r="E81" s="121">
        <f>COUNTIF(K2:K54, "*UNKNOWN*")</f>
        <v>0</v>
      </c>
      <c r="F81" s="113">
        <f>E81/E82</f>
        <v>0</v>
      </c>
      <c r="I81" s="71"/>
      <c r="J81" s="45"/>
      <c r="K81" s="89"/>
    </row>
    <row r="82" spans="2:11" ht="12.75" customHeight="1" x14ac:dyDescent="0.2">
      <c r="B82" s="104"/>
      <c r="C82" s="104"/>
      <c r="D82" s="104"/>
      <c r="E82" s="123">
        <f>SUM(E71:E81)</f>
        <v>27</v>
      </c>
      <c r="F82" s="112">
        <f>SUM(F71:F81)</f>
        <v>1</v>
      </c>
      <c r="I82" s="71"/>
      <c r="J82" s="45"/>
      <c r="K82" s="89"/>
    </row>
    <row r="83" spans="2:11" ht="12.75" customHeight="1" x14ac:dyDescent="0.15">
      <c r="I83" s="71"/>
      <c r="J83" s="45"/>
      <c r="K83" s="89"/>
    </row>
    <row r="84" spans="2:11" ht="12.75" customHeight="1" x14ac:dyDescent="0.15">
      <c r="I84" s="71"/>
      <c r="J84" s="45"/>
      <c r="K84" s="89"/>
    </row>
    <row r="85" spans="2:11" ht="12" customHeight="1" x14ac:dyDescent="0.15">
      <c r="I85" s="24"/>
      <c r="J85" s="91"/>
      <c r="K85" s="24"/>
    </row>
  </sheetData>
  <sortState ref="I154:I161">
    <sortCondition ref="I15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Puerto Rico Beach Actions</oddHeader>
    <oddFooter>&amp;R&amp;P of &amp;N</oddFooter>
  </headerFooter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56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7109375" style="5" customWidth="1"/>
    <col min="2" max="2" width="9.140625" style="5"/>
    <col min="3" max="3" width="39.28515625" style="32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93" t="s">
        <v>24</v>
      </c>
      <c r="C1" s="194"/>
      <c r="D1" s="194"/>
      <c r="E1" s="194"/>
      <c r="F1" s="29"/>
      <c r="G1" s="191" t="s">
        <v>23</v>
      </c>
      <c r="H1" s="192"/>
      <c r="I1" s="192"/>
      <c r="J1" s="192"/>
      <c r="K1" s="192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29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153" t="s">
        <v>158</v>
      </c>
      <c r="B3" s="153" t="s">
        <v>159</v>
      </c>
      <c r="C3" s="153" t="s">
        <v>160</v>
      </c>
      <c r="D3" s="66">
        <v>3</v>
      </c>
      <c r="E3" s="66">
        <v>29</v>
      </c>
      <c r="F3" s="66"/>
      <c r="G3" s="66"/>
      <c r="H3" s="66"/>
      <c r="I3" s="66">
        <v>1</v>
      </c>
      <c r="J3" s="66">
        <v>2</v>
      </c>
      <c r="K3" s="66"/>
    </row>
    <row r="4" spans="1:147" ht="12.75" customHeight="1" x14ac:dyDescent="0.2">
      <c r="A4" s="30"/>
      <c r="B4" s="31">
        <f>COUNTA(B3:B3)</f>
        <v>1</v>
      </c>
      <c r="C4" s="31"/>
      <c r="D4" s="44">
        <f>SUM(D3:D3)</f>
        <v>3</v>
      </c>
      <c r="E4" s="44">
        <f>SUM(E3:E3)</f>
        <v>29</v>
      </c>
      <c r="F4" s="44"/>
      <c r="G4" s="44">
        <f>SUM(G3:G3)</f>
        <v>0</v>
      </c>
      <c r="H4" s="44">
        <f>SUM(H3:H3)</f>
        <v>0</v>
      </c>
      <c r="I4" s="44">
        <f>SUM(I3:I3)</f>
        <v>1</v>
      </c>
      <c r="J4" s="44">
        <f>SUM(J3:J3)</f>
        <v>2</v>
      </c>
      <c r="K4" s="44">
        <f>SUM(K3:K3)</f>
        <v>0</v>
      </c>
    </row>
    <row r="5" spans="1:147" ht="12.75" customHeight="1" x14ac:dyDescent="0.2">
      <c r="A5" s="30"/>
      <c r="B5" s="31"/>
      <c r="C5" s="31"/>
      <c r="D5" s="164"/>
      <c r="E5" s="164"/>
      <c r="F5" s="164"/>
      <c r="G5" s="164"/>
      <c r="H5" s="164"/>
      <c r="I5" s="164"/>
      <c r="J5" s="164"/>
      <c r="K5" s="164"/>
    </row>
    <row r="6" spans="1:147" ht="12.75" customHeight="1" x14ac:dyDescent="0.2">
      <c r="A6" s="172" t="s">
        <v>161</v>
      </c>
      <c r="B6" s="172" t="s">
        <v>162</v>
      </c>
      <c r="C6" s="172" t="s">
        <v>163</v>
      </c>
      <c r="D6" s="66">
        <v>2</v>
      </c>
      <c r="E6" s="66">
        <v>12</v>
      </c>
      <c r="F6" s="66"/>
      <c r="G6" s="66"/>
      <c r="H6" s="66"/>
      <c r="I6" s="66">
        <v>1</v>
      </c>
      <c r="J6" s="66">
        <v>1</v>
      </c>
      <c r="K6" s="66"/>
    </row>
    <row r="7" spans="1:147" ht="12.75" customHeight="1" x14ac:dyDescent="0.2">
      <c r="A7" s="30"/>
      <c r="B7" s="31">
        <f>COUNTA(B6:B6)</f>
        <v>1</v>
      </c>
      <c r="C7" s="31"/>
      <c r="D7" s="27">
        <f>SUM(D6:D6)</f>
        <v>2</v>
      </c>
      <c r="E7" s="27">
        <f>SUM(E6:E6)</f>
        <v>12</v>
      </c>
      <c r="F7" s="34"/>
      <c r="G7" s="27">
        <f>SUM(G6:G6)</f>
        <v>0</v>
      </c>
      <c r="H7" s="27">
        <f>SUM(H6:H6)</f>
        <v>0</v>
      </c>
      <c r="I7" s="27">
        <f>SUM(I6:I6)</f>
        <v>1</v>
      </c>
      <c r="J7" s="27">
        <f>SUM(J6:J6)</f>
        <v>1</v>
      </c>
      <c r="K7" s="27">
        <f>SUM(K6:K6)</f>
        <v>0</v>
      </c>
    </row>
    <row r="8" spans="1:147" ht="12.75" customHeight="1" x14ac:dyDescent="0.2">
      <c r="A8" s="30"/>
      <c r="B8" s="31"/>
      <c r="C8" s="31"/>
      <c r="D8" s="164"/>
      <c r="E8" s="164"/>
      <c r="F8" s="164"/>
      <c r="G8" s="164"/>
      <c r="H8" s="164"/>
      <c r="I8" s="164"/>
      <c r="J8" s="164"/>
      <c r="K8" s="164"/>
    </row>
    <row r="9" spans="1:147" ht="12.75" customHeight="1" x14ac:dyDescent="0.2">
      <c r="A9" s="72" t="s">
        <v>164</v>
      </c>
      <c r="B9" s="72" t="s">
        <v>165</v>
      </c>
      <c r="C9" s="72" t="s">
        <v>166</v>
      </c>
      <c r="D9" s="66">
        <v>1</v>
      </c>
      <c r="E9" s="66">
        <v>8</v>
      </c>
      <c r="F9" s="66"/>
      <c r="G9" s="66"/>
      <c r="H9" s="66"/>
      <c r="I9" s="66"/>
      <c r="J9" s="66">
        <v>1</v>
      </c>
      <c r="K9" s="66"/>
    </row>
    <row r="10" spans="1:147" ht="12.75" customHeight="1" x14ac:dyDescent="0.2">
      <c r="A10" s="30"/>
      <c r="B10" s="31">
        <f>COUNTA(B9:B9)</f>
        <v>1</v>
      </c>
      <c r="C10" s="31"/>
      <c r="D10" s="27">
        <f>SUM(D9:D9)</f>
        <v>1</v>
      </c>
      <c r="E10" s="27">
        <f>SUM(E9:E9)</f>
        <v>8</v>
      </c>
      <c r="F10" s="34"/>
      <c r="G10" s="27">
        <f>SUM(G9:G9)</f>
        <v>0</v>
      </c>
      <c r="H10" s="27">
        <f>SUM(H9:H9)</f>
        <v>0</v>
      </c>
      <c r="I10" s="27">
        <f>SUM(I9:I9)</f>
        <v>0</v>
      </c>
      <c r="J10" s="27">
        <f>SUM(J9:J9)</f>
        <v>1</v>
      </c>
      <c r="K10" s="27">
        <f>SUM(K9:K9)</f>
        <v>0</v>
      </c>
    </row>
    <row r="11" spans="1:147" ht="12.75" customHeight="1" x14ac:dyDescent="0.2">
      <c r="A11" s="30"/>
      <c r="B11" s="30"/>
      <c r="C11" s="30"/>
      <c r="D11" s="34"/>
      <c r="E11" s="34"/>
      <c r="F11" s="34"/>
      <c r="G11" s="34"/>
      <c r="H11" s="34"/>
      <c r="I11" s="34"/>
      <c r="J11" s="34"/>
      <c r="K11" s="34"/>
    </row>
    <row r="12" spans="1:147" ht="12.75" customHeight="1" x14ac:dyDescent="0.2">
      <c r="A12" s="71" t="s">
        <v>170</v>
      </c>
      <c r="B12" s="71" t="s">
        <v>175</v>
      </c>
      <c r="C12" s="71" t="s">
        <v>176</v>
      </c>
      <c r="D12" s="70">
        <v>2</v>
      </c>
      <c r="E12" s="70">
        <v>15</v>
      </c>
      <c r="F12" s="70"/>
      <c r="G12" s="70"/>
      <c r="H12" s="70"/>
      <c r="I12" s="58">
        <v>1</v>
      </c>
      <c r="J12" s="58">
        <v>1</v>
      </c>
      <c r="K12" s="58"/>
    </row>
    <row r="13" spans="1:147" ht="12.75" customHeight="1" x14ac:dyDescent="0.2">
      <c r="A13" s="72" t="s">
        <v>170</v>
      </c>
      <c r="B13" s="72" t="s">
        <v>177</v>
      </c>
      <c r="C13" s="72" t="s">
        <v>178</v>
      </c>
      <c r="D13" s="66">
        <v>2</v>
      </c>
      <c r="E13" s="66">
        <v>22</v>
      </c>
      <c r="F13" s="66"/>
      <c r="G13" s="66"/>
      <c r="H13" s="66"/>
      <c r="I13" s="66"/>
      <c r="J13" s="66">
        <v>2</v>
      </c>
      <c r="K13" s="66"/>
    </row>
    <row r="14" spans="1:147" ht="12.75" customHeight="1" x14ac:dyDescent="0.2">
      <c r="A14" s="30"/>
      <c r="B14" s="31">
        <f>COUNTA(B12:B13)</f>
        <v>2</v>
      </c>
      <c r="C14" s="31"/>
      <c r="D14" s="27">
        <f>SUM(D12:D13)</f>
        <v>4</v>
      </c>
      <c r="E14" s="27">
        <f>SUM(E12:E13)</f>
        <v>37</v>
      </c>
      <c r="F14" s="34"/>
      <c r="G14" s="27">
        <f>SUM(G12:G13)</f>
        <v>0</v>
      </c>
      <c r="H14" s="27">
        <f>SUM(H12:H13)</f>
        <v>0</v>
      </c>
      <c r="I14" s="27">
        <f>SUM(I12:I13)</f>
        <v>1</v>
      </c>
      <c r="J14" s="27">
        <f>SUM(J12:J13)</f>
        <v>3</v>
      </c>
      <c r="K14" s="27">
        <f>SUM(K12:K13)</f>
        <v>0</v>
      </c>
    </row>
    <row r="15" spans="1:147" ht="12.75" customHeight="1" x14ac:dyDescent="0.2">
      <c r="A15" s="30"/>
      <c r="B15" s="31"/>
      <c r="C15" s="31"/>
      <c r="D15" s="27"/>
      <c r="E15" s="27"/>
      <c r="F15" s="34"/>
      <c r="G15" s="27"/>
      <c r="H15" s="27"/>
      <c r="I15" s="27"/>
      <c r="J15" s="27"/>
      <c r="K15" s="27"/>
    </row>
    <row r="16" spans="1:147" ht="12.75" customHeight="1" x14ac:dyDescent="0.2">
      <c r="A16" s="72" t="s">
        <v>185</v>
      </c>
      <c r="B16" s="72" t="s">
        <v>186</v>
      </c>
      <c r="C16" s="72" t="s">
        <v>187</v>
      </c>
      <c r="D16" s="66">
        <v>1</v>
      </c>
      <c r="E16" s="66">
        <v>21</v>
      </c>
      <c r="F16" s="66"/>
      <c r="G16" s="66"/>
      <c r="H16" s="66"/>
      <c r="I16" s="66"/>
      <c r="J16" s="66">
        <v>1</v>
      </c>
      <c r="K16" s="66"/>
      <c r="N16" s="71"/>
      <c r="O16" s="71"/>
    </row>
    <row r="17" spans="1:15" ht="12.75" customHeight="1" x14ac:dyDescent="0.2">
      <c r="A17" s="30"/>
      <c r="B17" s="31">
        <f>COUNTA(B16:B16)</f>
        <v>1</v>
      </c>
      <c r="C17" s="31"/>
      <c r="D17" s="27">
        <f>SUM(D16:D16)</f>
        <v>1</v>
      </c>
      <c r="E17" s="27">
        <f>SUM(E16:E16)</f>
        <v>21</v>
      </c>
      <c r="F17" s="34"/>
      <c r="G17" s="27">
        <f>SUM(G16:G16)</f>
        <v>0</v>
      </c>
      <c r="H17" s="27">
        <f>SUM(H16:H16)</f>
        <v>0</v>
      </c>
      <c r="I17" s="27">
        <f>SUM(I16:I16)</f>
        <v>0</v>
      </c>
      <c r="J17" s="27">
        <f>SUM(J16:J16)</f>
        <v>1</v>
      </c>
      <c r="K17" s="27">
        <f>SUM(K16:K16)</f>
        <v>0</v>
      </c>
    </row>
    <row r="18" spans="1:15" ht="12.75" customHeight="1" x14ac:dyDescent="0.2">
      <c r="A18" s="30"/>
      <c r="B18" s="31"/>
      <c r="C18" s="31"/>
      <c r="D18" s="27"/>
      <c r="E18" s="27"/>
      <c r="F18" s="34"/>
      <c r="G18" s="27"/>
      <c r="H18" s="27"/>
      <c r="I18" s="27"/>
      <c r="J18" s="27"/>
      <c r="K18" s="27"/>
    </row>
    <row r="19" spans="1:15" ht="12.75" customHeight="1" x14ac:dyDescent="0.2">
      <c r="A19" s="172" t="s">
        <v>188</v>
      </c>
      <c r="B19" s="172" t="s">
        <v>189</v>
      </c>
      <c r="C19" s="172" t="s">
        <v>190</v>
      </c>
      <c r="D19" s="66">
        <v>2</v>
      </c>
      <c r="E19" s="66">
        <v>27</v>
      </c>
      <c r="F19" s="66"/>
      <c r="G19" s="66"/>
      <c r="H19" s="66"/>
      <c r="I19" s="66"/>
      <c r="J19" s="66">
        <v>2</v>
      </c>
      <c r="K19" s="66"/>
      <c r="N19" s="71"/>
      <c r="O19" s="71"/>
    </row>
    <row r="20" spans="1:15" ht="12.75" customHeight="1" x14ac:dyDescent="0.2">
      <c r="A20" s="30"/>
      <c r="B20" s="31">
        <f>COUNTA(B19:B19)</f>
        <v>1</v>
      </c>
      <c r="C20" s="31"/>
      <c r="D20" s="27">
        <f>SUM(D19:D19)</f>
        <v>2</v>
      </c>
      <c r="E20" s="27">
        <f>SUM(E19:E19)</f>
        <v>27</v>
      </c>
      <c r="F20" s="34"/>
      <c r="G20" s="27">
        <f>SUM(G19:G19)</f>
        <v>0</v>
      </c>
      <c r="H20" s="27">
        <f>SUM(H19:H19)</f>
        <v>0</v>
      </c>
      <c r="I20" s="27">
        <f>SUM(I19:I19)</f>
        <v>0</v>
      </c>
      <c r="J20" s="27">
        <f>SUM(J19:J19)</f>
        <v>2</v>
      </c>
      <c r="K20" s="27">
        <f>SUM(K19:K19)</f>
        <v>0</v>
      </c>
    </row>
    <row r="21" spans="1:15" ht="12.75" customHeight="1" x14ac:dyDescent="0.2">
      <c r="A21" s="30"/>
      <c r="B21" s="31"/>
      <c r="C21" s="31"/>
      <c r="D21" s="27"/>
      <c r="E21" s="27"/>
      <c r="F21" s="34"/>
      <c r="G21" s="27"/>
      <c r="H21" s="27"/>
      <c r="I21" s="27"/>
      <c r="J21" s="27"/>
      <c r="K21" s="27"/>
    </row>
    <row r="22" spans="1:15" ht="12.75" customHeight="1" x14ac:dyDescent="0.2">
      <c r="A22" s="168" t="s">
        <v>191</v>
      </c>
      <c r="B22" s="168" t="s">
        <v>192</v>
      </c>
      <c r="C22" s="168" t="s">
        <v>193</v>
      </c>
      <c r="D22" s="28">
        <v>1</v>
      </c>
      <c r="E22" s="28">
        <v>18</v>
      </c>
      <c r="F22" s="165"/>
      <c r="G22" s="28"/>
      <c r="H22" s="28"/>
      <c r="I22" s="28"/>
      <c r="J22" s="28">
        <v>1</v>
      </c>
      <c r="K22" s="28"/>
    </row>
    <row r="23" spans="1:15" ht="12.75" customHeight="1" x14ac:dyDescent="0.2">
      <c r="A23" s="172" t="s">
        <v>191</v>
      </c>
      <c r="B23" s="172" t="s">
        <v>194</v>
      </c>
      <c r="C23" s="172" t="s">
        <v>195</v>
      </c>
      <c r="D23" s="66">
        <v>2</v>
      </c>
      <c r="E23" s="66">
        <v>15</v>
      </c>
      <c r="F23" s="66"/>
      <c r="G23" s="66"/>
      <c r="H23" s="66"/>
      <c r="I23" s="66">
        <v>1</v>
      </c>
      <c r="J23" s="66">
        <v>1</v>
      </c>
      <c r="K23" s="66"/>
    </row>
    <row r="24" spans="1:15" ht="12.75" customHeight="1" x14ac:dyDescent="0.2">
      <c r="A24" s="30"/>
      <c r="B24" s="31">
        <f>COUNTA(B22:B23)</f>
        <v>2</v>
      </c>
      <c r="C24" s="31"/>
      <c r="D24" s="27">
        <f>SUM(D22:D23)</f>
        <v>3</v>
      </c>
      <c r="E24" s="27">
        <f>SUM(E22:E23)</f>
        <v>33</v>
      </c>
      <c r="F24" s="34"/>
      <c r="G24" s="27">
        <f t="shared" ref="G24:K24" si="0">SUM(G22:G23)</f>
        <v>0</v>
      </c>
      <c r="H24" s="27">
        <f t="shared" si="0"/>
        <v>0</v>
      </c>
      <c r="I24" s="27">
        <f t="shared" si="0"/>
        <v>1</v>
      </c>
      <c r="J24" s="27">
        <f t="shared" si="0"/>
        <v>2</v>
      </c>
      <c r="K24" s="27">
        <f t="shared" si="0"/>
        <v>0</v>
      </c>
    </row>
    <row r="25" spans="1:15" ht="12.75" customHeight="1" x14ac:dyDescent="0.2">
      <c r="A25" s="30"/>
      <c r="B25" s="31"/>
      <c r="C25" s="31"/>
      <c r="D25" s="27"/>
      <c r="E25" s="27"/>
      <c r="F25" s="34"/>
      <c r="G25" s="27"/>
      <c r="H25" s="27"/>
      <c r="I25" s="27"/>
      <c r="J25" s="27"/>
      <c r="K25" s="27"/>
    </row>
    <row r="26" spans="1:15" ht="12.75" customHeight="1" x14ac:dyDescent="0.2">
      <c r="A26" s="72" t="s">
        <v>199</v>
      </c>
      <c r="B26" s="72" t="s">
        <v>200</v>
      </c>
      <c r="C26" s="72" t="s">
        <v>201</v>
      </c>
      <c r="D26" s="66">
        <v>1</v>
      </c>
      <c r="E26" s="66">
        <v>13</v>
      </c>
      <c r="F26" s="66"/>
      <c r="G26" s="66"/>
      <c r="H26" s="66"/>
      <c r="I26" s="66"/>
      <c r="J26" s="66">
        <v>1</v>
      </c>
      <c r="K26" s="66"/>
    </row>
    <row r="27" spans="1:15" ht="12.75" customHeight="1" x14ac:dyDescent="0.2">
      <c r="A27" s="30"/>
      <c r="B27" s="31">
        <f>COUNTA(B26:B26)</f>
        <v>1</v>
      </c>
      <c r="C27" s="31"/>
      <c r="D27" s="27">
        <f>SUM(D26:D26)</f>
        <v>1</v>
      </c>
      <c r="E27" s="27">
        <f>SUM(E26:E26)</f>
        <v>13</v>
      </c>
      <c r="F27" s="34"/>
      <c r="G27" s="27">
        <f>SUM(G26:G26)</f>
        <v>0</v>
      </c>
      <c r="H27" s="27">
        <f>SUM(H26:H26)</f>
        <v>0</v>
      </c>
      <c r="I27" s="27">
        <f>SUM(I26:I26)</f>
        <v>0</v>
      </c>
      <c r="J27" s="27">
        <f>SUM(J26:J26)</f>
        <v>1</v>
      </c>
      <c r="K27" s="27">
        <f>SUM(K26:K26)</f>
        <v>0</v>
      </c>
    </row>
    <row r="28" spans="1:15" ht="12.75" customHeight="1" x14ac:dyDescent="0.2">
      <c r="A28" s="30"/>
      <c r="B28" s="31"/>
      <c r="C28" s="31"/>
      <c r="D28" s="27"/>
      <c r="E28" s="27"/>
      <c r="F28" s="34"/>
      <c r="G28" s="27"/>
      <c r="H28" s="27"/>
      <c r="I28" s="27"/>
      <c r="J28" s="27"/>
      <c r="K28" s="27"/>
    </row>
    <row r="29" spans="1:15" ht="12.75" customHeight="1" x14ac:dyDescent="0.2">
      <c r="A29" s="72" t="s">
        <v>202</v>
      </c>
      <c r="B29" s="72" t="s">
        <v>203</v>
      </c>
      <c r="C29" s="72" t="s">
        <v>204</v>
      </c>
      <c r="D29" s="66">
        <v>4</v>
      </c>
      <c r="E29" s="66">
        <v>39</v>
      </c>
      <c r="F29" s="66"/>
      <c r="G29" s="66"/>
      <c r="H29" s="66"/>
      <c r="I29" s="66">
        <v>2</v>
      </c>
      <c r="J29" s="66">
        <v>2</v>
      </c>
      <c r="K29" s="66"/>
    </row>
    <row r="30" spans="1:15" ht="12.75" customHeight="1" x14ac:dyDescent="0.2">
      <c r="A30" s="30"/>
      <c r="B30" s="31">
        <f>COUNTA(B29:B29)</f>
        <v>1</v>
      </c>
      <c r="C30" s="31"/>
      <c r="D30" s="27">
        <f>SUM(D29:D29)</f>
        <v>4</v>
      </c>
      <c r="E30" s="27">
        <f>SUM(E29:E29)</f>
        <v>39</v>
      </c>
      <c r="F30" s="34"/>
      <c r="G30" s="27">
        <f>SUM(G29:G29)</f>
        <v>0</v>
      </c>
      <c r="H30" s="27">
        <f>SUM(H29:H29)</f>
        <v>0</v>
      </c>
      <c r="I30" s="27">
        <f>SUM(I29:I29)</f>
        <v>2</v>
      </c>
      <c r="J30" s="27">
        <f>SUM(J29:J29)</f>
        <v>2</v>
      </c>
      <c r="K30" s="27">
        <f>SUM(K29:K29)</f>
        <v>0</v>
      </c>
    </row>
    <row r="31" spans="1:15" ht="12.75" customHeight="1" x14ac:dyDescent="0.2">
      <c r="A31" s="30"/>
      <c r="B31" s="31"/>
      <c r="C31" s="60"/>
      <c r="D31" s="27"/>
      <c r="E31" s="27"/>
      <c r="F31" s="34"/>
      <c r="G31" s="27"/>
      <c r="H31" s="27"/>
      <c r="I31" s="27"/>
      <c r="J31" s="27"/>
      <c r="K31" s="27"/>
    </row>
    <row r="32" spans="1:15" ht="12.75" customHeight="1" x14ac:dyDescent="0.2">
      <c r="A32" s="72" t="s">
        <v>205</v>
      </c>
      <c r="B32" s="72" t="s">
        <v>206</v>
      </c>
      <c r="C32" s="72" t="s">
        <v>207</v>
      </c>
      <c r="D32" s="66">
        <v>1</v>
      </c>
      <c r="E32" s="66">
        <v>8</v>
      </c>
      <c r="F32" s="66"/>
      <c r="G32" s="66"/>
      <c r="H32" s="66"/>
      <c r="I32" s="66"/>
      <c r="J32" s="66">
        <v>1</v>
      </c>
      <c r="K32" s="66"/>
    </row>
    <row r="33" spans="1:11" ht="12.75" customHeight="1" x14ac:dyDescent="0.2">
      <c r="A33" s="30"/>
      <c r="B33" s="31">
        <f>COUNTA(B32:B32)</f>
        <v>1</v>
      </c>
      <c r="C33" s="60"/>
      <c r="D33" s="27">
        <f>SUM(D32:D32)</f>
        <v>1</v>
      </c>
      <c r="E33" s="27">
        <f>SUM(E32:E32)</f>
        <v>8</v>
      </c>
      <c r="F33" s="34"/>
      <c r="G33" s="27">
        <f>SUM(G32:G32)</f>
        <v>0</v>
      </c>
      <c r="H33" s="27">
        <f>SUM(H32:H32)</f>
        <v>0</v>
      </c>
      <c r="I33" s="27">
        <f>SUM(I32:I32)</f>
        <v>0</v>
      </c>
      <c r="J33" s="27">
        <f>SUM(J32:J32)</f>
        <v>1</v>
      </c>
      <c r="K33" s="27">
        <f>SUM(K32:K32)</f>
        <v>0</v>
      </c>
    </row>
    <row r="34" spans="1:11" ht="12.75" customHeight="1" x14ac:dyDescent="0.2">
      <c r="A34" s="30"/>
      <c r="B34" s="31"/>
      <c r="C34" s="60"/>
      <c r="D34" s="27"/>
      <c r="E34" s="27"/>
      <c r="F34" s="34"/>
      <c r="G34" s="27"/>
      <c r="H34" s="27"/>
      <c r="I34" s="27"/>
      <c r="J34" s="27"/>
      <c r="K34" s="27"/>
    </row>
    <row r="35" spans="1:11" ht="12.75" customHeight="1" x14ac:dyDescent="0.2">
      <c r="A35" s="72" t="s">
        <v>208</v>
      </c>
      <c r="B35" s="72" t="s">
        <v>209</v>
      </c>
      <c r="C35" s="72" t="s">
        <v>210</v>
      </c>
      <c r="D35" s="66">
        <v>1</v>
      </c>
      <c r="E35" s="66">
        <v>7</v>
      </c>
      <c r="F35" s="66"/>
      <c r="G35" s="66"/>
      <c r="H35" s="66"/>
      <c r="I35" s="66">
        <v>1</v>
      </c>
      <c r="J35" s="66"/>
      <c r="K35" s="66"/>
    </row>
    <row r="36" spans="1:11" ht="12.75" customHeight="1" x14ac:dyDescent="0.2">
      <c r="A36" s="30"/>
      <c r="B36" s="31">
        <f>COUNTA(B35:B35)</f>
        <v>1</v>
      </c>
      <c r="C36" s="31"/>
      <c r="D36" s="27">
        <f>SUM(D35:D35)</f>
        <v>1</v>
      </c>
      <c r="E36" s="27">
        <f>SUM(E35:E35)</f>
        <v>7</v>
      </c>
      <c r="F36" s="34"/>
      <c r="G36" s="27">
        <f>SUM(G35:G35)</f>
        <v>0</v>
      </c>
      <c r="H36" s="27">
        <f>SUM(H35:H35)</f>
        <v>0</v>
      </c>
      <c r="I36" s="27">
        <f>SUM(I35:I35)</f>
        <v>1</v>
      </c>
      <c r="J36" s="27">
        <f>SUM(J35:J35)</f>
        <v>0</v>
      </c>
      <c r="K36" s="27">
        <f>SUM(K35:K35)</f>
        <v>0</v>
      </c>
    </row>
    <row r="37" spans="1:11" ht="12.75" customHeight="1" x14ac:dyDescent="0.2">
      <c r="A37" s="30"/>
      <c r="B37" s="31"/>
      <c r="C37" s="31"/>
      <c r="D37" s="27"/>
      <c r="E37" s="27"/>
      <c r="F37" s="34"/>
      <c r="G37" s="27"/>
      <c r="H37" s="27"/>
      <c r="I37" s="27"/>
      <c r="J37" s="27"/>
      <c r="K37" s="27"/>
    </row>
    <row r="38" spans="1:11" ht="12.75" customHeight="1" x14ac:dyDescent="0.2">
      <c r="A38" s="72" t="s">
        <v>214</v>
      </c>
      <c r="B38" s="72" t="s">
        <v>215</v>
      </c>
      <c r="C38" s="72" t="s">
        <v>216</v>
      </c>
      <c r="D38" s="66">
        <v>2</v>
      </c>
      <c r="E38" s="66">
        <v>19</v>
      </c>
      <c r="F38" s="66"/>
      <c r="G38" s="66"/>
      <c r="H38" s="66"/>
      <c r="I38" s="66">
        <v>1</v>
      </c>
      <c r="J38" s="66">
        <v>1</v>
      </c>
      <c r="K38" s="66"/>
    </row>
    <row r="39" spans="1:11" ht="12.75" customHeight="1" x14ac:dyDescent="0.2">
      <c r="A39" s="30"/>
      <c r="B39" s="31">
        <f>COUNTA(B38:B38)</f>
        <v>1</v>
      </c>
      <c r="C39" s="31"/>
      <c r="D39" s="27">
        <f>SUM(D38:D38)</f>
        <v>2</v>
      </c>
      <c r="E39" s="27">
        <f>SUM(E38:E38)</f>
        <v>19</v>
      </c>
      <c r="F39" s="34"/>
      <c r="G39" s="27">
        <f>SUM(G38:G38)</f>
        <v>0</v>
      </c>
      <c r="H39" s="27">
        <f>SUM(H38:H38)</f>
        <v>0</v>
      </c>
      <c r="I39" s="27">
        <f>SUM(I38:I38)</f>
        <v>1</v>
      </c>
      <c r="J39" s="27">
        <f>SUM(J38:J38)</f>
        <v>1</v>
      </c>
      <c r="K39" s="27">
        <f>SUM(K38:K38)</f>
        <v>0</v>
      </c>
    </row>
    <row r="40" spans="1:11" ht="12.75" customHeight="1" x14ac:dyDescent="0.2">
      <c r="A40" s="30"/>
      <c r="B40" s="31"/>
      <c r="C40" s="31"/>
      <c r="D40" s="27"/>
      <c r="E40" s="27"/>
      <c r="F40" s="34"/>
      <c r="G40" s="27"/>
      <c r="H40" s="27"/>
      <c r="I40" s="27"/>
      <c r="J40" s="27"/>
      <c r="K40" s="27"/>
    </row>
    <row r="41" spans="1:11" ht="12.75" customHeight="1" x14ac:dyDescent="0.2">
      <c r="A41" s="72" t="s">
        <v>217</v>
      </c>
      <c r="B41" s="72" t="s">
        <v>218</v>
      </c>
      <c r="C41" s="72" t="s">
        <v>219</v>
      </c>
      <c r="D41" s="66">
        <v>2</v>
      </c>
      <c r="E41" s="66">
        <v>21</v>
      </c>
      <c r="F41" s="66"/>
      <c r="G41" s="66"/>
      <c r="H41" s="66"/>
      <c r="I41" s="66">
        <v>1</v>
      </c>
      <c r="J41" s="66">
        <v>1</v>
      </c>
      <c r="K41" s="66"/>
    </row>
    <row r="42" spans="1:11" ht="12.75" customHeight="1" x14ac:dyDescent="0.2">
      <c r="A42" s="30"/>
      <c r="B42" s="31">
        <f>COUNTA(B41:B41)</f>
        <v>1</v>
      </c>
      <c r="C42" s="31"/>
      <c r="D42" s="27">
        <f>SUM(D41:D41)</f>
        <v>2</v>
      </c>
      <c r="E42" s="27">
        <f>SUM(E41:E41)</f>
        <v>21</v>
      </c>
      <c r="F42" s="34"/>
      <c r="G42" s="27">
        <f>SUM(G41:G41)</f>
        <v>0</v>
      </c>
      <c r="H42" s="27">
        <f>SUM(H41:H41)</f>
        <v>0</v>
      </c>
      <c r="I42" s="27">
        <f>SUM(I41:I41)</f>
        <v>1</v>
      </c>
      <c r="J42" s="27">
        <f>SUM(J41:J41)</f>
        <v>1</v>
      </c>
      <c r="K42" s="27">
        <f>SUM(K41:K41)</f>
        <v>0</v>
      </c>
    </row>
    <row r="43" spans="1:11" ht="12.75" customHeight="1" x14ac:dyDescent="0.2">
      <c r="A43" s="30"/>
      <c r="B43" s="31"/>
      <c r="C43" s="31"/>
      <c r="D43" s="27"/>
      <c r="E43" s="27"/>
      <c r="F43" s="34"/>
      <c r="G43" s="27"/>
      <c r="H43" s="27"/>
      <c r="I43" s="27"/>
      <c r="J43" s="27"/>
      <c r="K43" s="27"/>
    </row>
    <row r="44" spans="1:11" ht="12.75" customHeight="1" x14ac:dyDescent="0.2">
      <c r="A44" s="30"/>
      <c r="B44" s="31"/>
      <c r="C44" s="31"/>
      <c r="D44" s="27"/>
      <c r="E44" s="27"/>
      <c r="F44" s="34"/>
      <c r="G44" s="27"/>
      <c r="H44" s="27"/>
      <c r="I44" s="27"/>
      <c r="J44" s="27"/>
      <c r="K44" s="27"/>
    </row>
    <row r="45" spans="1:11" ht="12.75" customHeight="1" x14ac:dyDescent="0.2">
      <c r="C45" s="118" t="s">
        <v>224</v>
      </c>
      <c r="D45" s="115"/>
    </row>
    <row r="46" spans="1:11" ht="12.75" customHeight="1" x14ac:dyDescent="0.2">
      <c r="B46" s="116"/>
      <c r="C46" s="117" t="s">
        <v>127</v>
      </c>
      <c r="D46" s="98">
        <f>B4+B7+B10+B14+B17+B20+B24+B27+B30+B33+B36+B39+B42</f>
        <v>15</v>
      </c>
    </row>
    <row r="47" spans="1:11" ht="12.75" customHeight="1" x14ac:dyDescent="0.2">
      <c r="B47" s="116"/>
      <c r="C47" s="117" t="s">
        <v>104</v>
      </c>
      <c r="D47" s="98">
        <f>SUM(D4+D7+D10+D14+D17+D20+D24+D27+D30+D33+D36+D39+D42)</f>
        <v>27</v>
      </c>
    </row>
    <row r="48" spans="1:11" ht="12.75" customHeight="1" x14ac:dyDescent="0.2">
      <c r="B48" s="116"/>
      <c r="C48" s="117" t="s">
        <v>105</v>
      </c>
      <c r="D48" s="97">
        <f>SUM(E4+E7+E10+E14+E17+E20+E24+E27+E30+E33+E36+E39+E42)</f>
        <v>274</v>
      </c>
    </row>
    <row r="49" spans="3:8" ht="12.75" customHeight="1" x14ac:dyDescent="0.2"/>
    <row r="50" spans="3:8" ht="12.75" customHeight="1" x14ac:dyDescent="0.2">
      <c r="C50" s="5"/>
      <c r="D50" s="104"/>
      <c r="E50" s="118" t="s">
        <v>135</v>
      </c>
      <c r="F50" s="104"/>
      <c r="G50" s="109" t="s">
        <v>92</v>
      </c>
      <c r="H50" s="109" t="s">
        <v>103</v>
      </c>
    </row>
    <row r="51" spans="3:8" ht="12.75" customHeight="1" x14ac:dyDescent="0.2">
      <c r="C51" s="122"/>
      <c r="D51" s="122"/>
      <c r="E51" s="107" t="s">
        <v>130</v>
      </c>
      <c r="G51" s="98">
        <f>SUM(G4+G7+G10+G14+G17+G20+G24+G27+G30+G33+G36+G39+G42)</f>
        <v>0</v>
      </c>
      <c r="H51" s="112">
        <f>G51/(G56)</f>
        <v>0</v>
      </c>
    </row>
    <row r="52" spans="3:8" ht="12.75" customHeight="1" x14ac:dyDescent="0.2">
      <c r="C52" s="122"/>
      <c r="D52" s="122"/>
      <c r="E52" s="107" t="s">
        <v>131</v>
      </c>
      <c r="G52" s="98">
        <f>SUM(H4+H7+H10+H14+H17+H20+H24+H27+H30+H33+H36+H39+H42)</f>
        <v>0</v>
      </c>
      <c r="H52" s="112">
        <f>G52/G56</f>
        <v>0</v>
      </c>
    </row>
    <row r="53" spans="3:8" ht="12.75" customHeight="1" x14ac:dyDescent="0.2">
      <c r="C53" s="122"/>
      <c r="D53" s="122"/>
      <c r="E53" s="107" t="s">
        <v>132</v>
      </c>
      <c r="G53" s="98">
        <f>SUM(I4+I7+I10+I14+I17+I20+I24+I27+I30+I33+I36+I39+I42)</f>
        <v>9</v>
      </c>
      <c r="H53" s="112">
        <f>G53/G56</f>
        <v>0.33333333333333331</v>
      </c>
    </row>
    <row r="54" spans="3:8" ht="12.75" customHeight="1" x14ac:dyDescent="0.2">
      <c r="C54" s="122"/>
      <c r="D54" s="122"/>
      <c r="E54" s="107" t="s">
        <v>133</v>
      </c>
      <c r="G54" s="98">
        <f>SUM(J4+J7+J10+J14+J17+J20+J24+J27+J30+J33+J36+J39+J42)</f>
        <v>18</v>
      </c>
      <c r="H54" s="112">
        <f>G54/G56</f>
        <v>0.66666666666666663</v>
      </c>
    </row>
    <row r="55" spans="3:8" ht="12.75" customHeight="1" x14ac:dyDescent="0.2">
      <c r="C55" s="122"/>
      <c r="D55" s="122"/>
      <c r="E55" s="107" t="s">
        <v>134</v>
      </c>
      <c r="G55" s="121">
        <f>SUM(K4+K7+K10+K14+K17+K20+K24+K27+K30+K33+K36+K39+K42)</f>
        <v>0</v>
      </c>
      <c r="H55" s="113">
        <f>G55/G56</f>
        <v>0</v>
      </c>
    </row>
    <row r="56" spans="3:8" ht="12.75" customHeight="1" x14ac:dyDescent="0.2">
      <c r="C56" s="122"/>
      <c r="D56" s="122"/>
      <c r="E56" s="122"/>
      <c r="F56" s="107"/>
      <c r="G56" s="120">
        <f>SUM(G51:G55)</f>
        <v>27</v>
      </c>
      <c r="H56" s="112">
        <f>SUM(H51:H55)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Puerto Rico Beach Action Durations</oddHeader>
    <oddFooter>&amp;R&amp;P of &amp;N</oddFooter>
  </headerFooter>
  <rowBreaks count="1" manualBreakCount="1">
    <brk id="4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4"/>
  <sheetViews>
    <sheetView zoomScaleNormal="100" workbookViewId="0">
      <pane ySplit="2" topLeftCell="A15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96" t="s">
        <v>25</v>
      </c>
      <c r="C1" s="196"/>
      <c r="D1" s="68"/>
      <c r="E1" s="69"/>
      <c r="F1" s="68"/>
      <c r="G1" s="195" t="s">
        <v>27</v>
      </c>
      <c r="H1" s="195"/>
      <c r="I1" s="195"/>
      <c r="J1" s="68"/>
      <c r="K1" s="196" t="s">
        <v>32</v>
      </c>
      <c r="L1" s="196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69</v>
      </c>
      <c r="E2" s="15" t="s">
        <v>26</v>
      </c>
      <c r="F2" s="3"/>
      <c r="G2" s="3" t="s">
        <v>225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153" t="s">
        <v>158</v>
      </c>
      <c r="B3" s="153" t="s">
        <v>159</v>
      </c>
      <c r="C3" s="153" t="s">
        <v>160</v>
      </c>
      <c r="D3" s="155">
        <v>1</v>
      </c>
      <c r="E3" s="156">
        <v>365</v>
      </c>
      <c r="F3" s="157"/>
      <c r="G3" s="158" t="s">
        <v>28</v>
      </c>
      <c r="H3" s="159">
        <v>29</v>
      </c>
      <c r="I3" s="160">
        <f t="shared" ref="I3" si="0">H3/E3</f>
        <v>7.9452054794520555E-2</v>
      </c>
      <c r="J3" s="161"/>
      <c r="K3" s="162">
        <f t="shared" ref="K3" si="1">E3-H3</f>
        <v>336</v>
      </c>
      <c r="L3" s="160">
        <f t="shared" ref="L3" si="2">K3/E3</f>
        <v>0.92054794520547945</v>
      </c>
    </row>
    <row r="4" spans="1:12" x14ac:dyDescent="0.2">
      <c r="A4" s="54"/>
      <c r="B4" s="60">
        <f>COUNTA(B3:B3)</f>
        <v>1</v>
      </c>
      <c r="C4" s="54"/>
      <c r="E4" s="144">
        <f>SUM(E3:E3)</f>
        <v>365</v>
      </c>
      <c r="F4" s="42"/>
      <c r="G4" s="60">
        <f>COUNTA(G3:G3)</f>
        <v>1</v>
      </c>
      <c r="H4" s="35">
        <f>SUM(H3:H3)</f>
        <v>29</v>
      </c>
      <c r="I4" s="43">
        <f>H4/E4</f>
        <v>7.9452054794520555E-2</v>
      </c>
      <c r="J4" s="44"/>
      <c r="K4" s="52">
        <f>E4-H4</f>
        <v>336</v>
      </c>
      <c r="L4" s="43">
        <f>K4/E4</f>
        <v>0.92054794520547945</v>
      </c>
    </row>
    <row r="5" spans="1:12" ht="8.25" customHeight="1" x14ac:dyDescent="0.2">
      <c r="A5" s="54"/>
      <c r="B5" s="54"/>
      <c r="C5" s="54"/>
      <c r="H5" s="36"/>
      <c r="I5" s="36"/>
      <c r="J5" s="36"/>
      <c r="K5" s="36"/>
      <c r="L5" s="36"/>
    </row>
    <row r="6" spans="1:12" x14ac:dyDescent="0.2">
      <c r="A6" s="72" t="s">
        <v>161</v>
      </c>
      <c r="B6" s="72" t="s">
        <v>162</v>
      </c>
      <c r="C6" s="72" t="s">
        <v>163</v>
      </c>
      <c r="D6" s="128">
        <v>1</v>
      </c>
      <c r="E6" s="147">
        <v>365</v>
      </c>
      <c r="F6" s="63"/>
      <c r="G6" s="65" t="s">
        <v>28</v>
      </c>
      <c r="H6" s="66">
        <v>12</v>
      </c>
      <c r="I6" s="40">
        <f t="shared" ref="I6" si="3">H6/E6</f>
        <v>3.287671232876712E-2</v>
      </c>
      <c r="J6" s="64"/>
      <c r="K6" s="41">
        <f t="shared" ref="K6" si="4">E6-H6</f>
        <v>353</v>
      </c>
      <c r="L6" s="40">
        <f t="shared" ref="L6" si="5">K6/E6</f>
        <v>0.9671232876712329</v>
      </c>
    </row>
    <row r="7" spans="1:12" x14ac:dyDescent="0.2">
      <c r="A7" s="54"/>
      <c r="B7" s="60">
        <f>COUNTA(B6:B6)</f>
        <v>1</v>
      </c>
      <c r="C7" s="54"/>
      <c r="E7" s="144">
        <f>SUM(E6:E6)</f>
        <v>365</v>
      </c>
      <c r="F7" s="42"/>
      <c r="G7" s="60">
        <f>COUNTA(G6:G6)</f>
        <v>1</v>
      </c>
      <c r="H7" s="35">
        <f>SUM(H6:H6)</f>
        <v>12</v>
      </c>
      <c r="I7" s="43">
        <f>H7/E7</f>
        <v>3.287671232876712E-2</v>
      </c>
      <c r="J7" s="44"/>
      <c r="K7" s="52">
        <f>E7-H7</f>
        <v>353</v>
      </c>
      <c r="L7" s="43">
        <f>K7/E7</f>
        <v>0.9671232876712329</v>
      </c>
    </row>
    <row r="8" spans="1:12" ht="8.25" customHeight="1" x14ac:dyDescent="0.2">
      <c r="A8" s="54"/>
      <c r="B8" s="60"/>
      <c r="C8" s="54"/>
      <c r="E8" s="144"/>
      <c r="F8" s="42"/>
      <c r="G8" s="60"/>
      <c r="H8" s="35"/>
      <c r="I8" s="43"/>
      <c r="J8" s="126"/>
      <c r="K8" s="52"/>
      <c r="L8" s="43"/>
    </row>
    <row r="9" spans="1:12" x14ac:dyDescent="0.2">
      <c r="A9" s="72" t="s">
        <v>164</v>
      </c>
      <c r="B9" s="72" t="s">
        <v>165</v>
      </c>
      <c r="C9" s="72" t="s">
        <v>166</v>
      </c>
      <c r="D9" s="128">
        <v>1</v>
      </c>
      <c r="E9" s="147">
        <v>365</v>
      </c>
      <c r="F9" s="63"/>
      <c r="G9" s="65" t="s">
        <v>28</v>
      </c>
      <c r="H9" s="39">
        <v>8</v>
      </c>
      <c r="I9" s="40">
        <f t="shared" ref="I9" si="6">H9/E9</f>
        <v>2.1917808219178082E-2</v>
      </c>
      <c r="J9" s="64"/>
      <c r="K9" s="41">
        <f t="shared" ref="K9" si="7">E9-H9</f>
        <v>357</v>
      </c>
      <c r="L9" s="40">
        <f t="shared" ref="L9" si="8">K9/E9</f>
        <v>0.9780821917808219</v>
      </c>
    </row>
    <row r="10" spans="1:12" x14ac:dyDescent="0.2">
      <c r="A10" s="54"/>
      <c r="B10" s="60">
        <f>COUNTA(B9:B9)</f>
        <v>1</v>
      </c>
      <c r="C10" s="54"/>
      <c r="E10" s="144">
        <f>SUM(E9:E9)</f>
        <v>365</v>
      </c>
      <c r="F10" s="42"/>
      <c r="G10" s="60">
        <f>COUNTA(G9:G9)</f>
        <v>1</v>
      </c>
      <c r="H10" s="35">
        <f>SUM(H9:H9)</f>
        <v>8</v>
      </c>
      <c r="I10" s="43">
        <f>H10/E10</f>
        <v>2.1917808219178082E-2</v>
      </c>
      <c r="J10" s="126"/>
      <c r="K10" s="52">
        <f>E10-H10</f>
        <v>357</v>
      </c>
      <c r="L10" s="43">
        <f>K10/E10</f>
        <v>0.9780821917808219</v>
      </c>
    </row>
    <row r="11" spans="1:12" ht="8.25" customHeight="1" x14ac:dyDescent="0.2">
      <c r="A11" s="54"/>
      <c r="B11" s="60"/>
      <c r="C11" s="54"/>
      <c r="E11" s="144"/>
      <c r="F11" s="42"/>
      <c r="G11" s="60"/>
      <c r="H11" s="35"/>
      <c r="I11" s="43"/>
      <c r="J11" s="126"/>
      <c r="K11" s="52"/>
      <c r="L11" s="43"/>
    </row>
    <row r="12" spans="1:12" x14ac:dyDescent="0.2">
      <c r="A12" s="72" t="s">
        <v>167</v>
      </c>
      <c r="B12" s="72" t="s">
        <v>168</v>
      </c>
      <c r="C12" s="72" t="s">
        <v>169</v>
      </c>
      <c r="D12" s="128">
        <v>1</v>
      </c>
      <c r="E12" s="147">
        <v>365</v>
      </c>
      <c r="F12" s="63"/>
      <c r="G12" s="39"/>
      <c r="H12" s="39"/>
      <c r="I12" s="40">
        <f t="shared" ref="I12" si="9">H12/E12</f>
        <v>0</v>
      </c>
      <c r="J12" s="64"/>
      <c r="K12" s="41">
        <f t="shared" ref="K12" si="10">E12-H12</f>
        <v>365</v>
      </c>
      <c r="L12" s="40">
        <f t="shared" ref="L12" si="11">K12/E12</f>
        <v>1</v>
      </c>
    </row>
    <row r="13" spans="1:12" x14ac:dyDescent="0.2">
      <c r="A13" s="54"/>
      <c r="B13" s="60">
        <f>COUNTA(B12:B12)</f>
        <v>1</v>
      </c>
      <c r="C13" s="54"/>
      <c r="E13" s="144">
        <f>SUM(E12:E12)</f>
        <v>365</v>
      </c>
      <c r="F13" s="42"/>
      <c r="G13" s="60">
        <f>COUNTA(G12:G12)</f>
        <v>0</v>
      </c>
      <c r="H13" s="35">
        <f>SUM(H12:H12)</f>
        <v>0</v>
      </c>
      <c r="I13" s="43">
        <f>H13/E13</f>
        <v>0</v>
      </c>
      <c r="J13" s="126"/>
      <c r="K13" s="52">
        <f>E13-H13</f>
        <v>365</v>
      </c>
      <c r="L13" s="43">
        <f>K13/E13</f>
        <v>1</v>
      </c>
    </row>
    <row r="14" spans="1:12" ht="8.25" customHeight="1" x14ac:dyDescent="0.2">
      <c r="A14" s="54"/>
      <c r="B14" s="60"/>
      <c r="C14" s="54"/>
      <c r="E14" s="144"/>
      <c r="F14" s="42"/>
      <c r="G14" s="60"/>
      <c r="H14" s="35"/>
      <c r="I14" s="43"/>
      <c r="J14" s="126"/>
      <c r="K14" s="52"/>
      <c r="L14" s="43"/>
    </row>
    <row r="15" spans="1:12" x14ac:dyDescent="0.2">
      <c r="A15" s="71" t="s">
        <v>170</v>
      </c>
      <c r="B15" s="71" t="s">
        <v>171</v>
      </c>
      <c r="C15" s="71" t="s">
        <v>172</v>
      </c>
      <c r="D15" s="54">
        <v>1</v>
      </c>
      <c r="E15" s="145">
        <v>365</v>
      </c>
      <c r="F15" s="5"/>
      <c r="G15" s="36"/>
      <c r="H15" s="36"/>
      <c r="I15" s="37">
        <f t="shared" ref="I15:I18" si="12">H15/E15</f>
        <v>0</v>
      </c>
      <c r="J15" s="62"/>
      <c r="K15" s="38">
        <f t="shared" ref="K15:K18" si="13">E15-H15</f>
        <v>365</v>
      </c>
      <c r="L15" s="37">
        <f t="shared" ref="L15:L18" si="14">K15/E15</f>
        <v>1</v>
      </c>
    </row>
    <row r="16" spans="1:12" x14ac:dyDescent="0.2">
      <c r="A16" s="71" t="s">
        <v>170</v>
      </c>
      <c r="B16" s="71" t="s">
        <v>173</v>
      </c>
      <c r="C16" s="71" t="s">
        <v>174</v>
      </c>
      <c r="D16" s="54">
        <v>1</v>
      </c>
      <c r="E16" s="145">
        <v>365</v>
      </c>
      <c r="F16" s="5"/>
      <c r="G16" s="36"/>
      <c r="H16" s="36"/>
      <c r="I16" s="37">
        <f t="shared" si="12"/>
        <v>0</v>
      </c>
      <c r="J16" s="62"/>
      <c r="K16" s="38">
        <f t="shared" si="13"/>
        <v>365</v>
      </c>
      <c r="L16" s="37">
        <f t="shared" si="14"/>
        <v>1</v>
      </c>
    </row>
    <row r="17" spans="1:12" x14ac:dyDescent="0.2">
      <c r="A17" s="71" t="s">
        <v>170</v>
      </c>
      <c r="B17" s="71" t="s">
        <v>175</v>
      </c>
      <c r="C17" s="71" t="s">
        <v>176</v>
      </c>
      <c r="D17" s="54">
        <v>1</v>
      </c>
      <c r="E17" s="145">
        <v>365</v>
      </c>
      <c r="F17" s="5"/>
      <c r="G17" s="13" t="s">
        <v>28</v>
      </c>
      <c r="H17" s="176">
        <v>15</v>
      </c>
      <c r="I17" s="37">
        <f t="shared" si="12"/>
        <v>4.1095890410958902E-2</v>
      </c>
      <c r="J17" s="62"/>
      <c r="K17" s="38">
        <f t="shared" si="13"/>
        <v>350</v>
      </c>
      <c r="L17" s="37">
        <f t="shared" si="14"/>
        <v>0.95890410958904104</v>
      </c>
    </row>
    <row r="18" spans="1:12" x14ac:dyDescent="0.2">
      <c r="A18" s="72" t="s">
        <v>170</v>
      </c>
      <c r="B18" s="72" t="s">
        <v>177</v>
      </c>
      <c r="C18" s="72" t="s">
        <v>178</v>
      </c>
      <c r="D18" s="128">
        <v>1</v>
      </c>
      <c r="E18" s="147">
        <v>365</v>
      </c>
      <c r="F18" s="63"/>
      <c r="G18" s="65" t="s">
        <v>28</v>
      </c>
      <c r="H18" s="66">
        <v>22</v>
      </c>
      <c r="I18" s="40">
        <f t="shared" si="12"/>
        <v>6.0273972602739728E-2</v>
      </c>
      <c r="J18" s="64"/>
      <c r="K18" s="41">
        <f t="shared" si="13"/>
        <v>343</v>
      </c>
      <c r="L18" s="40">
        <f t="shared" si="14"/>
        <v>0.9397260273972603</v>
      </c>
    </row>
    <row r="19" spans="1:12" x14ac:dyDescent="0.2">
      <c r="A19" s="54"/>
      <c r="B19" s="60">
        <f>COUNTA(B15:B18)</f>
        <v>4</v>
      </c>
      <c r="C19" s="54"/>
      <c r="E19" s="144">
        <f>SUM(E15:E18)</f>
        <v>1460</v>
      </c>
      <c r="F19" s="42"/>
      <c r="G19" s="60">
        <f>COUNTA(G15:G18)</f>
        <v>2</v>
      </c>
      <c r="H19" s="35">
        <f>SUM(H15:H18)</f>
        <v>37</v>
      </c>
      <c r="I19" s="43">
        <f>H19/E19</f>
        <v>2.5342465753424658E-2</v>
      </c>
      <c r="J19" s="126"/>
      <c r="K19" s="52">
        <f>E19-H19</f>
        <v>1423</v>
      </c>
      <c r="L19" s="43">
        <f>K19/E19</f>
        <v>0.97465753424657531</v>
      </c>
    </row>
    <row r="20" spans="1:12" ht="8.25" customHeight="1" x14ac:dyDescent="0.2">
      <c r="A20" s="54"/>
      <c r="B20" s="60"/>
      <c r="C20" s="54"/>
      <c r="E20" s="144"/>
      <c r="F20" s="42"/>
      <c r="G20" s="60"/>
      <c r="H20" s="35"/>
      <c r="I20" s="43"/>
      <c r="J20" s="126"/>
      <c r="K20" s="52"/>
      <c r="L20" s="43"/>
    </row>
    <row r="21" spans="1:12" x14ac:dyDescent="0.2">
      <c r="A21" s="72" t="s">
        <v>179</v>
      </c>
      <c r="B21" s="72" t="s">
        <v>180</v>
      </c>
      <c r="C21" s="72" t="s">
        <v>181</v>
      </c>
      <c r="D21" s="146">
        <v>1</v>
      </c>
      <c r="E21" s="147">
        <v>365</v>
      </c>
      <c r="F21" s="63"/>
      <c r="G21" s="65"/>
      <c r="H21" s="39"/>
      <c r="I21" s="40">
        <f t="shared" ref="I21" si="15">H21/E21</f>
        <v>0</v>
      </c>
      <c r="J21" s="64"/>
      <c r="K21" s="41">
        <f t="shared" ref="K21" si="16">E21-H21</f>
        <v>365</v>
      </c>
      <c r="L21" s="40">
        <f t="shared" ref="L21" si="17">K21/E21</f>
        <v>1</v>
      </c>
    </row>
    <row r="22" spans="1:12" x14ac:dyDescent="0.2">
      <c r="A22" s="54"/>
      <c r="B22" s="60">
        <f>COUNTA(B21:B21)</f>
        <v>1</v>
      </c>
      <c r="C22" s="54"/>
      <c r="E22" s="144">
        <f>SUM(E21:E21)</f>
        <v>365</v>
      </c>
      <c r="F22" s="42"/>
      <c r="G22" s="60">
        <f>COUNTA(G21:G21)</f>
        <v>0</v>
      </c>
      <c r="H22" s="35">
        <f>SUM(H21:H21)</f>
        <v>0</v>
      </c>
      <c r="I22" s="43">
        <f>H22/E22</f>
        <v>0</v>
      </c>
      <c r="J22" s="126"/>
      <c r="K22" s="52">
        <f>E22-H22</f>
        <v>365</v>
      </c>
      <c r="L22" s="43">
        <f>K22/E22</f>
        <v>1</v>
      </c>
    </row>
    <row r="23" spans="1:12" ht="8.25" customHeight="1" x14ac:dyDescent="0.2">
      <c r="A23" s="54"/>
      <c r="B23" s="60"/>
      <c r="C23" s="54"/>
      <c r="E23" s="144"/>
      <c r="F23" s="42"/>
      <c r="G23" s="60"/>
      <c r="H23" s="35"/>
      <c r="I23" s="43"/>
      <c r="J23" s="126"/>
      <c r="K23" s="52"/>
      <c r="L23" s="43"/>
    </row>
    <row r="24" spans="1:12" x14ac:dyDescent="0.2">
      <c r="A24" s="72" t="s">
        <v>182</v>
      </c>
      <c r="B24" s="72" t="s">
        <v>183</v>
      </c>
      <c r="C24" s="72" t="s">
        <v>184</v>
      </c>
      <c r="D24" s="128">
        <v>1</v>
      </c>
      <c r="E24" s="147">
        <v>365</v>
      </c>
      <c r="F24" s="63"/>
      <c r="G24" s="39"/>
      <c r="H24" s="39"/>
      <c r="I24" s="40">
        <f t="shared" ref="I24" si="18">H24/E24</f>
        <v>0</v>
      </c>
      <c r="J24" s="64"/>
      <c r="K24" s="41">
        <f t="shared" ref="K24" si="19">E24-H24</f>
        <v>365</v>
      </c>
      <c r="L24" s="40">
        <f t="shared" ref="L24" si="20">K24/E24</f>
        <v>1</v>
      </c>
    </row>
    <row r="25" spans="1:12" x14ac:dyDescent="0.2">
      <c r="A25" s="54"/>
      <c r="B25" s="60">
        <f>COUNTA(B24:B24)</f>
        <v>1</v>
      </c>
      <c r="C25" s="54"/>
      <c r="E25" s="144">
        <f>SUM(E24:E24)</f>
        <v>365</v>
      </c>
      <c r="F25" s="42"/>
      <c r="G25" s="60">
        <f>COUNTA(G24:G24)</f>
        <v>0</v>
      </c>
      <c r="H25" s="35">
        <f>SUM(H24:H24)</f>
        <v>0</v>
      </c>
      <c r="I25" s="43">
        <f>H25/E25</f>
        <v>0</v>
      </c>
      <c r="J25" s="126"/>
      <c r="K25" s="52">
        <f>E25-H25</f>
        <v>365</v>
      </c>
      <c r="L25" s="43">
        <f>K25/E25</f>
        <v>1</v>
      </c>
    </row>
    <row r="26" spans="1:12" ht="8.25" customHeight="1" x14ac:dyDescent="0.2">
      <c r="A26" s="54"/>
      <c r="B26" s="60"/>
      <c r="C26" s="54"/>
      <c r="E26" s="144"/>
      <c r="F26" s="42"/>
      <c r="G26" s="60"/>
      <c r="H26" s="35"/>
      <c r="I26" s="43"/>
      <c r="J26" s="126"/>
      <c r="K26" s="52"/>
      <c r="L26" s="43"/>
    </row>
    <row r="27" spans="1:12" x14ac:dyDescent="0.2">
      <c r="A27" s="72" t="s">
        <v>185</v>
      </c>
      <c r="B27" s="72" t="s">
        <v>186</v>
      </c>
      <c r="C27" s="72" t="s">
        <v>187</v>
      </c>
      <c r="D27" s="128">
        <v>1</v>
      </c>
      <c r="E27" s="147">
        <v>365</v>
      </c>
      <c r="F27" s="63"/>
      <c r="G27" s="65" t="s">
        <v>28</v>
      </c>
      <c r="H27" s="66">
        <v>21</v>
      </c>
      <c r="I27" s="40">
        <f t="shared" ref="I27" si="21">H27/E27</f>
        <v>5.7534246575342465E-2</v>
      </c>
      <c r="J27" s="64"/>
      <c r="K27" s="41">
        <f t="shared" ref="K27" si="22">E27-H27</f>
        <v>344</v>
      </c>
      <c r="L27" s="40">
        <f t="shared" ref="L27" si="23">K27/E27</f>
        <v>0.94246575342465755</v>
      </c>
    </row>
    <row r="28" spans="1:12" x14ac:dyDescent="0.2">
      <c r="A28" s="54"/>
      <c r="B28" s="60">
        <f>COUNTA(B27:B27)</f>
        <v>1</v>
      </c>
      <c r="C28" s="54"/>
      <c r="E28" s="144">
        <f>SUM(E27:E27)</f>
        <v>365</v>
      </c>
      <c r="F28" s="42"/>
      <c r="G28" s="60">
        <f>COUNTA(G27:G27)</f>
        <v>1</v>
      </c>
      <c r="H28" s="35">
        <f>SUM(H27:H27)</f>
        <v>21</v>
      </c>
      <c r="I28" s="43">
        <f>H28/E28</f>
        <v>5.7534246575342465E-2</v>
      </c>
      <c r="J28" s="126"/>
      <c r="K28" s="52">
        <f>E28-H28</f>
        <v>344</v>
      </c>
      <c r="L28" s="43">
        <f>K28/E28</f>
        <v>0.94246575342465755</v>
      </c>
    </row>
    <row r="29" spans="1:12" ht="8.25" customHeight="1" x14ac:dyDescent="0.2">
      <c r="A29" s="54"/>
      <c r="B29" s="60"/>
      <c r="C29" s="54"/>
      <c r="E29" s="144"/>
      <c r="F29" s="42"/>
      <c r="G29" s="60"/>
      <c r="H29" s="35"/>
      <c r="I29" s="43"/>
      <c r="J29" s="126"/>
      <c r="K29" s="52"/>
      <c r="L29" s="43"/>
    </row>
    <row r="30" spans="1:12" x14ac:dyDescent="0.2">
      <c r="A30" s="72" t="s">
        <v>188</v>
      </c>
      <c r="B30" s="72" t="s">
        <v>189</v>
      </c>
      <c r="C30" s="72" t="s">
        <v>190</v>
      </c>
      <c r="D30" s="128">
        <v>1</v>
      </c>
      <c r="E30" s="147">
        <v>365</v>
      </c>
      <c r="F30" s="63"/>
      <c r="G30" s="65" t="s">
        <v>28</v>
      </c>
      <c r="H30" s="39">
        <v>27</v>
      </c>
      <c r="I30" s="40">
        <f t="shared" ref="I30" si="24">H30/E30</f>
        <v>7.3972602739726029E-2</v>
      </c>
      <c r="J30" s="64"/>
      <c r="K30" s="41">
        <f t="shared" ref="K30" si="25">E30-H30</f>
        <v>338</v>
      </c>
      <c r="L30" s="40">
        <f t="shared" ref="L30" si="26">K30/E30</f>
        <v>0.92602739726027394</v>
      </c>
    </row>
    <row r="31" spans="1:12" x14ac:dyDescent="0.2">
      <c r="A31" s="54"/>
      <c r="B31" s="60">
        <f>COUNTA(B30:B30)</f>
        <v>1</v>
      </c>
      <c r="C31" s="54"/>
      <c r="E31" s="144">
        <f>SUM(E30:E30)</f>
        <v>365</v>
      </c>
      <c r="F31" s="42"/>
      <c r="G31" s="60">
        <f>COUNTA(G30:G30)</f>
        <v>1</v>
      </c>
      <c r="H31" s="35">
        <f>SUM(H30:H30)</f>
        <v>27</v>
      </c>
      <c r="I31" s="43">
        <f>H31/E31</f>
        <v>7.3972602739726029E-2</v>
      </c>
      <c r="J31" s="126"/>
      <c r="K31" s="52">
        <f>E31-H31</f>
        <v>338</v>
      </c>
      <c r="L31" s="43">
        <f>K31/E31</f>
        <v>0.92602739726027394</v>
      </c>
    </row>
    <row r="32" spans="1:12" ht="8.25" customHeight="1" x14ac:dyDescent="0.2">
      <c r="A32" s="54"/>
      <c r="B32" s="60"/>
      <c r="C32" s="54"/>
      <c r="E32" s="144"/>
      <c r="F32" s="42"/>
      <c r="G32" s="60"/>
      <c r="H32" s="35"/>
      <c r="I32" s="43"/>
      <c r="J32" s="126"/>
      <c r="K32" s="52"/>
      <c r="L32" s="43"/>
    </row>
    <row r="33" spans="1:12" x14ac:dyDescent="0.2">
      <c r="A33" s="71" t="s">
        <v>191</v>
      </c>
      <c r="B33" s="71" t="s">
        <v>192</v>
      </c>
      <c r="C33" s="71" t="s">
        <v>193</v>
      </c>
      <c r="D33" s="54">
        <v>1</v>
      </c>
      <c r="E33" s="145">
        <v>365</v>
      </c>
      <c r="F33" s="5"/>
      <c r="G33" s="13" t="s">
        <v>28</v>
      </c>
      <c r="H33" s="28">
        <v>18</v>
      </c>
      <c r="I33" s="37">
        <f t="shared" ref="I33:I34" si="27">H33/E33</f>
        <v>4.9315068493150684E-2</v>
      </c>
      <c r="J33" s="62"/>
      <c r="K33" s="38">
        <f t="shared" ref="K33:K34" si="28">E33-H33</f>
        <v>347</v>
      </c>
      <c r="L33" s="37">
        <f t="shared" ref="L33:L34" si="29">K33/E33</f>
        <v>0.9506849315068493</v>
      </c>
    </row>
    <row r="34" spans="1:12" x14ac:dyDescent="0.2">
      <c r="A34" s="72" t="s">
        <v>191</v>
      </c>
      <c r="B34" s="72" t="s">
        <v>194</v>
      </c>
      <c r="C34" s="72" t="s">
        <v>195</v>
      </c>
      <c r="D34" s="128">
        <v>1</v>
      </c>
      <c r="E34" s="147">
        <v>365</v>
      </c>
      <c r="F34" s="63"/>
      <c r="G34" s="65" t="s">
        <v>28</v>
      </c>
      <c r="H34" s="66">
        <v>15</v>
      </c>
      <c r="I34" s="40">
        <f t="shared" si="27"/>
        <v>4.1095890410958902E-2</v>
      </c>
      <c r="J34" s="64"/>
      <c r="K34" s="41">
        <f t="shared" si="28"/>
        <v>350</v>
      </c>
      <c r="L34" s="40">
        <f t="shared" si="29"/>
        <v>0.95890410958904104</v>
      </c>
    </row>
    <row r="35" spans="1:12" x14ac:dyDescent="0.2">
      <c r="A35" s="54"/>
      <c r="B35" s="60">
        <f>COUNTA(B33:B34)</f>
        <v>2</v>
      </c>
      <c r="C35" s="54"/>
      <c r="E35" s="144">
        <f>SUM(E33:E34)</f>
        <v>730</v>
      </c>
      <c r="F35" s="42"/>
      <c r="G35" s="60">
        <f>COUNTA(G33:G34)</f>
        <v>2</v>
      </c>
      <c r="H35" s="35">
        <f>SUM(H33:H34)</f>
        <v>33</v>
      </c>
      <c r="I35" s="43">
        <f>H35/E35</f>
        <v>4.5205479452054796E-2</v>
      </c>
      <c r="J35" s="126"/>
      <c r="K35" s="52">
        <f>E35-H35</f>
        <v>697</v>
      </c>
      <c r="L35" s="43">
        <f>K35/E35</f>
        <v>0.95479452054794522</v>
      </c>
    </row>
    <row r="36" spans="1:12" ht="8.25" customHeight="1" x14ac:dyDescent="0.2">
      <c r="A36" s="54"/>
      <c r="B36" s="60"/>
      <c r="C36" s="54"/>
      <c r="E36" s="144"/>
      <c r="F36" s="42"/>
      <c r="G36" s="60"/>
      <c r="H36" s="35"/>
      <c r="I36" s="43"/>
      <c r="J36" s="126"/>
      <c r="K36" s="52"/>
      <c r="L36" s="43"/>
    </row>
    <row r="37" spans="1:12" x14ac:dyDescent="0.2">
      <c r="A37" s="72" t="s">
        <v>196</v>
      </c>
      <c r="B37" s="72" t="s">
        <v>197</v>
      </c>
      <c r="C37" s="72" t="s">
        <v>198</v>
      </c>
      <c r="D37" s="128">
        <v>1</v>
      </c>
      <c r="E37" s="147">
        <v>365</v>
      </c>
      <c r="F37" s="63"/>
      <c r="G37" s="65"/>
      <c r="H37" s="39"/>
      <c r="I37" s="40">
        <f t="shared" ref="I37" si="30">H37/E37</f>
        <v>0</v>
      </c>
      <c r="J37" s="64"/>
      <c r="K37" s="41">
        <f t="shared" ref="K37" si="31">E37-H37</f>
        <v>365</v>
      </c>
      <c r="L37" s="40">
        <f t="shared" ref="L37" si="32">K37/E37</f>
        <v>1</v>
      </c>
    </row>
    <row r="38" spans="1:12" x14ac:dyDescent="0.2">
      <c r="A38" s="54"/>
      <c r="B38" s="60">
        <f>COUNTA(B37:B37)</f>
        <v>1</v>
      </c>
      <c r="C38" s="54"/>
      <c r="E38" s="144">
        <f>SUM(E37:E37)</f>
        <v>365</v>
      </c>
      <c r="F38" s="42"/>
      <c r="G38" s="60">
        <f>COUNTA(G37:G37)</f>
        <v>0</v>
      </c>
      <c r="H38" s="35">
        <f>SUM(H37:H37)</f>
        <v>0</v>
      </c>
      <c r="I38" s="43">
        <f>H38/E38</f>
        <v>0</v>
      </c>
      <c r="J38" s="126"/>
      <c r="K38" s="52">
        <f>E38-H38</f>
        <v>365</v>
      </c>
      <c r="L38" s="43">
        <f>K38/E38</f>
        <v>1</v>
      </c>
    </row>
    <row r="39" spans="1:12" ht="8.25" customHeight="1" x14ac:dyDescent="0.2">
      <c r="A39" s="54"/>
      <c r="B39" s="60"/>
      <c r="C39" s="54"/>
      <c r="E39" s="144"/>
      <c r="F39" s="42"/>
      <c r="G39" s="60"/>
      <c r="H39" s="35"/>
      <c r="I39" s="43"/>
      <c r="J39" s="126"/>
      <c r="K39" s="52"/>
      <c r="L39" s="43"/>
    </row>
    <row r="40" spans="1:12" x14ac:dyDescent="0.2">
      <c r="A40" s="72" t="s">
        <v>199</v>
      </c>
      <c r="B40" s="72" t="s">
        <v>200</v>
      </c>
      <c r="C40" s="72" t="s">
        <v>201</v>
      </c>
      <c r="D40" s="128">
        <v>1</v>
      </c>
      <c r="E40" s="147">
        <v>365</v>
      </c>
      <c r="F40" s="63"/>
      <c r="G40" s="65" t="s">
        <v>28</v>
      </c>
      <c r="H40" s="39">
        <v>13</v>
      </c>
      <c r="I40" s="40">
        <f t="shared" ref="I40" si="33">H40/E40</f>
        <v>3.5616438356164383E-2</v>
      </c>
      <c r="J40" s="64"/>
      <c r="K40" s="41">
        <f t="shared" ref="K40" si="34">E40-H40</f>
        <v>352</v>
      </c>
      <c r="L40" s="40">
        <f t="shared" ref="L40" si="35">K40/E40</f>
        <v>0.96438356164383565</v>
      </c>
    </row>
    <row r="41" spans="1:12" x14ac:dyDescent="0.2">
      <c r="A41" s="54"/>
      <c r="B41" s="60">
        <f>COUNTA(B40:B40)</f>
        <v>1</v>
      </c>
      <c r="C41" s="54"/>
      <c r="E41" s="144">
        <f>SUM(E40:E40)</f>
        <v>365</v>
      </c>
      <c r="F41" s="42"/>
      <c r="G41" s="60">
        <f>COUNTA(G40:G40)</f>
        <v>1</v>
      </c>
      <c r="H41" s="35">
        <f>SUM(H40:H40)</f>
        <v>13</v>
      </c>
      <c r="I41" s="43">
        <f>H41/E41</f>
        <v>3.5616438356164383E-2</v>
      </c>
      <c r="J41" s="126"/>
      <c r="K41" s="52">
        <f>E41-H41</f>
        <v>352</v>
      </c>
      <c r="L41" s="43">
        <f>K41/E41</f>
        <v>0.96438356164383565</v>
      </c>
    </row>
    <row r="42" spans="1:12" x14ac:dyDescent="0.2">
      <c r="A42" s="54"/>
      <c r="B42" s="60"/>
      <c r="C42" s="54"/>
      <c r="E42" s="144"/>
      <c r="F42" s="42"/>
      <c r="G42" s="60"/>
      <c r="H42" s="35"/>
      <c r="I42" s="43"/>
      <c r="J42" s="126"/>
      <c r="K42" s="52"/>
      <c r="L42" s="43"/>
    </row>
    <row r="43" spans="1:12" x14ac:dyDescent="0.2">
      <c r="A43" s="72" t="s">
        <v>202</v>
      </c>
      <c r="B43" s="72" t="s">
        <v>203</v>
      </c>
      <c r="C43" s="72" t="s">
        <v>204</v>
      </c>
      <c r="D43" s="128">
        <v>1</v>
      </c>
      <c r="E43" s="147">
        <v>365</v>
      </c>
      <c r="F43" s="63"/>
      <c r="G43" s="65" t="s">
        <v>28</v>
      </c>
      <c r="H43" s="39">
        <v>39</v>
      </c>
      <c r="I43" s="40">
        <f t="shared" ref="I43" si="36">H43/E43</f>
        <v>0.10684931506849316</v>
      </c>
      <c r="J43" s="64"/>
      <c r="K43" s="41">
        <f t="shared" ref="K43" si="37">E43-H43</f>
        <v>326</v>
      </c>
      <c r="L43" s="40">
        <f t="shared" ref="L43" si="38">K43/E43</f>
        <v>0.89315068493150684</v>
      </c>
    </row>
    <row r="44" spans="1:12" x14ac:dyDescent="0.2">
      <c r="A44" s="54"/>
      <c r="B44" s="60">
        <f>COUNTA(B43:B43)</f>
        <v>1</v>
      </c>
      <c r="C44" s="54"/>
      <c r="E44" s="144">
        <f>SUM(E43:E43)</f>
        <v>365</v>
      </c>
      <c r="F44" s="42"/>
      <c r="G44" s="60">
        <f>COUNTA(G43:G43)</f>
        <v>1</v>
      </c>
      <c r="H44" s="35">
        <f>SUM(H43:H43)</f>
        <v>39</v>
      </c>
      <c r="I44" s="43">
        <f>H44/E44</f>
        <v>0.10684931506849316</v>
      </c>
      <c r="J44" s="131"/>
      <c r="K44" s="52">
        <f>E44-H44</f>
        <v>326</v>
      </c>
      <c r="L44" s="43">
        <f>K44/E44</f>
        <v>0.89315068493150684</v>
      </c>
    </row>
    <row r="45" spans="1:12" x14ac:dyDescent="0.2">
      <c r="A45" s="54"/>
      <c r="B45" s="60"/>
      <c r="C45" s="54"/>
      <c r="E45" s="144"/>
      <c r="F45" s="42"/>
      <c r="G45" s="60"/>
      <c r="H45" s="35"/>
      <c r="I45" s="43"/>
      <c r="J45" s="131"/>
      <c r="K45" s="52"/>
      <c r="L45" s="43"/>
    </row>
    <row r="46" spans="1:12" x14ac:dyDescent="0.2">
      <c r="A46" s="72" t="s">
        <v>205</v>
      </c>
      <c r="B46" s="72" t="s">
        <v>206</v>
      </c>
      <c r="C46" s="72" t="s">
        <v>207</v>
      </c>
      <c r="D46" s="128">
        <v>1</v>
      </c>
      <c r="E46" s="147">
        <v>365</v>
      </c>
      <c r="F46" s="63"/>
      <c r="G46" s="65" t="s">
        <v>28</v>
      </c>
      <c r="H46" s="39">
        <v>8</v>
      </c>
      <c r="I46" s="40">
        <f t="shared" ref="I46" si="39">H46/E46</f>
        <v>2.1917808219178082E-2</v>
      </c>
      <c r="J46" s="64"/>
      <c r="K46" s="41">
        <f t="shared" ref="K46" si="40">E46-H46</f>
        <v>357</v>
      </c>
      <c r="L46" s="40">
        <f t="shared" ref="L46" si="41">K46/E46</f>
        <v>0.9780821917808219</v>
      </c>
    </row>
    <row r="47" spans="1:12" x14ac:dyDescent="0.2">
      <c r="A47" s="54"/>
      <c r="B47" s="60">
        <f>COUNTA(B46:B46)</f>
        <v>1</v>
      </c>
      <c r="C47" s="54"/>
      <c r="E47" s="144">
        <f>SUM(E46:E46)</f>
        <v>365</v>
      </c>
      <c r="F47" s="42"/>
      <c r="G47" s="60">
        <f>COUNTA(G46:G46)</f>
        <v>1</v>
      </c>
      <c r="H47" s="35">
        <f>SUM(H46:H46)</f>
        <v>8</v>
      </c>
      <c r="I47" s="43">
        <f>H47/E47</f>
        <v>2.1917808219178082E-2</v>
      </c>
      <c r="J47" s="131"/>
      <c r="K47" s="52">
        <f>E47-H47</f>
        <v>357</v>
      </c>
      <c r="L47" s="43">
        <f>K47/E47</f>
        <v>0.9780821917808219</v>
      </c>
    </row>
    <row r="48" spans="1:12" x14ac:dyDescent="0.2">
      <c r="A48" s="54"/>
      <c r="B48" s="60"/>
      <c r="C48" s="54"/>
      <c r="E48" s="144"/>
      <c r="F48" s="42"/>
      <c r="G48" s="60"/>
      <c r="H48" s="35"/>
      <c r="I48" s="43"/>
      <c r="J48" s="131"/>
      <c r="K48" s="52"/>
      <c r="L48" s="43"/>
    </row>
    <row r="49" spans="1:12" x14ac:dyDescent="0.2">
      <c r="A49" s="72" t="s">
        <v>208</v>
      </c>
      <c r="B49" s="72" t="s">
        <v>209</v>
      </c>
      <c r="C49" s="72" t="s">
        <v>210</v>
      </c>
      <c r="D49" s="128">
        <v>1</v>
      </c>
      <c r="E49" s="147">
        <v>365</v>
      </c>
      <c r="F49" s="63"/>
      <c r="G49" s="65" t="s">
        <v>28</v>
      </c>
      <c r="H49" s="39">
        <v>7</v>
      </c>
      <c r="I49" s="40">
        <f t="shared" ref="I49" si="42">H49/E49</f>
        <v>1.9178082191780823E-2</v>
      </c>
      <c r="J49" s="64"/>
      <c r="K49" s="41">
        <f t="shared" ref="K49" si="43">E49-H49</f>
        <v>358</v>
      </c>
      <c r="L49" s="40">
        <f t="shared" ref="L49" si="44">K49/E49</f>
        <v>0.98082191780821915</v>
      </c>
    </row>
    <row r="50" spans="1:12" x14ac:dyDescent="0.2">
      <c r="A50" s="54"/>
      <c r="B50" s="60">
        <f>COUNTA(B49:B49)</f>
        <v>1</v>
      </c>
      <c r="C50" s="54"/>
      <c r="E50" s="144">
        <f>SUM(E49:E49)</f>
        <v>365</v>
      </c>
      <c r="F50" s="42"/>
      <c r="G50" s="60">
        <f>COUNTA(G49:G49)</f>
        <v>1</v>
      </c>
      <c r="H50" s="35">
        <f>SUM(H49:H49)</f>
        <v>7</v>
      </c>
      <c r="I50" s="43">
        <f>H50/E50</f>
        <v>1.9178082191780823E-2</v>
      </c>
      <c r="J50" s="131"/>
      <c r="K50" s="52">
        <f>E50-H50</f>
        <v>358</v>
      </c>
      <c r="L50" s="43">
        <f>K50/E50</f>
        <v>0.98082191780821915</v>
      </c>
    </row>
    <row r="51" spans="1:12" x14ac:dyDescent="0.2">
      <c r="A51" s="54"/>
      <c r="B51" s="60"/>
      <c r="C51" s="54"/>
      <c r="E51" s="144"/>
      <c r="F51" s="42"/>
      <c r="G51" s="60"/>
      <c r="H51" s="35"/>
      <c r="I51" s="43"/>
      <c r="J51" s="131"/>
      <c r="K51" s="52"/>
      <c r="L51" s="43"/>
    </row>
    <row r="52" spans="1:12" x14ac:dyDescent="0.2">
      <c r="A52" s="72" t="s">
        <v>211</v>
      </c>
      <c r="B52" s="72" t="s">
        <v>212</v>
      </c>
      <c r="C52" s="72" t="s">
        <v>213</v>
      </c>
      <c r="D52" s="128">
        <v>1</v>
      </c>
      <c r="E52" s="147">
        <v>365</v>
      </c>
      <c r="F52" s="63"/>
      <c r="G52" s="65"/>
      <c r="H52" s="39"/>
      <c r="I52" s="40">
        <f t="shared" ref="I52" si="45">H52/E52</f>
        <v>0</v>
      </c>
      <c r="J52" s="64"/>
      <c r="K52" s="41">
        <f t="shared" ref="K52" si="46">E52-H52</f>
        <v>365</v>
      </c>
      <c r="L52" s="40">
        <f t="shared" ref="L52" si="47">K52/E52</f>
        <v>1</v>
      </c>
    </row>
    <row r="53" spans="1:12" x14ac:dyDescent="0.2">
      <c r="A53" s="54"/>
      <c r="B53" s="60">
        <f>COUNTA(B52:B52)</f>
        <v>1</v>
      </c>
      <c r="C53" s="54"/>
      <c r="E53" s="144">
        <f>SUM(E52:E52)</f>
        <v>365</v>
      </c>
      <c r="F53" s="42"/>
      <c r="G53" s="60">
        <f>COUNTA(G52:G52)</f>
        <v>0</v>
      </c>
      <c r="H53" s="35">
        <f>SUM(H52:H52)</f>
        <v>0</v>
      </c>
      <c r="I53" s="43">
        <f>H53/E53</f>
        <v>0</v>
      </c>
      <c r="J53" s="131"/>
      <c r="K53" s="52">
        <f>E53-H53</f>
        <v>365</v>
      </c>
      <c r="L53" s="43">
        <f>K53/E53</f>
        <v>1</v>
      </c>
    </row>
    <row r="54" spans="1:12" x14ac:dyDescent="0.2">
      <c r="A54" s="54"/>
      <c r="B54" s="60"/>
      <c r="C54" s="54"/>
      <c r="E54" s="144"/>
      <c r="F54" s="42"/>
      <c r="G54" s="60"/>
      <c r="H54" s="35"/>
      <c r="I54" s="43"/>
      <c r="J54" s="131"/>
      <c r="K54" s="52"/>
      <c r="L54" s="43"/>
    </row>
    <row r="55" spans="1:12" x14ac:dyDescent="0.2">
      <c r="A55" s="72" t="s">
        <v>214</v>
      </c>
      <c r="B55" s="72" t="s">
        <v>215</v>
      </c>
      <c r="C55" s="72" t="s">
        <v>216</v>
      </c>
      <c r="D55" s="128">
        <v>1</v>
      </c>
      <c r="E55" s="147">
        <v>365</v>
      </c>
      <c r="F55" s="63"/>
      <c r="G55" s="65" t="s">
        <v>28</v>
      </c>
      <c r="H55" s="150">
        <v>19</v>
      </c>
      <c r="I55" s="40">
        <f t="shared" ref="I55" si="48">H55/E55</f>
        <v>5.2054794520547946E-2</v>
      </c>
      <c r="J55" s="64"/>
      <c r="K55" s="41">
        <f t="shared" ref="K55" si="49">E55-H55</f>
        <v>346</v>
      </c>
      <c r="L55" s="40">
        <f t="shared" ref="L55" si="50">K55/E55</f>
        <v>0.94794520547945205</v>
      </c>
    </row>
    <row r="56" spans="1:12" x14ac:dyDescent="0.2">
      <c r="A56" s="54"/>
      <c r="B56" s="60">
        <f>COUNTA(B55:B55)</f>
        <v>1</v>
      </c>
      <c r="C56" s="54"/>
      <c r="E56" s="144">
        <f>SUM(E55:E55)</f>
        <v>365</v>
      </c>
      <c r="F56" s="42"/>
      <c r="G56" s="60">
        <f>COUNTA(G55:G55)</f>
        <v>1</v>
      </c>
      <c r="H56" s="35">
        <f>SUM(H55:H55)</f>
        <v>19</v>
      </c>
      <c r="I56" s="43">
        <f>H56/E56</f>
        <v>5.2054794520547946E-2</v>
      </c>
      <c r="J56" s="131"/>
      <c r="K56" s="52">
        <f>E56-H56</f>
        <v>346</v>
      </c>
      <c r="L56" s="43">
        <f>K56/E56</f>
        <v>0.94794520547945205</v>
      </c>
    </row>
    <row r="57" spans="1:12" x14ac:dyDescent="0.2">
      <c r="A57" s="54"/>
      <c r="B57" s="60"/>
      <c r="C57" s="54"/>
      <c r="E57" s="144"/>
      <c r="F57" s="42"/>
      <c r="G57" s="60"/>
      <c r="H57" s="35"/>
      <c r="I57" s="43"/>
      <c r="J57" s="131"/>
      <c r="K57" s="52"/>
      <c r="L57" s="43"/>
    </row>
    <row r="58" spans="1:12" x14ac:dyDescent="0.2">
      <c r="A58" s="72" t="s">
        <v>217</v>
      </c>
      <c r="B58" s="72" t="s">
        <v>218</v>
      </c>
      <c r="C58" s="72" t="s">
        <v>219</v>
      </c>
      <c r="D58" s="128">
        <v>1</v>
      </c>
      <c r="E58" s="147">
        <v>365</v>
      </c>
      <c r="F58" s="63"/>
      <c r="G58" s="65" t="s">
        <v>28</v>
      </c>
      <c r="H58" s="39">
        <v>21</v>
      </c>
      <c r="I58" s="40">
        <f t="shared" ref="I58" si="51">H58/E58</f>
        <v>5.7534246575342465E-2</v>
      </c>
      <c r="J58" s="64"/>
      <c r="K58" s="41">
        <f t="shared" ref="K58" si="52">E58-H58</f>
        <v>344</v>
      </c>
      <c r="L58" s="40">
        <f t="shared" ref="L58" si="53">K58/E58</f>
        <v>0.94246575342465755</v>
      </c>
    </row>
    <row r="59" spans="1:12" x14ac:dyDescent="0.2">
      <c r="A59" s="54"/>
      <c r="B59" s="60">
        <f>COUNTA(B58:B58)</f>
        <v>1</v>
      </c>
      <c r="C59" s="54"/>
      <c r="E59" s="144">
        <f>SUM(E58:E58)</f>
        <v>365</v>
      </c>
      <c r="F59" s="42"/>
      <c r="G59" s="60">
        <f>COUNTA(G58:G58)</f>
        <v>1</v>
      </c>
      <c r="H59" s="35">
        <f>SUM(H58:H58)</f>
        <v>21</v>
      </c>
      <c r="I59" s="43">
        <f>H59/E59</f>
        <v>5.7534246575342465E-2</v>
      </c>
      <c r="J59" s="131"/>
      <c r="K59" s="52">
        <f>E59-H59</f>
        <v>344</v>
      </c>
      <c r="L59" s="43">
        <f>K59/E59</f>
        <v>0.94246575342465755</v>
      </c>
    </row>
    <row r="60" spans="1:12" x14ac:dyDescent="0.2">
      <c r="A60" s="54"/>
      <c r="B60" s="60"/>
      <c r="C60" s="54"/>
      <c r="E60" s="144"/>
      <c r="F60" s="42"/>
      <c r="G60" s="60"/>
      <c r="H60" s="35"/>
      <c r="I60" s="43"/>
      <c r="J60" s="131"/>
      <c r="K60" s="52"/>
      <c r="L60" s="43"/>
    </row>
    <row r="61" spans="1:12" x14ac:dyDescent="0.2">
      <c r="A61" s="30"/>
      <c r="B61" s="31"/>
      <c r="C61" s="30"/>
      <c r="E61" s="35"/>
      <c r="F61" s="42"/>
      <c r="G61" s="31"/>
      <c r="H61" s="35"/>
      <c r="I61" s="43"/>
      <c r="J61" s="74"/>
      <c r="K61" s="52"/>
      <c r="L61" s="43"/>
    </row>
    <row r="62" spans="1:12" x14ac:dyDescent="0.2">
      <c r="B62" s="99"/>
      <c r="C62" s="114"/>
      <c r="D62" s="118" t="s">
        <v>226</v>
      </c>
      <c r="G62" s="36"/>
      <c r="H62" s="36"/>
    </row>
    <row r="63" spans="1:12" x14ac:dyDescent="0.2">
      <c r="B63" s="99"/>
      <c r="C63" s="117"/>
      <c r="D63" s="117" t="s">
        <v>97</v>
      </c>
      <c r="E63" s="98">
        <f>SUM(B4+B7+B10+B13+B19+B22+B25+B28+B31+B35+B38+B41+B44+B47+B50+B53+B56+B59)</f>
        <v>22</v>
      </c>
      <c r="G63" s="36"/>
      <c r="H63" s="36"/>
    </row>
    <row r="64" spans="1:12" x14ac:dyDescent="0.2">
      <c r="B64" s="99"/>
      <c r="C64" s="117"/>
      <c r="D64" s="117" t="s">
        <v>136</v>
      </c>
      <c r="E64" s="97">
        <f>SUM(E4+E7+E10+E13+E19+E22+E25+E28+E31+E35+E38+E41+E44+E47+E50+E53+E56+E59)</f>
        <v>8030</v>
      </c>
      <c r="G64" s="36"/>
      <c r="H64" s="36"/>
    </row>
    <row r="65" spans="2:8" x14ac:dyDescent="0.2">
      <c r="B65" s="116"/>
      <c r="C65" s="117"/>
      <c r="D65" s="117" t="s">
        <v>127</v>
      </c>
      <c r="E65" s="98">
        <f>SUM(G4+G7+G10+G13+G19+G22+G25+G28+G31+G35+G38+G41+G44+G47+G50+G53+G56+G59)</f>
        <v>15</v>
      </c>
      <c r="G65" s="36"/>
      <c r="H65" s="36"/>
    </row>
    <row r="66" spans="2:8" x14ac:dyDescent="0.2">
      <c r="B66" s="116"/>
      <c r="C66" s="117"/>
      <c r="D66" s="117" t="s">
        <v>137</v>
      </c>
      <c r="E66" s="97">
        <f>SUM(H4+H7+H10+H13+H19+H22+H25+H28+H31+H35+H38+H41+H44+H47+H50+H53+H56+H59)</f>
        <v>274</v>
      </c>
      <c r="G66" s="36"/>
      <c r="H66" s="36"/>
    </row>
    <row r="67" spans="2:8" x14ac:dyDescent="0.2">
      <c r="B67" s="116"/>
      <c r="C67" s="117"/>
      <c r="D67" s="117" t="s">
        <v>138</v>
      </c>
      <c r="E67" s="124">
        <f>E66/E64</f>
        <v>3.4122042341220425E-2</v>
      </c>
      <c r="G67" s="36"/>
      <c r="H67" s="36"/>
    </row>
    <row r="68" spans="2:8" x14ac:dyDescent="0.2">
      <c r="C68" s="117"/>
      <c r="D68" s="117" t="s">
        <v>139</v>
      </c>
      <c r="E68" s="97">
        <f>SUM(K4+K7+K10+K13+K19+K22+K25+K28+K31+K35+K38+K41+K44+K47+K50+K53+K56+K59)</f>
        <v>7756</v>
      </c>
      <c r="G68" s="36"/>
      <c r="H68" s="36"/>
    </row>
    <row r="69" spans="2:8" x14ac:dyDescent="0.2">
      <c r="C69" s="117"/>
      <c r="D69" s="117" t="s">
        <v>140</v>
      </c>
      <c r="E69" s="124">
        <f>E68/E64</f>
        <v>0.9658779576587796</v>
      </c>
      <c r="G69" s="36"/>
      <c r="H69" s="36"/>
    </row>
    <row r="70" spans="2:8" x14ac:dyDescent="0.2">
      <c r="G70" s="36"/>
      <c r="H70" s="36"/>
    </row>
    <row r="71" spans="2:8" x14ac:dyDescent="0.2">
      <c r="G71" s="36"/>
      <c r="H71" s="36"/>
    </row>
    <row r="72" spans="2:8" x14ac:dyDescent="0.2">
      <c r="G72" s="36"/>
      <c r="H72" s="36"/>
    </row>
    <row r="73" spans="2:8" x14ac:dyDescent="0.2">
      <c r="G73" s="36"/>
      <c r="H73" s="36"/>
    </row>
    <row r="74" spans="2:8" x14ac:dyDescent="0.2">
      <c r="G74" s="36"/>
      <c r="H74" s="36"/>
    </row>
  </sheetData>
  <sortState ref="A191:L208">
    <sortCondition ref="C191:C208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Puerto Rico Beach Days at Monitored Beaches</oddHeader>
    <oddFooter>&amp;R&amp;P of &amp;N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2012-09-27T18:00:23Z</cp:lastPrinted>
  <dcterms:created xsi:type="dcterms:W3CDTF">2006-12-12T20:37:17Z</dcterms:created>
  <dcterms:modified xsi:type="dcterms:W3CDTF">2012-09-27T18:00:29Z</dcterms:modified>
</cp:coreProperties>
</file>