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55" windowHeight="2580" tabRatio="708" activeTab="0"/>
  </bookViews>
  <sheets>
    <sheet name="Instructions" sheetId="1" r:id="rId1"/>
    <sheet name="Summary Info" sheetId="2" r:id="rId2"/>
    <sheet name="Munitions, Bulk Explosive Info" sheetId="3" r:id="rId3"/>
    <sheet name="Current and Future Activities" sheetId="4" r:id="rId4"/>
    <sheet name="Remedial-Removal Action" sheetId="5" r:id="rId5"/>
    <sheet name="Post-Response Land Use" sheetId="6" r:id="rId6"/>
    <sheet name="Input Factors" sheetId="7" r:id="rId7"/>
    <sheet name="Changes" sheetId="8" state="hidden" r:id="rId8"/>
    <sheet name="Validation Tables" sheetId="9" state="hidden" r:id="rId9"/>
    <sheet name="Scoring Summaries" sheetId="10" r:id="rId10"/>
    <sheet name="Hazard Level" sheetId="11" r:id="rId11"/>
  </sheets>
  <definedNames>
    <definedName name="Accessibility">'Validation Tables'!$B$13:$B$16</definedName>
    <definedName name="Alt1Change">'Remedial-Removal Action'!$E$6</definedName>
    <definedName name="Alt1CleanupScope">'Remedial-Removal Action'!$F$6</definedName>
    <definedName name="alt1ContactTime">'Post-Response Land Use'!$E$20</definedName>
    <definedName name="alt1MaxDepth">'Post-Response Land Use'!$F$21</definedName>
    <definedName name="alt1MinDepth">'Remedial-Removal Action'!$C$6</definedName>
    <definedName name="alt1SiteAccessibility">'Remedial-Removal Action'!$D$6</definedName>
    <definedName name="Alt1Title">'Remedial-Removal Action'!$B$6</definedName>
    <definedName name="Alt2Change">'Remedial-Removal Action'!$E$7</definedName>
    <definedName name="alt2CleanupScope">'Remedial-Removal Action'!$F$7</definedName>
    <definedName name="alt2ContactTime">'Post-Response Land Use'!$E$40</definedName>
    <definedName name="alt2MaxDepth">'Post-Response Land Use'!$F$41</definedName>
    <definedName name="alt2MinDepth">'Remedial-Removal Action'!$C$7</definedName>
    <definedName name="alt2SiteAccessibility">'Remedial-Removal Action'!$D$7</definedName>
    <definedName name="Alt2Title">'Remedial-Removal Action'!$B$7</definedName>
    <definedName name="Alt3Change">'Remedial-Removal Action'!$E$8</definedName>
    <definedName name="alt3CleanupScope">'Remedial-Removal Action'!$F$8</definedName>
    <definedName name="alt3ContactTime">'Post-Response Land Use'!$E$60</definedName>
    <definedName name="alt3MaxDepth">'Post-Response Land Use'!$F$61</definedName>
    <definedName name="alt3MinDepth">'Remedial-Removal Action'!$C$8</definedName>
    <definedName name="alt3SiteAccessibility">'Remedial-Removal Action'!$D$8</definedName>
    <definedName name="Alt3Title">'Remedial-Removal Action'!$B$8</definedName>
    <definedName name="Alt4Change">'Remedial-Removal Action'!$E$9</definedName>
    <definedName name="alt4CleanupScope">'Remedial-Removal Action'!$F$9</definedName>
    <definedName name="alt4ContactTime">'Post-Response Land Use'!$E$80</definedName>
    <definedName name="alt4MaxDepth">'Post-Response Land Use'!$F$81</definedName>
    <definedName name="alt4MinDepth">'Remedial-Removal Action'!$C$9</definedName>
    <definedName name="alt4SiteAccessibility">'Remedial-Removal Action'!$D$9</definedName>
    <definedName name="Alt4Title">'Remedial-Removal Action'!$B$9</definedName>
    <definedName name="Alt5Change">'Remedial-Removal Action'!$E$10</definedName>
    <definedName name="alt5CleanupScope">'Remedial-Removal Action'!$F$10</definedName>
    <definedName name="alt5ContactTime">'Post-Response Land Use'!$E$100</definedName>
    <definedName name="alt5MaxDepth">'Post-Response Land Use'!$F$101</definedName>
    <definedName name="alt5MinDepth">'Remedial-Removal Action'!$C$10</definedName>
    <definedName name="alt5SiteAccessibility">'Remedial-Removal Action'!$D$10</definedName>
    <definedName name="Alt5Title">'Remedial-Removal Action'!$B$10</definedName>
    <definedName name="Alt6Change">'Remedial-Removal Action'!$E$11</definedName>
    <definedName name="alt6CleanupScope">'Remedial-Removal Action'!$F$11</definedName>
    <definedName name="alt6ContactTime">'Post-Response Land Use'!$E$120</definedName>
    <definedName name="alt6MaxDepth">'Post-Response Land Use'!$F$121</definedName>
    <definedName name="alt6MinDepth">'Remedial-Removal Action'!$C$11</definedName>
    <definedName name="alt6SiteAccessibility">'Remedial-Removal Action'!$D$11</definedName>
    <definedName name="Alt6Title">'Remedial-Removal Action'!$B$11</definedName>
    <definedName name="altCurFut">'Remedial-Removal Action'!$F$13</definedName>
    <definedName name="Classification">'Validation Tables'!$B$36:$B$41</definedName>
    <definedName name="ContactHours">'Validation Tables'!$B$17:$B$20</definedName>
    <definedName name="CurFutList">'Validation Tables'!$A$66:$A$67</definedName>
    <definedName name="CurrentMaxDepth">'Current and Future Activities'!$F$19</definedName>
    <definedName name="Depth">'Validation Tables'!$B$30:$B$33</definedName>
    <definedName name="Distance">'Validation Tables'!$B$11:$B$12</definedName>
    <definedName name="DT1FillerType">'Validation Tables'!$A$108:$A$114</definedName>
    <definedName name="DT1FuzeCondition">'Validation Tables'!$D$88:$D$90</definedName>
    <definedName name="DT1FuzingType">'Validation Tables'!$C$88:$C$93</definedName>
    <definedName name="DT1LocationOfMunitions">'Validation Tables'!$E$88:$E$89</definedName>
    <definedName name="DT1MunitionType">'Validation Tables'!$A$88:$A$104</definedName>
    <definedName name="Energetics">'Validation Tables'!$B$5:$B$10</definedName>
    <definedName name="FutureMaxDepth">'Current and Future Activities'!$F$39</definedName>
    <definedName name="IF1Base">'Input Factors'!$G$15</definedName>
    <definedName name="IF1Cat">'Input Factors'!$K$13</definedName>
    <definedName name="IF1Sub">'Input Factors'!$G$17</definedName>
    <definedName name="IF1Surf">'Input Factors'!$G$16</definedName>
    <definedName name="IF2CurBase">'Input Factors'!$G$31</definedName>
    <definedName name="IF2CurCat">'Input Factors'!$K$30</definedName>
    <definedName name="IF2CurSub">'Input Factors'!$G$33</definedName>
    <definedName name="IF2CurSurf">'Input Factors'!$G$32</definedName>
    <definedName name="IF2FutBase">'Input Factors'!$G$44</definedName>
    <definedName name="IF2FutCat">'Input Factors'!$K$43</definedName>
    <definedName name="IF2FutSub">'Input Factors'!$G$46</definedName>
    <definedName name="IF2FutSurf">'Input Factors'!$G$45</definedName>
    <definedName name="IF3Alt1Base">'Input Factors'!$G$71</definedName>
    <definedName name="IF3Alt1Cat">'Input Factors'!$K$70</definedName>
    <definedName name="IF3Alt1Sub">'Input Factors'!$G$73</definedName>
    <definedName name="IF3Alt1Surf">'Input Factors'!$G$72</definedName>
    <definedName name="IF3Alt2Base">'Input Factors'!$G$76</definedName>
    <definedName name="IF3Alt2Cat">'Input Factors'!$K$75</definedName>
    <definedName name="IF3Alt2Sub">'Input Factors'!$G$78</definedName>
    <definedName name="IF3Alt2Surf">'Input Factors'!$G$77</definedName>
    <definedName name="IF3Alt3Base">'Input Factors'!$G$81</definedName>
    <definedName name="IF3Alt3Cat">'Input Factors'!$K$80</definedName>
    <definedName name="IF3Alt3Sub">'Input Factors'!$G$83</definedName>
    <definedName name="IF3Alt3Surf">'Input Factors'!$G$82</definedName>
    <definedName name="IF3Alt4Base">'Input Factors'!$G$86</definedName>
    <definedName name="IF3Alt4Cat">'Input Factors'!$K$85</definedName>
    <definedName name="IF3Alt4Sub">'Input Factors'!$G$88</definedName>
    <definedName name="IF3Alt4Surf">'Input Factors'!$G$87</definedName>
    <definedName name="IF3Alt5Base">'Input Factors'!$G$91</definedName>
    <definedName name="IF3Alt5Cat">'Input Factors'!$K$90</definedName>
    <definedName name="IF3Alt5Sub">'Input Factors'!$G$93</definedName>
    <definedName name="IF3Alt5Surf">'Input Factors'!$G$92</definedName>
    <definedName name="IF3Alt6Base">'Input Factors'!$G$96</definedName>
    <definedName name="IF3Alt6Cat">'Input Factors'!$K$95</definedName>
    <definedName name="IF3Alt6Sub">'Input Factors'!$G$98</definedName>
    <definedName name="IF3Alt6Surf">'Input Factors'!$G$97</definedName>
    <definedName name="IF3CurBase">'Input Factors'!$G$58</definedName>
    <definedName name="IF3CurCat">'Input Factors'!$A$57</definedName>
    <definedName name="IF3CurSub">'Input Factors'!$G$60</definedName>
    <definedName name="IF3CurSurf">'Input Factors'!$G$59</definedName>
    <definedName name="IF3FutBase">'Input Factors'!$G$64</definedName>
    <definedName name="IF3FutCat">'Input Factors'!$A$63</definedName>
    <definedName name="IF3FutSub">'Input Factors'!$G$66</definedName>
    <definedName name="IF3FutSurf">'Input Factors'!$G$65</definedName>
    <definedName name="IF4Alt1Base">'Input Factors'!$G$119</definedName>
    <definedName name="IF4Alt1Cat">'Input Factors'!$K$117</definedName>
    <definedName name="IF4Alt1Sub">'Input Factors'!$G$121</definedName>
    <definedName name="IF4Alt1Surf">'Input Factors'!$G$120</definedName>
    <definedName name="IF4Alt2Base">'Input Factors'!$G$126</definedName>
    <definedName name="IF4Alt2Cat">'Input Factors'!$K$124</definedName>
    <definedName name="IF4Alt2Sub">'Input Factors'!$G$128</definedName>
    <definedName name="IF4Alt2Surf">'Input Factors'!$G$127</definedName>
    <definedName name="IF4Alt3Base">'Input Factors'!$G$133</definedName>
    <definedName name="IF4Alt3Cat">'Input Factors'!$K$131</definedName>
    <definedName name="IF4Alt3Sub">'Input Factors'!$G$135</definedName>
    <definedName name="IF4Alt3Surf">'Input Factors'!$G$134</definedName>
    <definedName name="IF4Alt4Base">'Input Factors'!$G$140</definedName>
    <definedName name="IF4Alt4Cat">'Input Factors'!$K$138</definedName>
    <definedName name="IF4Alt4Sub">'Input Factors'!$G$142</definedName>
    <definedName name="IF4Alt4Surf">'Input Factors'!$G$141</definedName>
    <definedName name="IF4Alt5Base">'Input Factors'!$G$147</definedName>
    <definedName name="IF4Alt5Cat">'Input Factors'!$K$145</definedName>
    <definedName name="IF4Alt5Sub">'Input Factors'!$G$149</definedName>
    <definedName name="IF4Alt5Surf">'Input Factors'!$G$148</definedName>
    <definedName name="IF4Alt6Base">'Input Factors'!$G$154</definedName>
    <definedName name="IF4Alt6Cat">'Input Factors'!$K$152</definedName>
    <definedName name="IF4Alt6Sub">'Input Factors'!$G$156</definedName>
    <definedName name="IF4Alt6Surf">'Input Factors'!$G$155</definedName>
    <definedName name="IF4CurBase">'Input Factors'!$G$111</definedName>
    <definedName name="IF4CurCat">'Input Factors'!$K$110</definedName>
    <definedName name="IF4FutBase">'Input Factors'!$G$114</definedName>
    <definedName name="IF4FutCat">'Input Factors'!$K$113</definedName>
    <definedName name="IF5Base">'Input Factors'!$G$174</definedName>
    <definedName name="IF5Cat">'Input Factors'!$A$173</definedName>
    <definedName name="IF5Sub">'Input Factors'!$G$176</definedName>
    <definedName name="IF5Surf">'Input Factors'!$G$175</definedName>
    <definedName name="IF6Alt1Base">'Input Factors'!$G$199</definedName>
    <definedName name="IF6Alt1Cat">'Input Factors'!$K$197</definedName>
    <definedName name="IF6Alt1Sub">'Input Factors'!$G$201</definedName>
    <definedName name="IF6Alt1Surf">'Input Factors'!$G$200</definedName>
    <definedName name="IF6Alt2Base">'Input Factors'!$G$208</definedName>
    <definedName name="IF6Alt2Cat">'Input Factors'!$K$206</definedName>
    <definedName name="IF6Alt2Sub">'Input Factors'!$G$210</definedName>
    <definedName name="IF6Alt2Surf">'Input Factors'!$G$209</definedName>
    <definedName name="IF6Alt3Base">'Input Factors'!$G$217</definedName>
    <definedName name="IF6Alt3Cat">'Input Factors'!$K$215</definedName>
    <definedName name="IF6Alt3Sub">'Input Factors'!$G$219</definedName>
    <definedName name="IF6Alt3Surf">'Input Factors'!$G$218</definedName>
    <definedName name="IF6Alt4Base">'Input Factors'!$G$226</definedName>
    <definedName name="IF6Alt4Cat">'Input Factors'!$K$224</definedName>
    <definedName name="IF6Alt4Sub">'Input Factors'!$G$228</definedName>
    <definedName name="IF6Alt4Surf">'Input Factors'!$G$227</definedName>
    <definedName name="IF6Alt5Base">'Input Factors'!$G$235</definedName>
    <definedName name="IF6Alt5Cat">'Input Factors'!$K$233</definedName>
    <definedName name="IF6Alt5Sub">'Input Factors'!$G$237</definedName>
    <definedName name="IF6Alt5Surf">'Input Factors'!$G$236</definedName>
    <definedName name="IF6Alt6Base">'Input Factors'!$G$244</definedName>
    <definedName name="IF6Alt6Cat">'Input Factors'!$K$242</definedName>
    <definedName name="IF6Alt6Sub">'Input Factors'!$G$246</definedName>
    <definedName name="IF6Alt6Surf">'Input Factors'!$G$245</definedName>
    <definedName name="IF6CurBase">'Input Factors'!$G$189</definedName>
    <definedName name="IF6CurCat">'Input Factors'!$K$189</definedName>
    <definedName name="IF6FutBase">'Input Factors'!$G$192</definedName>
    <definedName name="IF6FutCat">'Input Factors'!$K$192</definedName>
    <definedName name="IF7Base">'Input Factors'!$G$256</definedName>
    <definedName name="IF7Cat">'Input Factors'!$B$252</definedName>
    <definedName name="IF7Sub">'Input Factors'!$G$258</definedName>
    <definedName name="IF7Surf">'Input Factors'!$G$257</definedName>
    <definedName name="IF8Base">'Input Factors'!$G$284</definedName>
    <definedName name="IF8Cat">'Input Factors'!$B$276</definedName>
    <definedName name="IF8Sub">'Input Factors'!$G$286</definedName>
    <definedName name="IF8Surf">'Input Factors'!$G$285</definedName>
    <definedName name="IF9Base">'Input Factors'!$G$294</definedName>
    <definedName name="IF9Cat">'Input Factors'!$K$292</definedName>
    <definedName name="IF9Sub">'Input Factors'!$G$296</definedName>
    <definedName name="IF9Surf">'Input Factors'!$G$295</definedName>
    <definedName name="MECAmount">'Validation Tables'!$B$21:$B$29</definedName>
    <definedName name="MECCleanupScope">'Validation Tables'!$B$76:$B$78</definedName>
    <definedName name="MECList">'Munitions, Bulk Explosive Info'!$Q$6:$Q$25</definedName>
    <definedName name="Migration">'Validation Tables'!$B$34:$B$35</definedName>
    <definedName name="MunSizeUnits">'Validation Tables'!$B$70:$B$73</definedName>
    <definedName name="PlannedFutureUse">'Summary Info'!$E$31</definedName>
    <definedName name="_xlnm.Print_Area" localSheetId="9">'Scoring Summaries'!$A$1:$D$136</definedName>
    <definedName name="RefList">'Summary Info'!$B$12:$B$23</definedName>
    <definedName name="ScoringColumn">'Validation Tables'!$B$60:$C$63</definedName>
    <definedName name="ScoringNames">'Validation Tables'!$B$61:$B$63</definedName>
    <definedName name="Size">'Validation Tables'!$B$42:$B$43</definedName>
    <definedName name="SmallLargeList">'Validation Tables'!$D$66:$D$67</definedName>
    <definedName name="SummaryC1Choices">'Validation Tables'!$B$81:$B$83</definedName>
    <definedName name="Taccessibility">'Validation Tables'!$B$13:$E$16</definedName>
    <definedName name="Tclassification">'Validation Tables'!$B$36:$E$41</definedName>
    <definedName name="Tcontacthours">'Validation Tables'!$B$17:$E$20</definedName>
    <definedName name="Tdepth">'Validation Tables'!$B$30:$E$33</definedName>
    <definedName name="Tdistance">'Validation Tables'!$B$11:$E$12</definedName>
    <definedName name="Tenergetics">'Validation Tables'!$B$5:$E$10</definedName>
    <definedName name="TMECamount">'Validation Tables'!$B$21:$E$29</definedName>
    <definedName name="Tmigration">'Validation Tables'!$B$34:$E$35</definedName>
    <definedName name="Tsize">'Validation Tables'!$B$42:$E$43</definedName>
    <definedName name="YesNo">'Validation Tables'!#REF!</definedName>
    <definedName name="YesNoList">'Validation Tables'!$B$66:$B$67</definedName>
    <definedName name="YesNoUNKList">'Validation Tables'!$C$66:$C$68</definedName>
  </definedNames>
  <calcPr fullCalcOnLoad="1"/>
</workbook>
</file>

<file path=xl/comments2.xml><?xml version="1.0" encoding="utf-8"?>
<comments xmlns="http://schemas.openxmlformats.org/spreadsheetml/2006/main">
  <authors>
    <author>Employee-010585</author>
  </authors>
  <commentList>
    <comment ref="A11" authorId="0">
      <text>
        <r>
          <rPr>
            <b/>
            <sz val="10"/>
            <rFont val="Tahoma"/>
            <family val="0"/>
          </rPr>
          <t>The rows in this table have been numbered for reference purposes.</t>
        </r>
      </text>
    </comment>
    <comment ref="A48" authorId="0">
      <text>
        <r>
          <rPr>
            <b/>
            <sz val="10"/>
            <rFont val="Tahoma"/>
            <family val="0"/>
          </rPr>
          <t xml:space="preserve">Maps should contain the following information:
</t>
        </r>
        <r>
          <rPr>
            <b/>
            <sz val="10"/>
            <rFont val="Arial"/>
            <family val="0"/>
          </rPr>
          <t>∙ Boundary of the area to be assessed
∙ Location of facilities or features where people congregate that are within the MRS or within 4,000 feet of the boundary of the MRS
∙ Location of physical barriers to access (e.g., fences, guards, natural features) that are not on the topographic map
∙ Topography of the site
∙ Location of cultural or ecological resources or critical infrastructure that are within the MRS or within 4,000 feet of the boundary of the MRS
∙ Location of areas that may have factors that potentially affect migration of MEC, such as tidal zones</t>
        </r>
      </text>
    </comment>
  </commentList>
</comments>
</file>

<file path=xl/comments3.xml><?xml version="1.0" encoding="utf-8"?>
<comments xmlns="http://schemas.openxmlformats.org/spreadsheetml/2006/main">
  <authors>
    <author>Employee-010585</author>
  </authors>
  <commentList>
    <comment ref="A5" authorId="0">
      <text>
        <r>
          <rPr>
            <b/>
            <sz val="10"/>
            <rFont val="Tahoma"/>
            <family val="0"/>
          </rPr>
          <t>The rows in this table have been numbered for reference purposes.</t>
        </r>
      </text>
    </comment>
    <comment ref="E5" authorId="0">
      <text>
        <r>
          <rPr>
            <b/>
            <sz val="10"/>
            <rFont val="Tahoma"/>
            <family val="0"/>
          </rPr>
          <t>Enter the Mark/Mod (if available) of the most hazardous munition within the site of this type and size.</t>
        </r>
      </text>
    </comment>
    <comment ref="F5" authorId="0">
      <text>
        <r>
          <rPr>
            <b/>
            <sz val="10"/>
            <rFont val="Tahoma"/>
            <family val="0"/>
          </rPr>
          <t>Only enter "low explosive" if it is filler for a low-explosive filled fragmenting round.  If low explosive is used as a spotting charge, enter "Spotting Charge" for the filler type.</t>
        </r>
      </text>
    </comment>
    <comment ref="H5" authorId="0">
      <text>
        <r>
          <rPr>
            <b/>
            <sz val="10"/>
            <rFont val="Tahoma"/>
            <family val="0"/>
          </rPr>
          <t xml:space="preserve">Do not enter anything if the munition is not fuzed.  If fuzed and the fuze type is unknown, enter "UNK".  Fuze types are:
Impact
 </t>
        </r>
        <r>
          <rPr>
            <b/>
            <sz val="10"/>
            <rFont val="Arial"/>
            <family val="0"/>
          </rPr>
          <t xml:space="preserve">∙ </t>
        </r>
        <r>
          <rPr>
            <b/>
            <sz val="10"/>
            <rFont val="Tahoma"/>
            <family val="0"/>
          </rPr>
          <t>point detonating (PD)
 ∙ base detonating (BD)
 ∙ point initiating base detonating (PIBD)
 ∙ delay (short or long)
Graze
Time
 ∙ pyrotechnic time (PT)
 ∙ mechanical time (MT)
 ∙ electric time (ET)
 ∙ self-destruction (SD)
Proximity
Pressure
 ∙ Hydrostatic
 ∙ Barometric</t>
        </r>
      </text>
    </comment>
    <comment ref="L5" authorId="0">
      <text>
        <r>
          <rPr>
            <b/>
            <sz val="10"/>
            <rFont val="Tahoma"/>
            <family val="0"/>
          </rPr>
          <t>Any general comments you wish to make.</t>
        </r>
      </text>
    </comment>
    <comment ref="I5" authorId="0">
      <text>
        <r>
          <rPr>
            <b/>
            <sz val="10"/>
            <rFont val="Tahoma"/>
            <family val="0"/>
          </rPr>
          <t>If the item is fuzed, indicate whether or not the fuze has been armed.  If the fuze condition is not known, enter UNK.  If an item has been fired (e.g., the source area type is Target Area), it can be assumed that its fuze has been armed.  If the source type is Firing Point or Storage, it can be assumed that the fuze has not been armed.</t>
        </r>
      </text>
    </comment>
    <comment ref="J5" authorId="0">
      <text>
        <r>
          <rPr>
            <b/>
            <sz val="10"/>
            <rFont val="Tahoma"/>
            <family val="0"/>
          </rPr>
          <t>Enter "0" if the munition is known or suspected to be located on the ground surface.  If the munition is known or suspected to be located only subsurface, enter the minimum depth (in feet) at which the munition is located.</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 ref="C31" authorId="0">
      <text>
        <r>
          <rPr>
            <b/>
            <sz val="10"/>
            <rFont val="Tahoma"/>
            <family val="0"/>
          </rPr>
          <t>Any general comments you wish to make.</t>
        </r>
      </text>
    </comment>
    <comment ref="B31" authorId="0">
      <text>
        <r>
          <rPr>
            <b/>
            <sz val="10"/>
            <rFont val="Tahoma"/>
            <family val="0"/>
          </rPr>
          <t>Enter type of bulk explosive (e.g., TNT, RDX).</t>
        </r>
      </text>
    </comment>
    <comment ref="A31" authorId="0">
      <text>
        <r>
          <rPr>
            <b/>
            <sz val="10"/>
            <rFont val="Tahoma"/>
            <family val="0"/>
          </rPr>
          <t>The rows in this table have been numbered for reference purposes.</t>
        </r>
      </text>
    </comment>
    <comment ref="C5" authorId="0">
      <text>
        <r>
          <rPr>
            <b/>
            <sz val="10"/>
            <rFont val="Tahoma"/>
            <family val="0"/>
          </rPr>
          <t>Enter the munitions size.  Units go in the next column.  Many munitions are sized by diameter (in millimeters or inches); bombs are usually sized by weight (pounds).  Enter '0' if munition type is Fuze.</t>
        </r>
      </text>
    </comment>
    <comment ref="D5" authorId="0">
      <text>
        <r>
          <rPr>
            <b/>
            <sz val="10"/>
            <rFont val="Tahoma"/>
            <family val="0"/>
          </rPr>
          <t>Enter the units for the Munition Size.  Many munitions are sized by diameter (in millimeters or inches); bombs are usually sized by weight (pounds).</t>
        </r>
      </text>
    </comment>
  </commentList>
</comments>
</file>

<file path=xl/comments4.xml><?xml version="1.0" encoding="utf-8"?>
<comments xmlns="http://schemas.openxmlformats.org/spreadsheetml/2006/main">
  <authors>
    <author>Employee-010585</author>
  </authors>
  <commentList>
    <comment ref="A5" authorId="0">
      <text>
        <r>
          <rPr>
            <b/>
            <sz val="10"/>
            <rFont val="Tahoma"/>
            <family val="0"/>
          </rPr>
          <t>The rows in this table have been numbered for reference purposes.</t>
        </r>
      </text>
    </comment>
    <comment ref="B5" authorId="0">
      <text>
        <r>
          <rPr>
            <b/>
            <sz val="10"/>
            <rFont val="Tahoma"/>
            <family val="0"/>
          </rPr>
          <t xml:space="preserve">List the specific land use activities that are currently taking place at the site.  </t>
        </r>
      </text>
    </comment>
    <comment ref="C5" authorId="0">
      <text>
        <r>
          <rPr>
            <b/>
            <sz val="10"/>
            <rFont val="Tahoma"/>
            <family val="0"/>
          </rPr>
          <t>List the number of people that currently participate in the activity.</t>
        </r>
      </text>
    </comment>
    <comment ref="D5"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the hours during which contact with MEC is possible.</t>
        </r>
      </text>
    </comment>
    <comment ref="F5" authorId="0">
      <text>
        <r>
          <rPr>
            <b/>
            <sz val="10"/>
            <rFont val="Tahoma"/>
            <family val="0"/>
          </rPr>
          <t xml:space="preserve">Estimate the maximum intrusive depth of the activity.  If there is no intrusive component associated with the activity, enter "0". </t>
        </r>
      </text>
    </comment>
    <comment ref="A25" authorId="0">
      <text>
        <r>
          <rPr>
            <b/>
            <sz val="10"/>
            <rFont val="Tahoma"/>
            <family val="0"/>
          </rPr>
          <t>The rows in this table have been numbered for reference purposes.</t>
        </r>
      </text>
    </comment>
    <comment ref="B25" authorId="0">
      <text>
        <r>
          <rPr>
            <b/>
            <sz val="10"/>
            <rFont val="Tahoma"/>
            <family val="0"/>
          </rPr>
          <t xml:space="preserve">List the specific land use activities that are planned for the site.  </t>
        </r>
      </text>
    </comment>
    <comment ref="C25" authorId="0">
      <text>
        <r>
          <rPr>
            <b/>
            <sz val="10"/>
            <rFont val="Tahoma"/>
            <family val="0"/>
          </rPr>
          <t>List the number of people that are anticipated to participate in the activity.</t>
        </r>
      </text>
    </comment>
    <comment ref="D25"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25" authorId="0">
      <text>
        <r>
          <rPr>
            <b/>
            <sz val="10"/>
            <rFont val="Tahoma"/>
            <family val="0"/>
          </rPr>
          <t xml:space="preserve">Estimate the maximum intrusive depth of the activity.  If there is no intrusive component associated with the activity, enter "0". </t>
        </r>
      </text>
    </comment>
    <comment ref="G5" authorId="0">
      <text>
        <r>
          <rPr>
            <b/>
            <sz val="10"/>
            <rFont val="Tahoma"/>
            <family val="0"/>
          </rPr>
          <t>Any general comments you wish to make.</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List>
</comments>
</file>

<file path=xl/comments5.xml><?xml version="1.0" encoding="utf-8"?>
<comments xmlns="http://schemas.openxmlformats.org/spreadsheetml/2006/main">
  <authors>
    <author>Employee-010585</author>
  </authors>
  <commentList>
    <comment ref="A5" authorId="0">
      <text>
        <r>
          <rPr>
            <b/>
            <sz val="10"/>
            <rFont val="Tahoma"/>
            <family val="0"/>
          </rPr>
          <t>Each response alternative (which may include both cleanup actions and land use controls) should be placed on separate rows.</t>
        </r>
      </text>
    </comment>
    <comment ref="B5" authorId="0">
      <text>
        <r>
          <rPr>
            <b/>
            <sz val="10"/>
            <rFont val="Tahoma"/>
            <family val="0"/>
          </rPr>
          <t>Describe the response action, including the planned cleanup and LUCs.</t>
        </r>
      </text>
    </comment>
    <comment ref="C5" authorId="0">
      <text>
        <r>
          <rPr>
            <b/>
            <sz val="10"/>
            <rFont val="Tahoma"/>
            <family val="0"/>
          </rPr>
          <t>Enter the minimum depth of the MEC that is expected after the response action.  If the response action does not include MEC cleanup, this depth can be described as surface, or feet below ground surface.</t>
        </r>
      </text>
    </comment>
    <comment ref="D5" authorId="0">
      <text>
        <r>
          <rPr>
            <b/>
            <sz val="10"/>
            <rFont val="Tahoma"/>
            <family val="0"/>
          </rPr>
          <t>Describe the site accessibility resulting from the response action.  This may be the same as the current or planned future conditions or it may change due to the imposition of LUCs.  Choices are:
Full Accessibility: No barriers to entry, or only signage.
Moderate Accessibility: Some barriers to entry, such as barbed wire fencing or rough terrain
Limited Accesibility: Significant barriers to entry, such as unguarded chain link fence or requirements for special transportation to reach the site.
Very Limited Accessibility: A site with guarded chain link fence or terrain that requires special equipment and skills (e.g., rock climbing) to access.</t>
        </r>
      </text>
    </comment>
    <comment ref="G5" authorId="0">
      <text>
        <r>
          <rPr>
            <b/>
            <sz val="10"/>
            <rFont val="Tahoma"/>
            <family val="0"/>
          </rPr>
          <t>Any general comments you wish to make.</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List>
</comments>
</file>

<file path=xl/comments6.xml><?xml version="1.0" encoding="utf-8"?>
<comments xmlns="http://schemas.openxmlformats.org/spreadsheetml/2006/main">
  <authors>
    <author>Employee-010585</author>
  </authors>
  <commentList>
    <comment ref="A7" authorId="0">
      <text>
        <r>
          <rPr>
            <b/>
            <sz val="10"/>
            <rFont val="Tahoma"/>
            <family val="0"/>
          </rPr>
          <t>The rows in this table have been numbered for reference purposes.</t>
        </r>
      </text>
    </comment>
    <comment ref="B7" authorId="0">
      <text>
        <r>
          <rPr>
            <b/>
            <sz val="10"/>
            <rFont val="Tahoma"/>
            <family val="0"/>
          </rPr>
          <t>List the specific land use activities that will take place as a result of a response alternative.</t>
        </r>
      </text>
    </comment>
    <comment ref="C7" authorId="0">
      <text>
        <r>
          <rPr>
            <b/>
            <sz val="10"/>
            <rFont val="Tahoma"/>
            <family val="0"/>
          </rPr>
          <t>List the number of people that are anticipated to participate in the activity.</t>
        </r>
      </text>
    </comment>
    <comment ref="D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7" authorId="0">
      <text>
        <r>
          <rPr>
            <b/>
            <sz val="10"/>
            <rFont val="Tahoma"/>
            <family val="0"/>
          </rPr>
          <t xml:space="preserve">Estimate the maximum intrusive depth of the activity.  If there is no intrusive component associated with the activity, enter "0". </t>
        </r>
      </text>
    </comment>
    <comment ref="G7" authorId="0">
      <text>
        <r>
          <rPr>
            <b/>
            <sz val="10"/>
            <rFont val="Tahoma"/>
            <family val="0"/>
          </rPr>
          <t>Any general comments you wish to make.</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 ref="A27" authorId="0">
      <text>
        <r>
          <rPr>
            <b/>
            <sz val="10"/>
            <rFont val="Tahoma"/>
            <family val="0"/>
          </rPr>
          <t>The rows in this table have been numbered for reference purposes.</t>
        </r>
      </text>
    </comment>
    <comment ref="B27" authorId="0">
      <text>
        <r>
          <rPr>
            <b/>
            <sz val="10"/>
            <rFont val="Tahoma"/>
            <family val="0"/>
          </rPr>
          <t>List the specific land use activities that will take place as a result of a response alternative.</t>
        </r>
      </text>
    </comment>
    <comment ref="C27" authorId="0">
      <text>
        <r>
          <rPr>
            <b/>
            <sz val="10"/>
            <rFont val="Tahoma"/>
            <family val="0"/>
          </rPr>
          <t>List the number of people that are anticipated to participate in the activity.</t>
        </r>
      </text>
    </comment>
    <comment ref="D2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27" authorId="0">
      <text>
        <r>
          <rPr>
            <b/>
            <sz val="10"/>
            <rFont val="Tahoma"/>
            <family val="0"/>
          </rPr>
          <t xml:space="preserve">Estimate the maximum intrusive depth of the activity.  If there is no intrusive component associated with the activity, enter "0". </t>
        </r>
      </text>
    </comment>
    <comment ref="G27" authorId="0">
      <text>
        <r>
          <rPr>
            <b/>
            <sz val="10"/>
            <rFont val="Tahoma"/>
            <family val="0"/>
          </rPr>
          <t>Any general comments you wish to make.</t>
        </r>
      </text>
    </comment>
    <comment ref="A47" authorId="0">
      <text>
        <r>
          <rPr>
            <b/>
            <sz val="10"/>
            <rFont val="Tahoma"/>
            <family val="0"/>
          </rPr>
          <t>The rows in this table have been numbered for reference purposes.</t>
        </r>
      </text>
    </comment>
    <comment ref="B47" authorId="0">
      <text>
        <r>
          <rPr>
            <b/>
            <sz val="10"/>
            <rFont val="Tahoma"/>
            <family val="0"/>
          </rPr>
          <t>List the specific land use activities that will take place as a result of a response alternative.</t>
        </r>
      </text>
    </comment>
    <comment ref="C47" authorId="0">
      <text>
        <r>
          <rPr>
            <b/>
            <sz val="10"/>
            <rFont val="Tahoma"/>
            <family val="0"/>
          </rPr>
          <t>List the number of people that are anticipated to participate in the activity.</t>
        </r>
      </text>
    </comment>
    <comment ref="D4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47" authorId="0">
      <text>
        <r>
          <rPr>
            <b/>
            <sz val="10"/>
            <rFont val="Tahoma"/>
            <family val="0"/>
          </rPr>
          <t xml:space="preserve">Estimate the maximum intrusive depth of the activity.  If there is no intrusive component associated with the activity, enter "0". </t>
        </r>
      </text>
    </comment>
    <comment ref="G47" authorId="0">
      <text>
        <r>
          <rPr>
            <b/>
            <sz val="10"/>
            <rFont val="Tahoma"/>
            <family val="0"/>
          </rPr>
          <t>Any general comments you wish to make.</t>
        </r>
      </text>
    </comment>
    <comment ref="A67" authorId="0">
      <text>
        <r>
          <rPr>
            <b/>
            <sz val="10"/>
            <rFont val="Tahoma"/>
            <family val="0"/>
          </rPr>
          <t>The rows in this table have been numbered for reference purposes.</t>
        </r>
      </text>
    </comment>
    <comment ref="B67" authorId="0">
      <text>
        <r>
          <rPr>
            <b/>
            <sz val="10"/>
            <rFont val="Tahoma"/>
            <family val="0"/>
          </rPr>
          <t>List the specific land use activities that will take place as a result of a response alternative.</t>
        </r>
      </text>
    </comment>
    <comment ref="C67" authorId="0">
      <text>
        <r>
          <rPr>
            <b/>
            <sz val="10"/>
            <rFont val="Tahoma"/>
            <family val="0"/>
          </rPr>
          <t>List the number of people that are anticipated to participate in the activity.</t>
        </r>
      </text>
    </comment>
    <comment ref="D6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67" authorId="0">
      <text>
        <r>
          <rPr>
            <b/>
            <sz val="10"/>
            <rFont val="Tahoma"/>
            <family val="0"/>
          </rPr>
          <t xml:space="preserve">Estimate the maximum intrusive depth of the activity.  If there is no intrusive component associated with the activity, enter "0". </t>
        </r>
      </text>
    </comment>
    <comment ref="G67" authorId="0">
      <text>
        <r>
          <rPr>
            <b/>
            <sz val="10"/>
            <rFont val="Tahoma"/>
            <family val="0"/>
          </rPr>
          <t>Any general comments you wish to make.</t>
        </r>
      </text>
    </comment>
    <comment ref="A87" authorId="0">
      <text>
        <r>
          <rPr>
            <b/>
            <sz val="10"/>
            <rFont val="Tahoma"/>
            <family val="0"/>
          </rPr>
          <t>The rows in this table have been numbered for reference purposes.</t>
        </r>
      </text>
    </comment>
    <comment ref="B87" authorId="0">
      <text>
        <r>
          <rPr>
            <b/>
            <sz val="10"/>
            <rFont val="Tahoma"/>
            <family val="0"/>
          </rPr>
          <t>List the specific land use activities that will take place as a result of a response alternative.</t>
        </r>
      </text>
    </comment>
    <comment ref="C87" authorId="0">
      <text>
        <r>
          <rPr>
            <b/>
            <sz val="10"/>
            <rFont val="Tahoma"/>
            <family val="0"/>
          </rPr>
          <t>List the number of people that are anticipated to participate in the activity.</t>
        </r>
      </text>
    </comment>
    <comment ref="D8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87" authorId="0">
      <text>
        <r>
          <rPr>
            <b/>
            <sz val="10"/>
            <rFont val="Tahoma"/>
            <family val="0"/>
          </rPr>
          <t xml:space="preserve">Estimate the maximum intrusive depth of the activity.  If there is no intrusive component associated with the activity, enter "0". </t>
        </r>
      </text>
    </comment>
    <comment ref="G87" authorId="0">
      <text>
        <r>
          <rPr>
            <b/>
            <sz val="10"/>
            <rFont val="Tahoma"/>
            <family val="0"/>
          </rPr>
          <t>Any general comments you wish to make.</t>
        </r>
      </text>
    </comment>
    <comment ref="A107" authorId="0">
      <text>
        <r>
          <rPr>
            <b/>
            <sz val="10"/>
            <rFont val="Tahoma"/>
            <family val="0"/>
          </rPr>
          <t>The rows in this table have been numbered for reference purposes.</t>
        </r>
      </text>
    </comment>
    <comment ref="B107" authorId="0">
      <text>
        <r>
          <rPr>
            <b/>
            <sz val="10"/>
            <rFont val="Tahoma"/>
            <family val="0"/>
          </rPr>
          <t>List the specific land use activities that will take place as a result of a response alternative.</t>
        </r>
      </text>
    </comment>
    <comment ref="C107" authorId="0">
      <text>
        <r>
          <rPr>
            <b/>
            <sz val="10"/>
            <rFont val="Tahoma"/>
            <family val="0"/>
          </rPr>
          <t>List the number of people that are anticipated to participate in the activity.</t>
        </r>
      </text>
    </comment>
    <comment ref="D10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107" authorId="0">
      <text>
        <r>
          <rPr>
            <b/>
            <sz val="10"/>
            <rFont val="Tahoma"/>
            <family val="0"/>
          </rPr>
          <t xml:space="preserve">Estimate the maximum intrusive depth of the activity.  If there is no intrusive component associated with the activity, enter "0". </t>
        </r>
      </text>
    </comment>
    <comment ref="G107" authorId="0">
      <text>
        <r>
          <rPr>
            <b/>
            <sz val="10"/>
            <rFont val="Tahoma"/>
            <family val="0"/>
          </rPr>
          <t>Any general comments you wish to make.</t>
        </r>
      </text>
    </comment>
  </commentList>
</comments>
</file>

<file path=xl/comments7.xml><?xml version="1.0" encoding="utf-8"?>
<comments xmlns="http://schemas.openxmlformats.org/spreadsheetml/2006/main">
  <authors>
    <author>Employee-010585</author>
  </authors>
  <commentList>
    <comment ref="I4" authorId="0">
      <text>
        <r>
          <rPr>
            <b/>
            <sz val="10"/>
            <rFont val="Tahoma"/>
            <family val="0"/>
          </rPr>
          <t>Any general comments you wish to make.</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List>
</comments>
</file>

<file path=xl/sharedStrings.xml><?xml version="1.0" encoding="utf-8"?>
<sst xmlns="http://schemas.openxmlformats.org/spreadsheetml/2006/main" count="751" uniqueCount="315">
  <si>
    <t>Score</t>
  </si>
  <si>
    <t>Distance of Additional Potential Receptors to Explosive Hazard Category</t>
  </si>
  <si>
    <t>White Phosphorus</t>
  </si>
  <si>
    <t>Propellant</t>
  </si>
  <si>
    <t>Spotting Charge</t>
  </si>
  <si>
    <t>Incendiary</t>
  </si>
  <si>
    <t xml:space="preserve">Energetic Material Type </t>
  </si>
  <si>
    <t>Moderate Accessibility</t>
  </si>
  <si>
    <t>Limited Accessibility</t>
  </si>
  <si>
    <t>Very Limited Accessibility</t>
  </si>
  <si>
    <t xml:space="preserve">Site Accessibility </t>
  </si>
  <si>
    <t>Many Hours</t>
  </si>
  <si>
    <t>Some Hours</t>
  </si>
  <si>
    <t>Few Hours</t>
  </si>
  <si>
    <t>Very Few Hours</t>
  </si>
  <si>
    <t xml:space="preserve">Potential Contact Hours </t>
  </si>
  <si>
    <t>Target Area</t>
  </si>
  <si>
    <t>OB/OD Area</t>
  </si>
  <si>
    <t>Burial Pit</t>
  </si>
  <si>
    <t>Maneuver Areas</t>
  </si>
  <si>
    <t>Firing Points</t>
  </si>
  <si>
    <t>Storage</t>
  </si>
  <si>
    <t>Explosive-Related Industrial Facility</t>
  </si>
  <si>
    <t xml:space="preserve">Amount of MEC </t>
  </si>
  <si>
    <t xml:space="preserve">Minimum MEC Depth Relative to the Maximum Receptor Intrusive Depth </t>
  </si>
  <si>
    <t>Possible</t>
  </si>
  <si>
    <t>Unlikely</t>
  </si>
  <si>
    <t xml:space="preserve">Migration Potential </t>
  </si>
  <si>
    <t>UXO, Special Case</t>
  </si>
  <si>
    <t>UXO</t>
  </si>
  <si>
    <t>DMM with category 1 fuzes</t>
  </si>
  <si>
    <t>DMM with category 2 fuzes.</t>
  </si>
  <si>
    <t>Unfuzed DMM</t>
  </si>
  <si>
    <t>Bulk Explosives</t>
  </si>
  <si>
    <t xml:space="preserve">MEC Classification </t>
  </si>
  <si>
    <t>Small</t>
  </si>
  <si>
    <t>Large</t>
  </si>
  <si>
    <t xml:space="preserve">MEC Size </t>
  </si>
  <si>
    <t>Input Factor</t>
  </si>
  <si>
    <t>Input Factor Category</t>
  </si>
  <si>
    <t>Total Score</t>
  </si>
  <si>
    <t>a.  Scoring Summary for Current Use Activities</t>
  </si>
  <si>
    <t>Output Category</t>
  </si>
  <si>
    <t>Maximum</t>
  </si>
  <si>
    <t>Minimum</t>
  </si>
  <si>
    <t>b.  Scoring Summary for Future Use Activities</t>
  </si>
  <si>
    <t>Scoring Table</t>
  </si>
  <si>
    <t>Output Category Table</t>
  </si>
  <si>
    <t>No Response Action</t>
  </si>
  <si>
    <t>Site ID:</t>
  </si>
  <si>
    <t>Date:</t>
  </si>
  <si>
    <t>a.  Current Use Activities</t>
  </si>
  <si>
    <t>b.  Future Use Activities</t>
  </si>
  <si>
    <t>Yes</t>
  </si>
  <si>
    <t>No</t>
  </si>
  <si>
    <t>Characteristics of the MRS</t>
  </si>
  <si>
    <t>Baseline Conditions:</t>
  </si>
  <si>
    <t>feet</t>
  </si>
  <si>
    <t>Item No.</t>
  </si>
  <si>
    <t>Munition Type (e.g., mortar, projectile, etc.)</t>
  </si>
  <si>
    <t>Munition Size</t>
  </si>
  <si>
    <t>Mark/ Model</t>
  </si>
  <si>
    <t>Filler Type</t>
  </si>
  <si>
    <t>Is Munition Fuzed?</t>
  </si>
  <si>
    <t>Minimum Depth for Munition (ft)</t>
  </si>
  <si>
    <t>Activity</t>
  </si>
  <si>
    <t>Number of people per year who participate in the activity</t>
  </si>
  <si>
    <t>Number of hours a single person spends on the activity</t>
  </si>
  <si>
    <t>Maximum intrusive depth at site (ft):</t>
  </si>
  <si>
    <t>Comments</t>
  </si>
  <si>
    <t>Location of Munitions</t>
  </si>
  <si>
    <t>Fuzing Type</t>
  </si>
  <si>
    <t>Fuze Condition</t>
  </si>
  <si>
    <t>Explosive Type</t>
  </si>
  <si>
    <t>Response Action No.</t>
  </si>
  <si>
    <t>Response Action Description</t>
  </si>
  <si>
    <t>Expected Resulting Minimum MEC Depth (ft)</t>
  </si>
  <si>
    <t>Expected Resulting Site Accessibility</t>
  </si>
  <si>
    <t>Will land use activities change if this response action is implemented?</t>
  </si>
  <si>
    <t>Activity No.</t>
  </si>
  <si>
    <t>Maximum intrusive depth (ft)</t>
  </si>
  <si>
    <t>Baseline Conditions</t>
  </si>
  <si>
    <t>MEC HA Summary Information</t>
  </si>
  <si>
    <t>Please identify the single specific area to be assessed in this hazard assessment.  From this point forward, all references to "site" or "MRS" refer to the specific area that you have defined.</t>
  </si>
  <si>
    <t>A.  Enter a unique identifier for the site:</t>
  </si>
  <si>
    <t>Ref. No.</t>
  </si>
  <si>
    <t>B. Briefly describe the site:</t>
  </si>
  <si>
    <t>1.  Area (include units):</t>
  </si>
  <si>
    <t>2.  Past munitions-related use:</t>
  </si>
  <si>
    <t>3.  Current land-use activities (list all that occur):</t>
  </si>
  <si>
    <t>4.  Are changes to the future land-use planned?</t>
  </si>
  <si>
    <t>5.  What is the basis for the site boundaries?</t>
  </si>
  <si>
    <t>6.  How certain are the site boundaries?</t>
  </si>
  <si>
    <t>C.  Historical Clearances</t>
  </si>
  <si>
    <t>1.  Have there been any historical clearances at the site?</t>
  </si>
  <si>
    <t>2.  If a clearance occurred:</t>
  </si>
  <si>
    <t>a.  What year was the clearance performed?</t>
  </si>
  <si>
    <t>b.  Provide a description of the clearance activity (e.g., extent, depth, amount of munitions-related items removed, types and sizes of removed items, and whether metal detectors were used):</t>
  </si>
  <si>
    <t>receptor hrs/yr</t>
  </si>
  <si>
    <t>1.  What is the Explosive Safety Quantity Distance (ESQD) from the Explosive Siting Plan or the Explosive Safety Submission for the MRS?</t>
  </si>
  <si>
    <t>Some barriers to entry, such as barbed wire fencing or rough terrain</t>
  </si>
  <si>
    <t>Significant barriers to entry, such as unguarded chain link fence or requirements for special transportation to reach the site</t>
  </si>
  <si>
    <t>Description</t>
  </si>
  <si>
    <t>≥1,000,000 receptor-hrs/yr</t>
  </si>
  <si>
    <t>10,000 to 99,999 receptor-hrs/yr</t>
  </si>
  <si>
    <t>&lt;10,000 receptor-hrs/yr</t>
  </si>
  <si>
    <t>Full Accessibility</t>
  </si>
  <si>
    <t>Safety Buffer Areas</t>
  </si>
  <si>
    <t>Areas at which munitions fire was directed</t>
  </si>
  <si>
    <t>The location of a burial of large quantities of MEC items.</t>
  </si>
  <si>
    <t>Areas used for conducting military exercises in a simulated conflict area or war zone</t>
  </si>
  <si>
    <t>Areas outside of target areas, test ranges, or OB/OD areas that were designed to act as a safety zone to contain munitions that do not hit targets or to contain kick-outs from OB/OD areas.</t>
  </si>
  <si>
    <t>Any facility used for the storage of military munitions, such as earth-covered magazines, above-ground magazines, and open-air storage areas.</t>
  </si>
  <si>
    <t>ft</t>
  </si>
  <si>
    <t>N/A</t>
  </si>
  <si>
    <t>∙ Submunitions</t>
  </si>
  <si>
    <t>∙ Munitions with white phosphorus filler</t>
  </si>
  <si>
    <t>∙ High explosive anti-tank (HEAT) rounds</t>
  </si>
  <si>
    <t>∙ Hand grenades</t>
  </si>
  <si>
    <t>∙ Mortars</t>
  </si>
  <si>
    <t>3.  Please describe the facility or feature.</t>
  </si>
  <si>
    <t>6.  Please describe the facility or feature.</t>
  </si>
  <si>
    <t>Potential Contact Time (receptor hours/year)</t>
  </si>
  <si>
    <t>Total Potential Contact Time (receptor hrs/yr):</t>
  </si>
  <si>
    <t>The following table is used to determine scores associated with the energetic materials.  Materials are listed in order from most hazardous to least hazardous.</t>
  </si>
  <si>
    <t>The following table is used to determine scores associated with site accessibility:</t>
  </si>
  <si>
    <t>The following table is used to determine scores associated with the total potential contact time:</t>
  </si>
  <si>
    <t>The following table is used to determine scores associated with the Amount of MEC:</t>
  </si>
  <si>
    <t>The following table is used to determine scores associated with the migration potential:</t>
  </si>
  <si>
    <t>The following table is used to determine scores associated with MEC classification categories:</t>
  </si>
  <si>
    <t>The following table is used to determine scores associated with MEC Size:</t>
  </si>
  <si>
    <t>inches</t>
  </si>
  <si>
    <t>mm</t>
  </si>
  <si>
    <t>Munitions Size Unit</t>
  </si>
  <si>
    <t>lb</t>
  </si>
  <si>
    <t>Reference(s) for table above:</t>
  </si>
  <si>
    <t>Title (include version, publication date)</t>
  </si>
  <si>
    <t>D.  Attach maps of the site below (select 'Insert/Picture' on the menu bar.)</t>
  </si>
  <si>
    <t>Reference(s) for Part B:</t>
  </si>
  <si>
    <t>Reference(s) for Part C:</t>
  </si>
  <si>
    <t>Comments (include rationale for munitions that are "subsurface only")</t>
  </si>
  <si>
    <t>Multiply by __ to get mm.  Anything measured in terms of weight is assumed to be a bomb and very big.</t>
  </si>
  <si>
    <t>Overview</t>
  </si>
  <si>
    <t>Instructions</t>
  </si>
  <si>
    <t>If "yes", describe the nature of natural forces.  Indicate key areas of potential migration (e.g., overland water flow) on a map as appropriate (attach a map to the bottom of this sheet, or as a separate worksheet).</t>
  </si>
  <si>
    <t>DO NOT EDIT.  Information from this sheet is used in calculations.</t>
  </si>
  <si>
    <t>Summary Info C.1. Choices</t>
  </si>
  <si>
    <t>No, none</t>
  </si>
  <si>
    <t>Yes, surface clearance</t>
  </si>
  <si>
    <t>Yes, subsurface clearance</t>
  </si>
  <si>
    <t>Data Table 1</t>
  </si>
  <si>
    <t>Munition Type</t>
  </si>
  <si>
    <t>Rockets</t>
  </si>
  <si>
    <t>Guided and Ballistic Missiles</t>
  </si>
  <si>
    <t>Bombs</t>
  </si>
  <si>
    <t>Cluster Munitions and Dispensers</t>
  </si>
  <si>
    <t>Submunitions</t>
  </si>
  <si>
    <t>Warhead</t>
  </si>
  <si>
    <t>Artillery</t>
  </si>
  <si>
    <t>Mortars</t>
  </si>
  <si>
    <t>Grenades</t>
  </si>
  <si>
    <t>Mines:  Sea and Land</t>
  </si>
  <si>
    <t>Torpedoes</t>
  </si>
  <si>
    <t>Depth Charges</t>
  </si>
  <si>
    <t>Demolition Charges</t>
  </si>
  <si>
    <t>JATOs/RATOs</t>
  </si>
  <si>
    <t>Cartridge-actuated devices</t>
  </si>
  <si>
    <t>High Explosive</t>
  </si>
  <si>
    <t>UNK</t>
  </si>
  <si>
    <t>Impact</t>
  </si>
  <si>
    <t>Graze</t>
  </si>
  <si>
    <t>Time</t>
  </si>
  <si>
    <t>Proximity</t>
  </si>
  <si>
    <t>Pressure</t>
  </si>
  <si>
    <t>Armed</t>
  </si>
  <si>
    <t>Unarmed</t>
  </si>
  <si>
    <t>LocationOfMunitions</t>
  </si>
  <si>
    <t>Subsurface Only</t>
  </si>
  <si>
    <t>Surface and Subsurface</t>
  </si>
  <si>
    <t>DMM?</t>
  </si>
  <si>
    <t>Fuze Condition Unarmed? (1=yes, 0=no)</t>
  </si>
  <si>
    <t>Munitions Fuzed? (1=yes, 0=no)</t>
  </si>
  <si>
    <t>Current</t>
  </si>
  <si>
    <t>Future</t>
  </si>
  <si>
    <t>Reference(s) for above information:</t>
  </si>
  <si>
    <t>I. Energetic Material Type</t>
  </si>
  <si>
    <t>III. Site Accessibility</t>
  </si>
  <si>
    <t>IV. Potential Contact Hours</t>
  </si>
  <si>
    <t>V. Amount of MEC</t>
  </si>
  <si>
    <t>VI. Minimum MEC Depth Relative to Maximum Intrusive Depth</t>
  </si>
  <si>
    <t>VII. Migration Potential</t>
  </si>
  <si>
    <t>VIII. MEC Classification</t>
  </si>
  <si>
    <t>IX. MEC Size</t>
  </si>
  <si>
    <t>100,000 to 999,999 receptor hrs/yr</t>
  </si>
  <si>
    <t>For MEC List</t>
  </si>
  <si>
    <t>IF1 Score</t>
  </si>
  <si>
    <t>Hazard Order (0=least hazardous)</t>
  </si>
  <si>
    <t>Input factor category (repeated just so I can use VLOOKUP)</t>
  </si>
  <si>
    <t>Max Hazard:</t>
  </si>
  <si>
    <t>DO NOT EDIT.  Used to calculate scores.</t>
  </si>
  <si>
    <t>&lt;--the scores listed here are (hopefully) not used at all in the calculations.  Go to the input factor sheet to change any of this.</t>
  </si>
  <si>
    <t>What is the expected scope of cleanup?</t>
  </si>
  <si>
    <t>5.  Small red triangles in the upper-right corners indicate that help text is available by putting the mouse cursor on that cell.</t>
  </si>
  <si>
    <t>4.  The MEC HA menu bar can be used to navigate to different worksheets.</t>
  </si>
  <si>
    <t>1.  Open this file.  Enable macros if prompted to do so.  This spreadsheet will not work if your security setting is set to 'high' or 'very high'.  To change your security level, go to the menu bar and select Tools/Macro/Security.  Then close and reopen this spreadsheet.</t>
  </si>
  <si>
    <t>This workbook is a tool for project teams to assess explosive hazards to human receptors at munitions response sites (MRSs) following the Munitions and Explosives of Concern Hazard Assessment (MEC HA) methodology.  The MEC HA allows a project team to evaluate potential explosive hazard associated with a site, given current site conditions, under various cleanup, land use activities, and land use control alternatives.  A complete description of the methodology can be found in the MEC HA Guidance (Public Review Draft, November 2006).  Please reference this guidance when completing the worksheets.</t>
  </si>
  <si>
    <r>
      <t xml:space="preserve">3.  Starting with the </t>
    </r>
    <r>
      <rPr>
        <b/>
        <i/>
        <sz val="10"/>
        <rFont val="Tahoma"/>
        <family val="2"/>
      </rPr>
      <t>Summary Info</t>
    </r>
    <r>
      <rPr>
        <sz val="10"/>
        <rFont val="Tahoma"/>
        <family val="2"/>
      </rPr>
      <t xml:space="preserve"> sheet, fill in any yellow cells.  Some cells have drop-down lists from which you can select an answer.  Select the cell.  A down arrow to the right indicates that a drop-down list is available.  Yellow buttons can be used to enter reference information.  Blue cells can be used for any general comments you wish to make.  Any faded cells can be ignored--these are questions that the spreadsheet has determined are not relevant for your situation.
The computer will calculate information based on your inputs.  Calculated information will appear as red text.  </t>
    </r>
  </si>
  <si>
    <r>
      <t>2.  This MS Excel workbook contains 9 worksheets, designed to be used in order.  After the '</t>
    </r>
    <r>
      <rPr>
        <b/>
        <i/>
        <sz val="10"/>
        <rFont val="Tahoma"/>
        <family val="2"/>
      </rPr>
      <t>Instructions</t>
    </r>
    <r>
      <rPr>
        <sz val="10"/>
        <rFont val="Tahoma"/>
        <family val="2"/>
      </rPr>
      <t xml:space="preserve">' sheet, the first 5 sheets ask for information about the following topics:
</t>
    </r>
    <r>
      <rPr>
        <b/>
        <i/>
        <sz val="10"/>
        <rFont val="Tahoma"/>
        <family val="2"/>
      </rPr>
      <t xml:space="preserve">Summary Info - </t>
    </r>
    <r>
      <rPr>
        <sz val="10"/>
        <rFont val="Tahoma"/>
        <family val="2"/>
      </rPr>
      <t xml:space="preserve">General information regarding the site.
</t>
    </r>
    <r>
      <rPr>
        <b/>
        <i/>
        <sz val="10"/>
        <rFont val="Tahoma"/>
        <family val="2"/>
      </rPr>
      <t>Munitions/Explosive Info</t>
    </r>
    <r>
      <rPr>
        <sz val="10"/>
        <rFont val="Tahoma"/>
        <family val="2"/>
      </rPr>
      <t xml:space="preserve"> - MECs and bulk explosives present at the site.
</t>
    </r>
    <r>
      <rPr>
        <b/>
        <i/>
        <sz val="10"/>
        <rFont val="Tahoma"/>
        <family val="2"/>
      </rPr>
      <t>Current and Future Activities</t>
    </r>
    <r>
      <rPr>
        <sz val="10"/>
        <rFont val="Tahoma"/>
        <family val="2"/>
      </rPr>
      <t xml:space="preserve"> - Current land use activites as well as planned future activities, if any.
</t>
    </r>
    <r>
      <rPr>
        <b/>
        <i/>
        <sz val="10"/>
        <rFont val="Tahoma"/>
        <family val="2"/>
      </rPr>
      <t xml:space="preserve">Remedial-Removal Action </t>
    </r>
    <r>
      <rPr>
        <sz val="10"/>
        <rFont val="Tahoma"/>
        <family val="2"/>
      </rPr>
      <t xml:space="preserve">- General information regarding remediation/removal alternatives being considered for the site.
</t>
    </r>
    <r>
      <rPr>
        <b/>
        <i/>
        <sz val="10"/>
        <rFont val="Tahoma"/>
        <family val="2"/>
      </rPr>
      <t>Post-Response Land Use</t>
    </r>
    <r>
      <rPr>
        <sz val="10"/>
        <rFont val="Tahoma"/>
        <family val="2"/>
      </rPr>
      <t xml:space="preserve"> - Land use activities associated with the alternatives listed in the 'Remedial-Removal Action' sheet.
The remaining 3 sheets calculate and summarize the scores.  The </t>
    </r>
    <r>
      <rPr>
        <b/>
        <i/>
        <sz val="10"/>
        <rFont val="Tahoma"/>
        <family val="2"/>
      </rPr>
      <t>Input Factors</t>
    </r>
    <r>
      <rPr>
        <sz val="10"/>
        <rFont val="Tahoma"/>
        <family val="2"/>
      </rPr>
      <t xml:space="preserve"> sheet performs the Input Factor Score calculations, which are summarized in the </t>
    </r>
    <r>
      <rPr>
        <b/>
        <i/>
        <sz val="10"/>
        <rFont val="Tahoma"/>
        <family val="2"/>
      </rPr>
      <t>Scoring Summaries</t>
    </r>
    <r>
      <rPr>
        <sz val="10"/>
        <rFont val="Tahoma"/>
        <family val="2"/>
      </rPr>
      <t xml:space="preserve"> sheet.  The </t>
    </r>
    <r>
      <rPr>
        <b/>
        <i/>
        <sz val="10"/>
        <rFont val="Tahoma"/>
        <family val="2"/>
      </rPr>
      <t>Hazard Level</t>
    </r>
    <r>
      <rPr>
        <sz val="10"/>
        <rFont val="Tahoma"/>
        <family val="2"/>
      </rPr>
      <t xml:space="preserve"> sheet presents the Hazard Level Category for current use activities, future use activities, and each response alternative based on the respective scores.</t>
    </r>
  </si>
  <si>
    <t>Cased Munitions Information</t>
  </si>
  <si>
    <t>Energetic Material Type</t>
  </si>
  <si>
    <t>Bulk Explosive Information</t>
  </si>
  <si>
    <t>Activities Currently Occurring at the Site</t>
  </si>
  <si>
    <t>Activities Planned for the Future at the Site (If any are planned: see 'Summary Info' Worksheet, Question 4)</t>
  </si>
  <si>
    <t>Planned Remedial or Removal Actions</t>
  </si>
  <si>
    <t>This worksheet needs to be completed for each remedial/removal action alternative listed in the 'Remedial-Removal Action' worksheet that will cause a change in land use.</t>
  </si>
  <si>
    <t>High Explosive and Low Explosive Filler in Fragmenting Rounds</t>
  </si>
  <si>
    <t>2.  Are there currently any features or facilities where people may congregate within the MRS, or within the ESQD arc?</t>
  </si>
  <si>
    <t>MEC Item(s) used to calculate the ESQD for current use activities</t>
  </si>
  <si>
    <t>MEC Item(s) used to calculate the ESQD for future use activities</t>
  </si>
  <si>
    <t>Inside the MRS or inside the ESQD arc</t>
  </si>
  <si>
    <t>Outside of the ESQD arc</t>
  </si>
  <si>
    <t>The following table is used to determine scores associated with the location of additional human receptors (future use activities):</t>
  </si>
  <si>
    <t>The following table is used to determine scores associated with the location of additional human receptors (current use activities):</t>
  </si>
  <si>
    <t>No barriers to entry, including signage but no fencing</t>
  </si>
  <si>
    <t>A site with guarded chain link fence or terrain that requires special equipment and skills (e.g., rock climbing) to access</t>
  </si>
  <si>
    <t>The location from which a projectile, grenade, ground signal, rocket, guided missile, or other device is to be ignited, propelled, or released.</t>
  </si>
  <si>
    <t>Former munitions manufacturing or demilitarization sites and TNT production plants</t>
  </si>
  <si>
    <t>The table below is used to determine scores associated with the minimum MEC depth relative to the maximum intrusive depth:</t>
  </si>
  <si>
    <t>Baseline Condition: MEC located surface and subsurface, After Cleanup: Intrusive depth does not overlap with subsurface MEC.</t>
  </si>
  <si>
    <t>Baseline Condition: MEC located only subsurface.  After Cleanup: Intrusive depth overlaps with minimum MEC depth.</t>
  </si>
  <si>
    <t>Baseline Condition: MEC located only subsurface.  After Cleanup: Intrusive depth does not overlap with minimum MEC depth.</t>
  </si>
  <si>
    <t>∙ Rifle-propelled 40mm projectiles (often called 40mm grenades)</t>
  </si>
  <si>
    <t>UXO Special Case</t>
  </si>
  <si>
    <t>Fuzed DMM Special Case</t>
  </si>
  <si>
    <t>Fuzed DMM</t>
  </si>
  <si>
    <t>MEC HA Hazard Level Determination</t>
  </si>
  <si>
    <t>Hazard Level Category</t>
  </si>
  <si>
    <t>Is critical infrastructure located within the MRS or within the ESQD arc?</t>
  </si>
  <si>
    <t>Are cultural resources located within the MRS or within the ESQD arc?</t>
  </si>
  <si>
    <t>Are significant ecological resources located within the MRS or within the ESQD arc?</t>
  </si>
  <si>
    <t>II. Location of Additional Human Receptors</t>
  </si>
  <si>
    <t>No cleanup</t>
  </si>
  <si>
    <t>Surface 
cleanup</t>
  </si>
  <si>
    <t>Subsurface cleanup</t>
  </si>
  <si>
    <t>Response cleanup Options Table</t>
  </si>
  <si>
    <t>Surface cleanup</t>
  </si>
  <si>
    <t>Scope of cleanup, for Input Factor VI</t>
  </si>
  <si>
    <t>No MEC cleanup</t>
  </si>
  <si>
    <t>cleanup of MECs located on the surface only</t>
  </si>
  <si>
    <t>cleanup of MECs located both on the surface and subsurface</t>
  </si>
  <si>
    <t>Response Action Cleanup:</t>
  </si>
  <si>
    <t>Function Test Range</t>
  </si>
  <si>
    <t>Pyrotechnic</t>
  </si>
  <si>
    <t>Sites where munitions were disposed of by open burn or open detonation methods.  This category refers to the core activity area of an OB/OD area.  See the "Safety Buffer Areas" category for safety fans and kick-outs.</t>
  </si>
  <si>
    <t>All munitions weigh more than 90 lbs; too large to move without equipment</t>
  </si>
  <si>
    <t>Any munitions (from the 'Munitions, Bulk Explosive Info' Worksheet) weigh less than 90 lbs; small enough for a receptor to be able to move and initiate a detonation</t>
  </si>
  <si>
    <t>Surface Cleanup</t>
  </si>
  <si>
    <t>Subsurface Cleanup</t>
  </si>
  <si>
    <t>Surface Cleanup:</t>
  </si>
  <si>
    <t>Subsurface Cleanup:</t>
  </si>
  <si>
    <t>Provide a list of information sources used for this hazard assessment.  As you are completing the worksheets, use the "Select Ref(s)" buttons at the ends of each subsection to select the applicable information sources from the list below.</t>
  </si>
  <si>
    <t>Low Explosive Filler in a fragmenting round</t>
  </si>
  <si>
    <t>5.  Are there future plans to locate or construct features or facilities where people may congregate within the MRS, or within the ESQD arc?</t>
  </si>
  <si>
    <t>Areas where the serviceability of stored munitions or weapons systems are tested.  Testing may include components, partial functioning or complete functioning of stockpile or developmental items.</t>
  </si>
  <si>
    <t>Scoring Summary</t>
  </si>
  <si>
    <t>Baseline Condition: MEC located only subsurface.  Baseline Condition or After Cleanup: Intrusive depth overlaps with minimum MEC depth.</t>
  </si>
  <si>
    <t>Baseline Condition: MEC located only subsurface.  Baseline Condition or After Cleanup: Intrusive depth does not overlap with minimum MEC depth.</t>
  </si>
  <si>
    <t>Small (&lt;90 lbs)</t>
  </si>
  <si>
    <r>
      <t>Large (</t>
    </r>
    <r>
      <rPr>
        <sz val="10"/>
        <rFont val="Arial"/>
        <family val="0"/>
      </rPr>
      <t>≥</t>
    </r>
    <r>
      <rPr>
        <sz val="10"/>
        <rFont val="Tahoma"/>
        <family val="2"/>
      </rPr>
      <t>90 lbs)</t>
    </r>
  </si>
  <si>
    <t>Energetic Material Type Input Factor Categories</t>
  </si>
  <si>
    <t>Location of Additional Human Receptors Input Factor Categories</t>
  </si>
  <si>
    <t>Site Accessibility Input Factor Categories</t>
  </si>
  <si>
    <t>Current Use Activities</t>
  </si>
  <si>
    <t>Select the category that best describes the site accessibility under the current use scenario:</t>
  </si>
  <si>
    <t>Future Use Activities</t>
  </si>
  <si>
    <t>Select the category that best describes the site accessibility under the future use scenario:</t>
  </si>
  <si>
    <t>Potential Contact Hours Input Factor Categories</t>
  </si>
  <si>
    <r>
      <t>Current Use Activities</t>
    </r>
    <r>
      <rPr>
        <sz val="10"/>
        <rFont val="Tahoma"/>
        <family val="2"/>
      </rPr>
      <t>:</t>
    </r>
  </si>
  <si>
    <t>Input factors are only determined for baseline conditions for current use activities.  Based on the 'Current and Future Activities' Worksheet, the Total Potential Contact Time is:</t>
  </si>
  <si>
    <t>Based on the table above, this corresponds to a input factor score for baseline conditions of:</t>
  </si>
  <si>
    <r>
      <t>Future Use Activities</t>
    </r>
    <r>
      <rPr>
        <sz val="10"/>
        <rFont val="Tahoma"/>
        <family val="2"/>
      </rPr>
      <t xml:space="preserve">: </t>
    </r>
  </si>
  <si>
    <t>Input factors are only determined for baseline conditions for future use activities.  Based on the 'Current and Future Activities' Worksheet, the Total Potential Contact Time is:</t>
  </si>
  <si>
    <t>Based on the table above, this corresponds to a input factor score of:</t>
  </si>
  <si>
    <t>Based on the table above, this corresponds to input factor scores of:</t>
  </si>
  <si>
    <t>Amount of MEC Input Factor Categories</t>
  </si>
  <si>
    <r>
      <t xml:space="preserve">Select the category that best describes the </t>
    </r>
    <r>
      <rPr>
        <b/>
        <i/>
        <sz val="10"/>
        <rFont val="Tahoma"/>
        <family val="2"/>
      </rPr>
      <t xml:space="preserve">most hazardous </t>
    </r>
    <r>
      <rPr>
        <sz val="10"/>
        <rFont val="Tahoma"/>
        <family val="2"/>
      </rPr>
      <t>amount of MEC:</t>
    </r>
  </si>
  <si>
    <t>Minimum MEC Depth Relative to the Maximum Intrusive Depth Input Factor Categories</t>
  </si>
  <si>
    <t>The shallowest minimum MEC depth, based on the 'Cased Munitions Information' Worksheet:</t>
  </si>
  <si>
    <t>The deepest intrusive depth:</t>
  </si>
  <si>
    <t>Deepest intrusive depth:</t>
  </si>
  <si>
    <t>Expected minimum MEC depth (from the 'Planned Remedial or Removal Actions' Worksheet):</t>
  </si>
  <si>
    <t>Migration Potential Input Factor Categories</t>
  </si>
  <si>
    <t>Is there any physical or historical evidence that indicates it is possible for natural physical forces in the area (e.g., frost heave, erosion) to expose subsurface MEC items, or move surface or subsurface MEC items?</t>
  </si>
  <si>
    <t>MEC Classification Input Factor Categories</t>
  </si>
  <si>
    <t>Are any of the munitions listed in the 'Munitions, Bulk Explosive Info' Worksheet:</t>
  </si>
  <si>
    <t>MEC Size Input Factor Categories</t>
  </si>
  <si>
    <t>Munition Size Units</t>
  </si>
  <si>
    <t>Munitions Size in mm</t>
  </si>
  <si>
    <t>Based on the definitions above and the types of munitions at the site (see 'Munitions, Bulk Explosive Info' Worksheet), the MEC Size Input Factor is:</t>
  </si>
  <si>
    <t>Baseline Condition: MEC located surface and subsurface.  After Cleanup: Intrusive depth overlaps with subsurface MEC.</t>
  </si>
  <si>
    <t>Number of hours per year a single person spends on the activity</t>
  </si>
  <si>
    <t>Has a technical assessment shown that MEC in the OB/OD Area is DMM?</t>
  </si>
  <si>
    <t>Fuzes</t>
  </si>
  <si>
    <t>∙ Fuzes</t>
  </si>
  <si>
    <t>MEC HA Workbook v1.02</t>
  </si>
  <si>
    <t>Fuze (N/A)</t>
  </si>
  <si>
    <t>Deleted spaces after "Limited Accessibility" table entry on Input Factors sheet to correct look-up error.</t>
  </si>
  <si>
    <t>Added "Fuzes" to the list of munitions in the Validation Tables sheet.</t>
  </si>
  <si>
    <t>Sorted the munitions list alphabetically in the Validation Tables sheet.</t>
  </si>
  <si>
    <t>Added "Fuze (N/A)" to the munition size list in the Validation Tables sheet, sorted list alphabetically</t>
  </si>
  <si>
    <t>Changed comment on the munition size column in the Munitions, Bulk Explosive Info sheet to direct that 0 be entered for the munition type "Fuzes"</t>
  </si>
  <si>
    <t>Changed logic in cell A263 of the Input Factors sheet that checks for the presence of entries in the cased munitions and bulk explosives tables</t>
  </si>
  <si>
    <t>Changed Instruction sheet to read V1.02 and changed date to December 07</t>
  </si>
  <si>
    <t>From V1.01 to V1.02, changed in December 2007:</t>
  </si>
  <si>
    <t>Added this new hidden sheet to document changes.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</si>
</sst>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mmmm\-yy;@"/>
  </numFmts>
  <fonts count="29">
    <font>
      <sz val="10"/>
      <name val="Arial"/>
      <family val="0"/>
    </font>
    <font>
      <sz val="8"/>
      <name val="Arial"/>
      <family val="0"/>
    </font>
    <font>
      <u val="single"/>
      <sz val="10"/>
      <color indexed="12"/>
      <name val="Arial"/>
      <family val="0"/>
    </font>
    <font>
      <u val="single"/>
      <sz val="10"/>
      <color indexed="36"/>
      <name val="Arial"/>
      <family val="0"/>
    </font>
    <font>
      <b/>
      <sz val="10"/>
      <name val="Tahoma"/>
      <family val="0"/>
    </font>
    <font>
      <b/>
      <sz val="10"/>
      <name val="Arial"/>
      <family val="0"/>
    </font>
    <font>
      <sz val="10"/>
      <name val="Courier New"/>
      <family val="3"/>
    </font>
    <font>
      <b/>
      <sz val="12"/>
      <name val="Tahoma"/>
      <family val="2"/>
    </font>
    <font>
      <sz val="10"/>
      <name val="Tahoma"/>
      <family val="2"/>
    </font>
    <font>
      <b/>
      <i/>
      <sz val="10"/>
      <name val="Tahoma"/>
      <family val="2"/>
    </font>
    <font>
      <b/>
      <sz val="10"/>
      <color indexed="16"/>
      <name val="Tahoma"/>
      <family val="2"/>
    </font>
    <font>
      <i/>
      <sz val="10"/>
      <name val="Tahoma"/>
      <family val="2"/>
    </font>
    <font>
      <sz val="10"/>
      <name val="Courier"/>
      <family val="3"/>
    </font>
    <font>
      <sz val="10"/>
      <color indexed="9"/>
      <name val="Tahoma"/>
      <family val="2"/>
    </font>
    <font>
      <b/>
      <sz val="16"/>
      <color indexed="58"/>
      <name val="Tahoma"/>
      <family val="2"/>
    </font>
    <font>
      <b/>
      <u val="single"/>
      <sz val="14"/>
      <color indexed="56"/>
      <name val="Tahoma"/>
      <family val="2"/>
    </font>
    <font>
      <b/>
      <sz val="10"/>
      <color indexed="60"/>
      <name val="Tahoma"/>
      <family val="2"/>
    </font>
    <font>
      <b/>
      <i/>
      <sz val="11"/>
      <name val="Tahoma"/>
      <family val="2"/>
    </font>
    <font>
      <sz val="10"/>
      <color indexed="16"/>
      <name val="Tahoma"/>
      <family val="2"/>
    </font>
    <font>
      <b/>
      <sz val="10"/>
      <color indexed="9"/>
      <name val="Tahoma"/>
      <family val="2"/>
    </font>
    <font>
      <b/>
      <sz val="10"/>
      <color indexed="16"/>
      <name val="Arial"/>
      <family val="2"/>
    </font>
    <font>
      <sz val="10"/>
      <color indexed="9"/>
      <name val="Arial"/>
      <family val="2"/>
    </font>
    <font>
      <i/>
      <sz val="10"/>
      <name val="Courier New"/>
      <family val="3"/>
    </font>
    <font>
      <b/>
      <sz val="12"/>
      <color indexed="10"/>
      <name val="Tahoma"/>
      <family val="2"/>
    </font>
    <font>
      <sz val="10"/>
      <color indexed="8"/>
      <name val="Tahoma"/>
      <family val="2"/>
    </font>
    <font>
      <b/>
      <sz val="10"/>
      <color indexed="10"/>
      <name val="Tahoma"/>
      <family val="2"/>
    </font>
    <font>
      <i/>
      <sz val="10"/>
      <color indexed="9"/>
      <name val="Tahoma"/>
      <family val="2"/>
    </font>
    <font>
      <b/>
      <sz val="10"/>
      <color indexed="8"/>
      <name val="Maiandra GD"/>
      <family val="2"/>
    </font>
    <font>
      <b/>
      <sz val="8"/>
      <name val="Arial"/>
      <family val="2"/>
    </font>
  </fonts>
  <fills count="8">
    <fill>
      <patternFill/>
    </fill>
    <fill>
      <patternFill patternType="gray125"/>
    </fill>
    <fill>
      <patternFill patternType="gray125">
        <fgColor indexed="43"/>
        <bgColor indexed="43"/>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s>
  <borders count="44">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double"/>
    </border>
    <border>
      <left style="double"/>
      <right>
        <color indexed="63"/>
      </right>
      <top style="thin"/>
      <bottom style="thin"/>
    </border>
    <border>
      <left style="thin"/>
      <right style="double"/>
      <top style="thin"/>
      <bottom style="thin"/>
    </border>
    <border>
      <left style="thin"/>
      <right style="thin"/>
      <top style="thin"/>
      <bottom>
        <color indexed="63"/>
      </bottom>
    </border>
    <border>
      <left style="double"/>
      <right style="medium">
        <color indexed="10"/>
      </right>
      <top style="double"/>
      <bottom style="thin"/>
    </border>
    <border>
      <left style="medium">
        <color indexed="10"/>
      </left>
      <right style="double">
        <color indexed="10"/>
      </right>
      <top style="double">
        <color indexed="10"/>
      </top>
      <bottom style="medium">
        <color indexed="10"/>
      </bottom>
    </border>
    <border>
      <left style="double">
        <color indexed="10"/>
      </left>
      <right>
        <color indexed="63"/>
      </right>
      <top style="double"/>
      <bottom>
        <color indexed="63"/>
      </bottom>
    </border>
    <border>
      <left>
        <color indexed="63"/>
      </left>
      <right style="double"/>
      <top style="double"/>
      <bottom>
        <color indexed="63"/>
      </bottom>
    </border>
    <border>
      <left style="double"/>
      <right style="thin"/>
      <top style="thin"/>
      <bottom style="thin"/>
    </border>
    <border>
      <left style="thin"/>
      <right style="double"/>
      <top style="medium">
        <color indexed="10"/>
      </top>
      <bottom style="thin"/>
    </border>
    <border>
      <left>
        <color indexed="63"/>
      </left>
      <right style="double"/>
      <top>
        <color indexed="63"/>
      </top>
      <bottom>
        <color indexed="63"/>
      </bottom>
    </border>
    <border>
      <left>
        <color indexed="63"/>
      </left>
      <right style="double"/>
      <top style="thin"/>
      <bottom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style="double"/>
      <right style="thin"/>
      <top style="double"/>
      <bottom style="thin"/>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style="thin"/>
      <bottom style="thin"/>
    </border>
    <border>
      <left style="thin"/>
      <right style="double"/>
      <top>
        <color indexed="63"/>
      </top>
      <bottom style="thin"/>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border>
    <border>
      <left style="thin"/>
      <right>
        <color indexed="63"/>
      </right>
      <top style="thin"/>
      <bottom style="double"/>
    </border>
    <border>
      <left>
        <color indexed="63"/>
      </left>
      <right style="double"/>
      <top style="thin"/>
      <bottom style="double"/>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right"/>
    </xf>
    <xf numFmtId="0" fontId="8" fillId="0" borderId="0" xfId="0" applyFont="1" applyAlignment="1">
      <alignment/>
    </xf>
    <xf numFmtId="0" fontId="4"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0" fillId="0" borderId="0" xfId="0" applyFont="1" applyAlignment="1">
      <alignment horizontal="left" wrapText="1"/>
    </xf>
    <xf numFmtId="0" fontId="4"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right" wrapText="1"/>
    </xf>
    <xf numFmtId="0" fontId="7" fillId="0" borderId="0" xfId="0" applyFont="1" applyAlignment="1">
      <alignment/>
    </xf>
    <xf numFmtId="0" fontId="10" fillId="0" borderId="0" xfId="0" applyFont="1" applyAlignment="1">
      <alignment/>
    </xf>
    <xf numFmtId="0" fontId="13" fillId="0" borderId="0" xfId="0" applyFont="1" applyAlignment="1">
      <alignment wrapText="1"/>
    </xf>
    <xf numFmtId="0" fontId="0" fillId="0" borderId="0" xfId="0" applyAlignment="1">
      <alignment horizontal="left"/>
    </xf>
    <xf numFmtId="0" fontId="13" fillId="0" borderId="0" xfId="0" applyFont="1" applyFill="1" applyAlignment="1">
      <alignment wrapText="1"/>
    </xf>
    <xf numFmtId="0" fontId="10" fillId="0" borderId="0" xfId="0" applyFont="1" applyAlignment="1">
      <alignment horizontal="right" wrapText="1"/>
    </xf>
    <xf numFmtId="0" fontId="16" fillId="0" borderId="0" xfId="0" applyFont="1" applyAlignment="1">
      <alignment wrapText="1"/>
    </xf>
    <xf numFmtId="0" fontId="10" fillId="0" borderId="0" xfId="0" applyFont="1" applyAlignment="1">
      <alignment horizontal="left"/>
    </xf>
    <xf numFmtId="0" fontId="13" fillId="0" borderId="0" xfId="0" applyFont="1" applyAlignment="1">
      <alignment horizontal="left" wrapText="1"/>
    </xf>
    <xf numFmtId="0" fontId="0" fillId="0" borderId="0" xfId="0" applyFont="1" applyAlignment="1">
      <alignment horizontal="left"/>
    </xf>
    <xf numFmtId="0" fontId="21" fillId="0" borderId="0" xfId="0" applyFont="1" applyAlignment="1">
      <alignment horizontal="left"/>
    </xf>
    <xf numFmtId="0" fontId="19" fillId="0" borderId="0" xfId="0" applyFont="1" applyAlignment="1">
      <alignment wrapText="1"/>
    </xf>
    <xf numFmtId="0" fontId="11" fillId="0" borderId="0" xfId="0" applyFont="1" applyAlignment="1">
      <alignment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wrapText="1"/>
    </xf>
    <xf numFmtId="0" fontId="8" fillId="0" borderId="1" xfId="0" applyFont="1" applyBorder="1" applyAlignment="1">
      <alignment wrapText="1"/>
    </xf>
    <xf numFmtId="0" fontId="8" fillId="0" borderId="1" xfId="0" applyFont="1" applyBorder="1" applyAlignment="1">
      <alignment horizontal="right"/>
    </xf>
    <xf numFmtId="0" fontId="24" fillId="0" borderId="1" xfId="0" applyFont="1" applyBorder="1" applyAlignment="1">
      <alignment horizontal="right"/>
    </xf>
    <xf numFmtId="0" fontId="8" fillId="0" borderId="1" xfId="0" applyFont="1" applyBorder="1" applyAlignment="1">
      <alignment horizontal="justify" wrapText="1"/>
    </xf>
    <xf numFmtId="0" fontId="8" fillId="0" borderId="1" xfId="0" applyFont="1" applyFill="1" applyBorder="1" applyAlignment="1">
      <alignment horizontal="right"/>
    </xf>
    <xf numFmtId="0" fontId="24" fillId="0" borderId="1" xfId="0" applyFont="1" applyFill="1" applyBorder="1" applyAlignment="1">
      <alignment horizontal="right"/>
    </xf>
    <xf numFmtId="0" fontId="8" fillId="0" borderId="1" xfId="0" applyFont="1" applyBorder="1" applyAlignment="1">
      <alignment horizontal="right" wrapText="1"/>
    </xf>
    <xf numFmtId="0" fontId="8" fillId="0" borderId="2" xfId="0" applyFont="1" applyFill="1" applyBorder="1" applyAlignment="1">
      <alignment horizontal="right" wrapText="1"/>
    </xf>
    <xf numFmtId="0" fontId="8" fillId="0" borderId="3" xfId="0" applyFont="1" applyFill="1" applyBorder="1" applyAlignment="1">
      <alignment horizontal="right" wrapText="1"/>
    </xf>
    <xf numFmtId="0" fontId="24" fillId="0" borderId="1" xfId="0" applyFont="1" applyBorder="1" applyAlignment="1">
      <alignment horizontal="right" wrapText="1"/>
    </xf>
    <xf numFmtId="0" fontId="8" fillId="0" borderId="1" xfId="0" applyFont="1" applyBorder="1" applyAlignment="1">
      <alignment horizontal="center" wrapText="1"/>
    </xf>
    <xf numFmtId="0" fontId="8" fillId="0" borderId="1" xfId="0" applyFont="1" applyBorder="1" applyAlignment="1">
      <alignment/>
    </xf>
    <xf numFmtId="11" fontId="8" fillId="0" borderId="0" xfId="0" applyNumberFormat="1" applyFont="1" applyAlignment="1">
      <alignment/>
    </xf>
    <xf numFmtId="0" fontId="13" fillId="0" borderId="0" xfId="0" applyNumberFormat="1" applyFont="1" applyAlignment="1">
      <alignment wrapText="1"/>
    </xf>
    <xf numFmtId="3" fontId="10" fillId="0" borderId="0" xfId="0" applyNumberFormat="1" applyFont="1" applyAlignment="1">
      <alignment wrapText="1"/>
    </xf>
    <xf numFmtId="14" fontId="10" fillId="0" borderId="0" xfId="0" applyNumberFormat="1" applyFont="1" applyAlignment="1">
      <alignment horizontal="left" wrapText="1"/>
    </xf>
    <xf numFmtId="14" fontId="10" fillId="0" borderId="0" xfId="0" applyNumberFormat="1" applyFont="1" applyAlignment="1">
      <alignment horizontal="left"/>
    </xf>
    <xf numFmtId="14" fontId="8" fillId="0" borderId="0" xfId="0" applyNumberFormat="1" applyFont="1" applyAlignment="1">
      <alignment/>
    </xf>
    <xf numFmtId="3" fontId="10" fillId="0" borderId="0" xfId="0" applyNumberFormat="1" applyFont="1" applyAlignment="1">
      <alignment/>
    </xf>
    <xf numFmtId="0" fontId="25" fillId="0" borderId="0" xfId="0" applyFont="1" applyAlignment="1">
      <alignment/>
    </xf>
    <xf numFmtId="0" fontId="13" fillId="0" borderId="0" xfId="0" applyFont="1" applyAlignment="1">
      <alignment/>
    </xf>
    <xf numFmtId="0" fontId="21" fillId="0" borderId="0" xfId="0" applyFont="1" applyAlignment="1">
      <alignment/>
    </xf>
    <xf numFmtId="0" fontId="26" fillId="0" borderId="0" xfId="0" applyFont="1" applyAlignment="1">
      <alignment wrapText="1"/>
    </xf>
    <xf numFmtId="0" fontId="8" fillId="0" borderId="4" xfId="0" applyFont="1" applyBorder="1" applyAlignment="1">
      <alignment wrapText="1"/>
    </xf>
    <xf numFmtId="0" fontId="6" fillId="2" borderId="5" xfId="0" applyFont="1" applyFill="1" applyBorder="1" applyAlignment="1" applyProtection="1">
      <alignment horizontal="left" wrapText="1"/>
      <protection locked="0"/>
    </xf>
    <xf numFmtId="14" fontId="6" fillId="2" borderId="5" xfId="0" applyNumberFormat="1" applyFont="1" applyFill="1" applyBorder="1" applyAlignment="1" applyProtection="1">
      <alignment horizontal="left" wrapText="1"/>
      <protection locked="0"/>
    </xf>
    <xf numFmtId="0" fontId="6" fillId="2" borderId="5" xfId="0" applyFont="1" applyFill="1" applyBorder="1" applyAlignment="1" applyProtection="1">
      <alignment wrapText="1"/>
      <protection locked="0"/>
    </xf>
    <xf numFmtId="0" fontId="6" fillId="3" borderId="5" xfId="0" applyFont="1" applyFill="1" applyBorder="1" applyAlignment="1" applyProtection="1">
      <alignment wrapText="1"/>
      <protection locked="0"/>
    </xf>
    <xf numFmtId="3" fontId="6" fillId="2" borderId="5" xfId="0" applyNumberFormat="1" applyFont="1" applyFill="1" applyBorder="1" applyAlignment="1" applyProtection="1">
      <alignment wrapText="1"/>
      <protection locked="0"/>
    </xf>
    <xf numFmtId="0" fontId="6" fillId="4" borderId="6" xfId="0" applyFont="1" applyFill="1" applyBorder="1" applyAlignment="1" applyProtection="1">
      <alignment wrapText="1"/>
      <protection locked="0"/>
    </xf>
    <xf numFmtId="0" fontId="22" fillId="3" borderId="5" xfId="0" applyFont="1" applyFill="1" applyBorder="1" applyAlignment="1" applyProtection="1">
      <alignment wrapText="1"/>
      <protection locked="0"/>
    </xf>
    <xf numFmtId="0" fontId="6" fillId="2" borderId="5" xfId="0" applyNumberFormat="1" applyFont="1" applyFill="1" applyBorder="1" applyAlignment="1" applyProtection="1">
      <alignment wrapText="1"/>
      <protection locked="0"/>
    </xf>
    <xf numFmtId="0" fontId="8" fillId="0" borderId="7" xfId="0" applyFont="1" applyBorder="1" applyAlignment="1" applyProtection="1">
      <alignment/>
      <protection/>
    </xf>
    <xf numFmtId="0" fontId="8" fillId="0" borderId="0" xfId="0" applyFont="1" applyAlignment="1" applyProtection="1">
      <alignment/>
      <protection/>
    </xf>
    <xf numFmtId="0" fontId="4" fillId="0" borderId="8" xfId="0" applyFont="1" applyFill="1" applyBorder="1" applyAlignment="1" applyProtection="1">
      <alignment horizontal="right" wrapText="1"/>
      <protection/>
    </xf>
    <xf numFmtId="0" fontId="10" fillId="0" borderId="0" xfId="0" applyFont="1" applyFill="1" applyBorder="1" applyAlignment="1" applyProtection="1">
      <alignment wrapText="1"/>
      <protection/>
    </xf>
    <xf numFmtId="14" fontId="10" fillId="0" borderId="0" xfId="0" applyNumberFormat="1" applyFont="1" applyFill="1" applyBorder="1" applyAlignment="1" applyProtection="1">
      <alignment wrapText="1"/>
      <protection/>
    </xf>
    <xf numFmtId="0" fontId="10" fillId="0" borderId="3" xfId="0" applyFont="1" applyBorder="1" applyAlignment="1" applyProtection="1">
      <alignment wrapText="1"/>
      <protection/>
    </xf>
    <xf numFmtId="0" fontId="10" fillId="0" borderId="9" xfId="0" applyFont="1" applyBorder="1" applyAlignment="1" applyProtection="1">
      <alignment wrapText="1"/>
      <protection/>
    </xf>
    <xf numFmtId="0" fontId="10" fillId="0" borderId="1" xfId="0" applyFont="1" applyBorder="1" applyAlignment="1" applyProtection="1">
      <alignment wrapText="1"/>
      <protection/>
    </xf>
    <xf numFmtId="0" fontId="10"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7" xfId="0" applyFont="1" applyBorder="1" applyAlignment="1" applyProtection="1">
      <alignment wrapText="1"/>
      <protection/>
    </xf>
    <xf numFmtId="0" fontId="4" fillId="0" borderId="11" xfId="0" applyFont="1" applyFill="1" applyBorder="1" applyAlignment="1" applyProtection="1">
      <alignment horizontal="right"/>
      <protection/>
    </xf>
    <xf numFmtId="0" fontId="10" fillId="0" borderId="12" xfId="0" applyFont="1" applyFill="1" applyBorder="1" applyAlignment="1" applyProtection="1">
      <alignment/>
      <protection/>
    </xf>
    <xf numFmtId="0" fontId="4" fillId="5" borderId="13" xfId="0" applyFont="1" applyFill="1" applyBorder="1" applyAlignment="1" applyProtection="1">
      <alignment/>
      <protection/>
    </xf>
    <xf numFmtId="0" fontId="4" fillId="5" borderId="14" xfId="0" applyFont="1" applyFill="1" applyBorder="1" applyAlignment="1" applyProtection="1">
      <alignment wrapText="1"/>
      <protection/>
    </xf>
    <xf numFmtId="0" fontId="4" fillId="0" borderId="15" xfId="0" applyFont="1" applyFill="1" applyBorder="1" applyAlignment="1" applyProtection="1">
      <alignment horizontal="right"/>
      <protection/>
    </xf>
    <xf numFmtId="14" fontId="10" fillId="0" borderId="16" xfId="0" applyNumberFormat="1" applyFont="1" applyBorder="1" applyAlignment="1" applyProtection="1">
      <alignment/>
      <protection/>
    </xf>
    <xf numFmtId="0" fontId="4" fillId="0" borderId="0" xfId="0" applyFont="1" applyFill="1" applyAlignment="1" applyProtection="1">
      <alignment horizontal="right"/>
      <protection/>
    </xf>
    <xf numFmtId="0" fontId="4" fillId="0" borderId="17" xfId="0" applyFont="1" applyFill="1" applyBorder="1" applyAlignment="1" applyProtection="1">
      <alignment horizontal="center" wrapText="1"/>
      <protection/>
    </xf>
    <xf numFmtId="0" fontId="4" fillId="6" borderId="9" xfId="0" applyFont="1" applyFill="1" applyBorder="1" applyAlignment="1" applyProtection="1">
      <alignment horizontal="center" wrapText="1"/>
      <protection/>
    </xf>
    <xf numFmtId="0" fontId="4" fillId="6" borderId="10" xfId="0" applyFont="1" applyFill="1" applyBorder="1" applyAlignment="1" applyProtection="1">
      <alignment horizontal="center" wrapText="1"/>
      <protection/>
    </xf>
    <xf numFmtId="0" fontId="18" fillId="0" borderId="1" xfId="0" applyFont="1" applyFill="1" applyBorder="1" applyAlignment="1" applyProtection="1">
      <alignment vertical="top" wrapText="1"/>
      <protection/>
    </xf>
    <xf numFmtId="0" fontId="18" fillId="0" borderId="18" xfId="0" applyFont="1" applyBorder="1" applyAlignment="1" applyProtection="1">
      <alignment horizontal="right" wrapText="1"/>
      <protection/>
    </xf>
    <xf numFmtId="0" fontId="18" fillId="0" borderId="1" xfId="0" applyFont="1" applyFill="1" applyBorder="1" applyAlignment="1" applyProtection="1">
      <alignment wrapText="1"/>
      <protection/>
    </xf>
    <xf numFmtId="0" fontId="8" fillId="0" borderId="19" xfId="0" applyFont="1" applyBorder="1" applyAlignment="1" applyProtection="1">
      <alignment/>
      <protection/>
    </xf>
    <xf numFmtId="0" fontId="8" fillId="0" borderId="17" xfId="0" applyFont="1" applyBorder="1" applyAlignment="1" applyProtection="1">
      <alignment/>
      <protection/>
    </xf>
    <xf numFmtId="0" fontId="4" fillId="0" borderId="20" xfId="0" applyFont="1" applyBorder="1" applyAlignment="1" applyProtection="1">
      <alignment horizontal="right" wrapText="1"/>
      <protection/>
    </xf>
    <xf numFmtId="0" fontId="10" fillId="0" borderId="9" xfId="0" applyFont="1" applyBorder="1" applyAlignment="1" applyProtection="1">
      <alignment horizontal="right" wrapText="1"/>
      <protection/>
    </xf>
    <xf numFmtId="0" fontId="8" fillId="0" borderId="21" xfId="0" applyFont="1" applyBorder="1" applyAlignment="1" applyProtection="1">
      <alignment/>
      <protection/>
    </xf>
    <xf numFmtId="0" fontId="8" fillId="0" borderId="22" xfId="0" applyFont="1" applyBorder="1" applyAlignment="1" applyProtection="1">
      <alignment/>
      <protection/>
    </xf>
    <xf numFmtId="0" fontId="4" fillId="0" borderId="23" xfId="0" applyFont="1" applyBorder="1" applyAlignment="1" applyProtection="1">
      <alignment horizontal="right" wrapText="1"/>
      <protection/>
    </xf>
    <xf numFmtId="0" fontId="10" fillId="0" borderId="22" xfId="0" applyFont="1" applyBorder="1" applyAlignment="1" applyProtection="1">
      <alignment wrapText="1"/>
      <protection/>
    </xf>
    <xf numFmtId="0" fontId="8" fillId="0" borderId="0" xfId="0" applyFont="1" applyAlignment="1" applyProtection="1">
      <alignment wrapText="1"/>
      <protection/>
    </xf>
    <xf numFmtId="0" fontId="4" fillId="0" borderId="24" xfId="0" applyFont="1" applyFill="1" applyBorder="1" applyAlignment="1" applyProtection="1">
      <alignment horizontal="right"/>
      <protection/>
    </xf>
    <xf numFmtId="0" fontId="4" fillId="5" borderId="25" xfId="0" applyFont="1" applyFill="1" applyBorder="1" applyAlignment="1" applyProtection="1">
      <alignment/>
      <protection/>
    </xf>
    <xf numFmtId="0" fontId="4" fillId="6" borderId="1" xfId="0" applyFont="1" applyFill="1" applyBorder="1" applyAlignment="1" applyProtection="1">
      <alignment horizontal="center" wrapText="1"/>
      <protection/>
    </xf>
    <xf numFmtId="0" fontId="4" fillId="5" borderId="26" xfId="0" applyFont="1" applyFill="1" applyBorder="1" applyAlignment="1" applyProtection="1">
      <alignment horizontal="left"/>
      <protection/>
    </xf>
    <xf numFmtId="0" fontId="4" fillId="0" borderId="27" xfId="0" applyFont="1" applyFill="1" applyBorder="1" applyAlignment="1" applyProtection="1">
      <alignment wrapText="1"/>
      <protection/>
    </xf>
    <xf numFmtId="0" fontId="4" fillId="6" borderId="28" xfId="0" applyFont="1" applyFill="1" applyBorder="1" applyAlignment="1" applyProtection="1">
      <alignment horizontal="center" wrapText="1"/>
      <protection/>
    </xf>
    <xf numFmtId="0" fontId="4" fillId="5" borderId="0" xfId="0" applyFont="1" applyFill="1" applyBorder="1" applyAlignment="1" applyProtection="1">
      <alignment horizontal="left" wrapText="1"/>
      <protection/>
    </xf>
    <xf numFmtId="0" fontId="4" fillId="5" borderId="26" xfId="0" applyFont="1" applyFill="1" applyBorder="1" applyAlignment="1" applyProtection="1">
      <alignment/>
      <protection/>
    </xf>
    <xf numFmtId="0" fontId="4" fillId="5" borderId="0" xfId="0" applyFont="1" applyFill="1" applyBorder="1" applyAlignment="1" applyProtection="1">
      <alignment wrapText="1"/>
      <protection/>
    </xf>
    <xf numFmtId="0" fontId="8" fillId="0" borderId="0" xfId="0" applyFont="1" applyAlignment="1" applyProtection="1">
      <alignment/>
      <protection hidden="1"/>
    </xf>
    <xf numFmtId="0" fontId="8" fillId="0" borderId="0" xfId="0" applyFont="1" applyAlignment="1" applyProtection="1">
      <alignment vertical="center" wrapText="1"/>
      <protection hidden="1"/>
    </xf>
    <xf numFmtId="0" fontId="8" fillId="0" borderId="0" xfId="0" applyFont="1" applyAlignment="1" applyProtection="1">
      <alignment vertical="center"/>
      <protection hidden="1"/>
    </xf>
    <xf numFmtId="0" fontId="8" fillId="0" borderId="0" xfId="0" applyFont="1" applyAlignment="1" applyProtection="1">
      <alignment wrapText="1"/>
      <protection hidden="1"/>
    </xf>
    <xf numFmtId="0" fontId="8" fillId="0" borderId="0" xfId="0" applyFont="1" applyAlignment="1">
      <alignment vertical="center" wrapText="1"/>
    </xf>
    <xf numFmtId="0" fontId="7" fillId="0" borderId="7" xfId="0" applyFont="1" applyBorder="1" applyAlignment="1" applyProtection="1">
      <alignment/>
      <protection/>
    </xf>
    <xf numFmtId="0" fontId="6" fillId="3" borderId="0" xfId="0" applyFont="1" applyFill="1" applyBorder="1" applyAlignment="1" applyProtection="1">
      <alignment wrapText="1"/>
      <protection locked="0"/>
    </xf>
    <xf numFmtId="0" fontId="8" fillId="0" borderId="29" xfId="0" applyFont="1" applyBorder="1" applyAlignment="1">
      <alignment horizontal="left" wrapText="1"/>
    </xf>
    <xf numFmtId="0" fontId="9" fillId="0" borderId="0" xfId="0" applyFont="1" applyAlignment="1">
      <alignment horizontal="left"/>
    </xf>
    <xf numFmtId="0" fontId="10" fillId="0" borderId="0" xfId="0" applyFont="1" applyAlignment="1">
      <alignment horizontal="left" wrapText="1"/>
    </xf>
    <xf numFmtId="0" fontId="0" fillId="0" borderId="0" xfId="0" applyAlignment="1">
      <alignment horizontal="left"/>
    </xf>
    <xf numFmtId="0" fontId="10" fillId="0" borderId="0" xfId="0" applyFont="1" applyAlignment="1">
      <alignment horizontal="left"/>
    </xf>
    <xf numFmtId="0" fontId="0" fillId="0" borderId="30" xfId="0" applyBorder="1" applyAlignment="1" applyProtection="1">
      <alignment horizontal="left" wrapText="1"/>
      <protection locked="0"/>
    </xf>
    <xf numFmtId="0" fontId="8" fillId="0" borderId="31" xfId="0" applyFont="1" applyBorder="1" applyAlignment="1">
      <alignment horizontal="left"/>
    </xf>
    <xf numFmtId="0" fontId="8" fillId="0" borderId="0" xfId="0" applyFont="1" applyAlignment="1">
      <alignment horizontal="left"/>
    </xf>
    <xf numFmtId="0" fontId="6" fillId="2" borderId="6" xfId="0" applyFont="1" applyFill="1" applyBorder="1" applyAlignment="1" applyProtection="1">
      <alignment horizontal="center" wrapText="1"/>
      <protection locked="0"/>
    </xf>
    <xf numFmtId="0" fontId="6" fillId="2" borderId="30" xfId="0" applyFont="1" applyFill="1" applyBorder="1" applyAlignment="1" applyProtection="1">
      <alignment horizontal="center" wrapText="1"/>
      <protection locked="0"/>
    </xf>
    <xf numFmtId="0" fontId="8" fillId="0" borderId="0" xfId="0" applyFont="1" applyAlignment="1" applyProtection="1">
      <alignment horizontal="left" vertical="center" wrapText="1"/>
      <protection hidden="1"/>
    </xf>
    <xf numFmtId="170" fontId="8" fillId="0" borderId="0" xfId="0" applyNumberFormat="1" applyFont="1" applyAlignment="1" applyProtection="1">
      <alignment horizontal="left" wrapText="1"/>
      <protection hidden="1"/>
    </xf>
    <xf numFmtId="0" fontId="15" fillId="0" borderId="0" xfId="0" applyFont="1" applyAlignment="1" applyProtection="1">
      <alignment horizontal="left" wrapText="1"/>
      <protection hidden="1"/>
    </xf>
    <xf numFmtId="0" fontId="14" fillId="0" borderId="0" xfId="0" applyFont="1" applyBorder="1" applyAlignment="1" applyProtection="1">
      <alignment horizontal="left" wrapText="1"/>
      <protection hidden="1"/>
    </xf>
    <xf numFmtId="0" fontId="8" fillId="0" borderId="0" xfId="0" applyFont="1" applyAlignment="1" applyProtection="1">
      <alignment horizontal="left" vertical="top" wrapText="1"/>
      <protection hidden="1"/>
    </xf>
    <xf numFmtId="0" fontId="8" fillId="0" borderId="0" xfId="0" applyFont="1" applyAlignment="1">
      <alignment horizontal="left" wrapText="1"/>
    </xf>
    <xf numFmtId="0" fontId="8" fillId="0" borderId="4" xfId="0" applyFont="1" applyBorder="1" applyAlignment="1">
      <alignment horizontal="left" wrapText="1"/>
    </xf>
    <xf numFmtId="0" fontId="6" fillId="2" borderId="6" xfId="0" applyFont="1" applyFill="1" applyBorder="1" applyAlignment="1" applyProtection="1">
      <alignment horizontal="left" wrapText="1"/>
      <protection locked="0"/>
    </xf>
    <xf numFmtId="0" fontId="6" fillId="2" borderId="31" xfId="0" applyFont="1" applyFill="1" applyBorder="1" applyAlignment="1" applyProtection="1">
      <alignment horizontal="left" wrapText="1"/>
      <protection locked="0"/>
    </xf>
    <xf numFmtId="0" fontId="6" fillId="2" borderId="30" xfId="0" applyFont="1" applyFill="1" applyBorder="1" applyAlignment="1" applyProtection="1">
      <alignment horizontal="left" wrapText="1"/>
      <protection locked="0"/>
    </xf>
    <xf numFmtId="0" fontId="0" fillId="0" borderId="31" xfId="0" applyBorder="1" applyAlignment="1" applyProtection="1">
      <alignment horizontal="left" wrapText="1"/>
      <protection locked="0"/>
    </xf>
    <xf numFmtId="0" fontId="7" fillId="0" borderId="0" xfId="0" applyFont="1" applyAlignment="1">
      <alignment horizontal="left" wrapText="1"/>
    </xf>
    <xf numFmtId="0" fontId="8" fillId="0" borderId="0" xfId="0" applyFont="1" applyBorder="1" applyAlignment="1">
      <alignment horizontal="left" wrapText="1"/>
    </xf>
    <xf numFmtId="0" fontId="9"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center" wrapText="1"/>
    </xf>
    <xf numFmtId="0" fontId="12" fillId="2" borderId="6" xfId="0" applyFont="1" applyFill="1" applyBorder="1" applyAlignment="1" applyProtection="1">
      <alignment horizontal="left" wrapText="1"/>
      <protection locked="0"/>
    </xf>
    <xf numFmtId="0" fontId="12" fillId="2" borderId="31" xfId="0" applyFont="1" applyFill="1" applyBorder="1" applyAlignment="1" applyProtection="1">
      <alignment horizontal="left" wrapText="1"/>
      <protection locked="0"/>
    </xf>
    <xf numFmtId="0" fontId="12" fillId="2" borderId="30" xfId="0" applyFont="1" applyFill="1" applyBorder="1" applyAlignment="1" applyProtection="1">
      <alignment horizontal="left" wrapText="1"/>
      <protection locked="0"/>
    </xf>
    <xf numFmtId="0" fontId="17" fillId="0" borderId="0" xfId="0" applyFont="1" applyAlignment="1">
      <alignment horizontal="left" wrapText="1"/>
    </xf>
    <xf numFmtId="0" fontId="20" fillId="0" borderId="0" xfId="20" applyFont="1" applyAlignment="1">
      <alignment horizontal="left" wrapText="1"/>
    </xf>
    <xf numFmtId="0" fontId="8" fillId="0" borderId="0" xfId="0" applyFont="1" applyAlignment="1">
      <alignment horizontal="center" vertical="center" wrapText="1"/>
    </xf>
    <xf numFmtId="0" fontId="13" fillId="0" borderId="0" xfId="0" applyFont="1" applyAlignment="1">
      <alignment horizontal="center" wrapText="1"/>
    </xf>
    <xf numFmtId="0" fontId="8" fillId="2" borderId="6" xfId="0" applyFont="1" applyFill="1" applyBorder="1" applyAlignment="1" applyProtection="1">
      <alignment horizontal="left" wrapText="1"/>
      <protection locked="0"/>
    </xf>
    <xf numFmtId="0" fontId="8" fillId="2" borderId="31" xfId="0" applyFont="1" applyFill="1" applyBorder="1" applyAlignment="1" applyProtection="1">
      <alignment horizontal="left" wrapText="1"/>
      <protection locked="0"/>
    </xf>
    <xf numFmtId="0" fontId="8" fillId="2" borderId="30" xfId="0" applyFont="1" applyFill="1" applyBorder="1" applyAlignment="1" applyProtection="1">
      <alignment horizontal="left" wrapText="1"/>
      <protection locked="0"/>
    </xf>
    <xf numFmtId="0" fontId="0" fillId="0" borderId="0" xfId="0" applyAlignment="1">
      <alignment/>
    </xf>
    <xf numFmtId="0" fontId="20" fillId="0" borderId="0" xfId="0" applyFont="1" applyAlignment="1">
      <alignment wrapText="1"/>
    </xf>
    <xf numFmtId="0" fontId="23" fillId="0" borderId="0" xfId="0" applyFont="1" applyAlignment="1">
      <alignment horizontal="left" wrapText="1"/>
    </xf>
    <xf numFmtId="0" fontId="4" fillId="0" borderId="1" xfId="0"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8" fillId="0" borderId="32" xfId="0" applyFont="1" applyBorder="1" applyAlignment="1">
      <alignment horizontal="center" wrapText="1"/>
    </xf>
    <xf numFmtId="0" fontId="8" fillId="0" borderId="32" xfId="0" applyFont="1" applyBorder="1" applyAlignment="1">
      <alignment horizontal="center"/>
    </xf>
    <xf numFmtId="0" fontId="8" fillId="0" borderId="0" xfId="0" applyFont="1" applyAlignment="1">
      <alignment horizontal="center"/>
    </xf>
    <xf numFmtId="0" fontId="4" fillId="0" borderId="1" xfId="0" applyFont="1" applyBorder="1" applyAlignment="1">
      <alignment horizontal="center"/>
    </xf>
    <xf numFmtId="0" fontId="4" fillId="5" borderId="26" xfId="0" applyFont="1" applyFill="1" applyBorder="1" applyAlignment="1" applyProtection="1">
      <alignment horizontal="left"/>
      <protection/>
    </xf>
    <xf numFmtId="0" fontId="4" fillId="5" borderId="0" xfId="0" applyFont="1" applyFill="1" applyBorder="1" applyAlignment="1" applyProtection="1">
      <alignment horizontal="left"/>
      <protection/>
    </xf>
    <xf numFmtId="0" fontId="8" fillId="0" borderId="15" xfId="0" applyFont="1" applyFill="1" applyBorder="1" applyAlignment="1" applyProtection="1">
      <alignment horizontal="center" wrapText="1"/>
      <protection/>
    </xf>
    <xf numFmtId="0" fontId="8" fillId="0" borderId="9" xfId="0" applyFont="1" applyFill="1" applyBorder="1" applyAlignment="1" applyProtection="1">
      <alignment horizontal="center" wrapText="1"/>
      <protection/>
    </xf>
    <xf numFmtId="0" fontId="4" fillId="6" borderId="15" xfId="0" applyFont="1" applyFill="1" applyBorder="1" applyAlignment="1" applyProtection="1">
      <alignment horizontal="center" wrapText="1"/>
      <protection/>
    </xf>
    <xf numFmtId="0" fontId="4" fillId="6" borderId="9" xfId="0" applyFont="1" applyFill="1" applyBorder="1" applyAlignment="1" applyProtection="1">
      <alignment horizontal="center" wrapText="1"/>
      <protection/>
    </xf>
    <xf numFmtId="0" fontId="8" fillId="4" borderId="27" xfId="0" applyFont="1" applyFill="1" applyBorder="1" applyAlignment="1" applyProtection="1">
      <alignment horizontal="center" wrapText="1"/>
      <protection locked="0"/>
    </xf>
    <xf numFmtId="0" fontId="8" fillId="4" borderId="18" xfId="0" applyFont="1" applyFill="1" applyBorder="1" applyAlignment="1" applyProtection="1">
      <alignment horizontal="center" wrapText="1"/>
      <protection locked="0"/>
    </xf>
    <xf numFmtId="0" fontId="8" fillId="4" borderId="33" xfId="0" applyFont="1" applyFill="1" applyBorder="1" applyAlignment="1" applyProtection="1">
      <alignment horizontal="center" wrapText="1"/>
      <protection locked="0"/>
    </xf>
    <xf numFmtId="0" fontId="8" fillId="4" borderId="34" xfId="0" applyFont="1" applyFill="1" applyBorder="1" applyAlignment="1" applyProtection="1">
      <alignment horizontal="center" wrapText="1"/>
      <protection locked="0"/>
    </xf>
    <xf numFmtId="0" fontId="8" fillId="0" borderId="8" xfId="0" applyFont="1" applyBorder="1" applyAlignment="1" applyProtection="1">
      <alignment wrapText="1"/>
      <protection/>
    </xf>
    <xf numFmtId="0" fontId="8" fillId="0" borderId="35" xfId="0" applyFont="1" applyBorder="1" applyAlignment="1" applyProtection="1">
      <alignment wrapText="1"/>
      <protection/>
    </xf>
    <xf numFmtId="0" fontId="4" fillId="7" borderId="36" xfId="0" applyFont="1" applyFill="1" applyBorder="1" applyAlignment="1" applyProtection="1">
      <alignment horizontal="center" wrapText="1"/>
      <protection/>
    </xf>
    <xf numFmtId="0" fontId="4" fillId="7" borderId="37" xfId="0" applyFont="1" applyFill="1" applyBorder="1" applyAlignment="1" applyProtection="1">
      <alignment horizontal="center" wrapText="1"/>
      <protection/>
    </xf>
    <xf numFmtId="0" fontId="4" fillId="7" borderId="38" xfId="0" applyFont="1" applyFill="1" applyBorder="1" applyAlignment="1" applyProtection="1">
      <alignment horizontal="center" wrapText="1"/>
      <protection/>
    </xf>
    <xf numFmtId="0" fontId="4" fillId="0" borderId="26" xfId="0" applyFont="1" applyBorder="1" applyAlignment="1" applyProtection="1">
      <alignment wrapText="1"/>
      <protection/>
    </xf>
    <xf numFmtId="0" fontId="4" fillId="0" borderId="0" xfId="0" applyFont="1" applyBorder="1" applyAlignment="1" applyProtection="1">
      <alignment wrapText="1"/>
      <protection/>
    </xf>
    <xf numFmtId="0" fontId="8" fillId="0" borderId="21" xfId="0" applyFont="1" applyBorder="1" applyAlignment="1" applyProtection="1">
      <alignment horizontal="center" wrapText="1"/>
      <protection/>
    </xf>
    <xf numFmtId="0" fontId="8" fillId="0" borderId="7" xfId="0" applyFont="1" applyBorder="1" applyAlignment="1" applyProtection="1">
      <alignment horizontal="center" wrapText="1"/>
      <protection/>
    </xf>
    <xf numFmtId="0" fontId="8" fillId="0" borderId="8" xfId="0" applyFont="1" applyBorder="1" applyAlignment="1" applyProtection="1">
      <alignment horizontal="center" wrapText="1"/>
      <protection/>
    </xf>
    <xf numFmtId="0" fontId="8" fillId="0" borderId="39" xfId="0" applyFont="1" applyBorder="1" applyAlignment="1" applyProtection="1">
      <alignment horizontal="center" wrapText="1"/>
      <protection/>
    </xf>
    <xf numFmtId="0" fontId="8" fillId="0" borderId="26"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4" fillId="0" borderId="4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4" fillId="0" borderId="28" xfId="0" applyFont="1" applyBorder="1" applyAlignment="1" applyProtection="1">
      <alignment horizontal="center" wrapText="1"/>
      <protection/>
    </xf>
    <xf numFmtId="0" fontId="4" fillId="7" borderId="25" xfId="0" applyFont="1" applyFill="1" applyBorder="1" applyAlignment="1" applyProtection="1">
      <alignment horizontal="center" wrapText="1"/>
      <protection/>
    </xf>
    <xf numFmtId="0" fontId="4" fillId="7" borderId="42" xfId="0" applyFont="1" applyFill="1" applyBorder="1" applyAlignment="1" applyProtection="1">
      <alignment horizontal="center" wrapText="1"/>
      <protection/>
    </xf>
    <xf numFmtId="0" fontId="4" fillId="7" borderId="14" xfId="0" applyFont="1" applyFill="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2" xfId="0" applyFont="1" applyBorder="1" applyAlignment="1" applyProtection="1">
      <alignment horizontal="center" wrapText="1"/>
      <protection/>
    </xf>
    <xf numFmtId="0" fontId="4" fillId="0" borderId="43" xfId="0" applyFont="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1">
    <dxf>
      <font>
        <color rgb="FFC0C0C0"/>
      </font>
      <border/>
    </dxf>
    <dxf>
      <font>
        <color rgb="FFC0C0C0"/>
      </font>
      <fill>
        <patternFill patternType="darkGray">
          <fgColor rgb="FFFFFFFF"/>
          <bgColor rgb="FFFFFFCC"/>
        </patternFill>
      </fill>
      <border/>
    </dxf>
    <dxf>
      <font>
        <color auto="1"/>
      </font>
      <fill>
        <patternFill patternType="none">
          <bgColor indexed="65"/>
        </patternFill>
      </fill>
      <border/>
    </dxf>
    <dxf>
      <font>
        <color rgb="FFC0C0C0"/>
      </font>
      <fill>
        <patternFill patternType="darkGray">
          <fgColor rgb="FFFFFFFF"/>
          <bgColor rgb="FFCCFFFF"/>
        </patternFill>
      </fill>
      <border/>
    </dxf>
    <dxf>
      <font>
        <color rgb="FFFFFFFF"/>
      </font>
      <fill>
        <patternFill patternType="none">
          <bgColor indexed="65"/>
        </patternFill>
      </fill>
      <border/>
    </dxf>
    <dxf>
      <font>
        <b/>
        <i val="0"/>
        <color rgb="FF800000"/>
      </font>
      <border/>
    </dxf>
    <dxf>
      <font>
        <color rgb="FFFFFFFF"/>
      </font>
      <fill>
        <patternFill>
          <bgColor rgb="FFFFFFFF"/>
        </patternFill>
      </fill>
      <border/>
    </dxf>
    <dxf>
      <font>
        <color rgb="FFC0C0C0"/>
      </font>
      <fill>
        <patternFill patternType="darkGray">
          <fgColor rgb="FFFFFFFF"/>
        </patternFill>
      </fill>
      <border/>
    </dxf>
    <dxf>
      <font>
        <color rgb="FFC0C0C0"/>
      </font>
      <fill>
        <patternFill patternType="solid">
          <fgColor rgb="FFFFFFFF"/>
          <bgColor rgb="FFFFFFFF"/>
        </patternFill>
      </fill>
      <border/>
    </dxf>
    <dxf>
      <font>
        <color rgb="FFC0C0C0"/>
      </font>
      <fill>
        <patternFill patternType="darkGray">
          <fgColor rgb="FFFFFFFF"/>
          <bgColor rgb="FFFFFF99"/>
        </patternFill>
      </fill>
      <border/>
    </dxf>
    <dxf>
      <font>
        <color rgb="FFC0C0C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9.jpeg" /><Relationship Id="rId3" Type="http://schemas.openxmlformats.org/officeDocument/2006/relationships/image" Target="../media/image2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7.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4.emf" /></Relationships>
</file>

<file path=xl/drawings/_rels/drawing7.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emf" /><Relationship Id="rId3" Type="http://schemas.openxmlformats.org/officeDocument/2006/relationships/image" Target="../media/image17.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7</xdr:row>
      <xdr:rowOff>57150</xdr:rowOff>
    </xdr:from>
    <xdr:to>
      <xdr:col>1</xdr:col>
      <xdr:colOff>6496050</xdr:colOff>
      <xdr:row>7</xdr:row>
      <xdr:rowOff>2333625</xdr:rowOff>
    </xdr:to>
    <xdr:pic>
      <xdr:nvPicPr>
        <xdr:cNvPr id="1" name="Picture 1"/>
        <xdr:cNvPicPr preferRelativeResize="1">
          <a:picLocks noChangeAspect="1"/>
        </xdr:cNvPicPr>
      </xdr:nvPicPr>
      <xdr:blipFill>
        <a:blip r:embed="rId1"/>
        <a:stretch>
          <a:fillRect/>
        </a:stretch>
      </xdr:blipFill>
      <xdr:spPr>
        <a:xfrm>
          <a:off x="2571750" y="4410075"/>
          <a:ext cx="6391275" cy="2266950"/>
        </a:xfrm>
        <a:prstGeom prst="rect">
          <a:avLst/>
        </a:prstGeom>
        <a:noFill/>
        <a:ln w="9525" cmpd="sng">
          <a:solidFill>
            <a:srgbClr val="000000"/>
          </a:solidFill>
          <a:headEnd type="none"/>
          <a:tailEnd type="none"/>
        </a:ln>
      </xdr:spPr>
    </xdr:pic>
    <xdr:clientData/>
  </xdr:twoCellAnchor>
  <xdr:twoCellAnchor>
    <xdr:from>
      <xdr:col>1</xdr:col>
      <xdr:colOff>6115050</xdr:colOff>
      <xdr:row>7</xdr:row>
      <xdr:rowOff>581025</xdr:rowOff>
    </xdr:from>
    <xdr:to>
      <xdr:col>1</xdr:col>
      <xdr:colOff>6353175</xdr:colOff>
      <xdr:row>7</xdr:row>
      <xdr:rowOff>781050</xdr:rowOff>
    </xdr:to>
    <xdr:sp>
      <xdr:nvSpPr>
        <xdr:cNvPr id="2" name="Line 5"/>
        <xdr:cNvSpPr>
          <a:spLocks/>
        </xdr:cNvSpPr>
      </xdr:nvSpPr>
      <xdr:spPr>
        <a:xfrm flipH="1" flipV="1">
          <a:off x="8572500" y="493395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6038850</xdr:colOff>
      <xdr:row>7</xdr:row>
      <xdr:rowOff>790575</xdr:rowOff>
    </xdr:from>
    <xdr:to>
      <xdr:col>1</xdr:col>
      <xdr:colOff>6705600</xdr:colOff>
      <xdr:row>7</xdr:row>
      <xdr:rowOff>1276350</xdr:rowOff>
    </xdr:to>
    <xdr:sp>
      <xdr:nvSpPr>
        <xdr:cNvPr id="3" name="TextBox 6"/>
        <xdr:cNvSpPr txBox="1">
          <a:spLocks noChangeArrowheads="1"/>
        </xdr:cNvSpPr>
      </xdr:nvSpPr>
      <xdr:spPr>
        <a:xfrm>
          <a:off x="8496300" y="5143500"/>
          <a:ext cx="66675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000000"/>
              </a:solidFill>
            </a:rPr>
            <a:t>Blue Comment Cells</a:t>
          </a:r>
        </a:p>
      </xdr:txBody>
    </xdr:sp>
    <xdr:clientData/>
  </xdr:twoCellAnchor>
  <xdr:twoCellAnchor>
    <xdr:from>
      <xdr:col>1</xdr:col>
      <xdr:colOff>3819525</xdr:colOff>
      <xdr:row>7</xdr:row>
      <xdr:rowOff>666750</xdr:rowOff>
    </xdr:from>
    <xdr:to>
      <xdr:col>1</xdr:col>
      <xdr:colOff>4791075</xdr:colOff>
      <xdr:row>7</xdr:row>
      <xdr:rowOff>1076325</xdr:rowOff>
    </xdr:to>
    <xdr:sp>
      <xdr:nvSpPr>
        <xdr:cNvPr id="4" name="TextBox 7"/>
        <xdr:cNvSpPr txBox="1">
          <a:spLocks noChangeArrowheads="1"/>
        </xdr:cNvSpPr>
      </xdr:nvSpPr>
      <xdr:spPr>
        <a:xfrm>
          <a:off x="6276975" y="5019675"/>
          <a:ext cx="97155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000000"/>
              </a:solidFill>
            </a:rPr>
            <a:t>Yellow Cell (User Input)</a:t>
          </a:r>
        </a:p>
      </xdr:txBody>
    </xdr:sp>
    <xdr:clientData/>
  </xdr:twoCellAnchor>
  <xdr:twoCellAnchor>
    <xdr:from>
      <xdr:col>1</xdr:col>
      <xdr:colOff>3971925</xdr:colOff>
      <xdr:row>7</xdr:row>
      <xdr:rowOff>419100</xdr:rowOff>
    </xdr:from>
    <xdr:to>
      <xdr:col>1</xdr:col>
      <xdr:colOff>4295775</xdr:colOff>
      <xdr:row>7</xdr:row>
      <xdr:rowOff>676275</xdr:rowOff>
    </xdr:to>
    <xdr:sp>
      <xdr:nvSpPr>
        <xdr:cNvPr id="5" name="Line 8"/>
        <xdr:cNvSpPr>
          <a:spLocks/>
        </xdr:cNvSpPr>
      </xdr:nvSpPr>
      <xdr:spPr>
        <a:xfrm flipH="1" flipV="1">
          <a:off x="6429375" y="4772025"/>
          <a:ext cx="3238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7</xdr:row>
      <xdr:rowOff>1114425</xdr:rowOff>
    </xdr:from>
    <xdr:to>
      <xdr:col>1</xdr:col>
      <xdr:colOff>1419225</xdr:colOff>
      <xdr:row>7</xdr:row>
      <xdr:rowOff>1543050</xdr:rowOff>
    </xdr:to>
    <xdr:sp>
      <xdr:nvSpPr>
        <xdr:cNvPr id="6" name="TextBox 9"/>
        <xdr:cNvSpPr txBox="1">
          <a:spLocks noChangeArrowheads="1"/>
        </xdr:cNvSpPr>
      </xdr:nvSpPr>
      <xdr:spPr>
        <a:xfrm>
          <a:off x="2828925" y="5467350"/>
          <a:ext cx="1047750"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000000"/>
              </a:solidFill>
            </a:rPr>
            <a:t>Faded Cells (Ignore)</a:t>
          </a:r>
        </a:p>
      </xdr:txBody>
    </xdr:sp>
    <xdr:clientData/>
  </xdr:twoCellAnchor>
  <xdr:twoCellAnchor>
    <xdr:from>
      <xdr:col>1</xdr:col>
      <xdr:colOff>885825</xdr:colOff>
      <xdr:row>7</xdr:row>
      <xdr:rowOff>790575</xdr:rowOff>
    </xdr:from>
    <xdr:to>
      <xdr:col>1</xdr:col>
      <xdr:colOff>1333500</xdr:colOff>
      <xdr:row>7</xdr:row>
      <xdr:rowOff>1114425</xdr:rowOff>
    </xdr:to>
    <xdr:sp>
      <xdr:nvSpPr>
        <xdr:cNvPr id="7" name="Line 10"/>
        <xdr:cNvSpPr>
          <a:spLocks/>
        </xdr:cNvSpPr>
      </xdr:nvSpPr>
      <xdr:spPr>
        <a:xfrm flipV="1">
          <a:off x="3343275" y="5143500"/>
          <a:ext cx="4476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4867275</xdr:colOff>
      <xdr:row>7</xdr:row>
      <xdr:rowOff>1666875</xdr:rowOff>
    </xdr:from>
    <xdr:to>
      <xdr:col>1</xdr:col>
      <xdr:colOff>5810250</xdr:colOff>
      <xdr:row>7</xdr:row>
      <xdr:rowOff>2257425</xdr:rowOff>
    </xdr:to>
    <xdr:sp>
      <xdr:nvSpPr>
        <xdr:cNvPr id="8" name="TextBox 11"/>
        <xdr:cNvSpPr txBox="1">
          <a:spLocks noChangeArrowheads="1"/>
        </xdr:cNvSpPr>
      </xdr:nvSpPr>
      <xdr:spPr>
        <a:xfrm>
          <a:off x="7324725" y="6019800"/>
          <a:ext cx="942975"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000000"/>
              </a:solidFill>
            </a:rPr>
            <a:t>Red Text (Calculated Information)</a:t>
          </a:r>
        </a:p>
      </xdr:txBody>
    </xdr:sp>
    <xdr:clientData/>
  </xdr:twoCellAnchor>
  <xdr:twoCellAnchor>
    <xdr:from>
      <xdr:col>0</xdr:col>
      <xdr:colOff>2457450</xdr:colOff>
      <xdr:row>8</xdr:row>
      <xdr:rowOff>0</xdr:rowOff>
    </xdr:from>
    <xdr:to>
      <xdr:col>0</xdr:col>
      <xdr:colOff>2457450</xdr:colOff>
      <xdr:row>8</xdr:row>
      <xdr:rowOff>0</xdr:rowOff>
    </xdr:to>
    <xdr:sp>
      <xdr:nvSpPr>
        <xdr:cNvPr id="9" name="Line 13"/>
        <xdr:cNvSpPr>
          <a:spLocks/>
        </xdr:cNvSpPr>
      </xdr:nvSpPr>
      <xdr:spPr>
        <a:xfrm>
          <a:off x="2457450"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4114800</xdr:colOff>
      <xdr:row>7</xdr:row>
      <xdr:rowOff>1905000</xdr:rowOff>
    </xdr:from>
    <xdr:to>
      <xdr:col>1</xdr:col>
      <xdr:colOff>4857750</xdr:colOff>
      <xdr:row>7</xdr:row>
      <xdr:rowOff>1990725</xdr:rowOff>
    </xdr:to>
    <xdr:sp>
      <xdr:nvSpPr>
        <xdr:cNvPr id="10" name="Line 14"/>
        <xdr:cNvSpPr>
          <a:spLocks/>
        </xdr:cNvSpPr>
      </xdr:nvSpPr>
      <xdr:spPr>
        <a:xfrm flipH="1">
          <a:off x="6572250" y="6257925"/>
          <a:ext cx="74295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2838450</xdr:colOff>
      <xdr:row>7</xdr:row>
      <xdr:rowOff>1714500</xdr:rowOff>
    </xdr:from>
    <xdr:to>
      <xdr:col>1</xdr:col>
      <xdr:colOff>4867275</xdr:colOff>
      <xdr:row>7</xdr:row>
      <xdr:rowOff>1905000</xdr:rowOff>
    </xdr:to>
    <xdr:sp>
      <xdr:nvSpPr>
        <xdr:cNvPr id="11" name="Line 15"/>
        <xdr:cNvSpPr>
          <a:spLocks/>
        </xdr:cNvSpPr>
      </xdr:nvSpPr>
      <xdr:spPr>
        <a:xfrm flipH="1" flipV="1">
          <a:off x="5295900" y="6067425"/>
          <a:ext cx="20288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1504950</xdr:colOff>
      <xdr:row>8</xdr:row>
      <xdr:rowOff>76200</xdr:rowOff>
    </xdr:from>
    <xdr:to>
      <xdr:col>1</xdr:col>
      <xdr:colOff>5524500</xdr:colOff>
      <xdr:row>8</xdr:row>
      <xdr:rowOff>2190750</xdr:rowOff>
    </xdr:to>
    <xdr:pic>
      <xdr:nvPicPr>
        <xdr:cNvPr id="12" name="Picture 16"/>
        <xdr:cNvPicPr preferRelativeResize="1">
          <a:picLocks noChangeAspect="1"/>
        </xdr:cNvPicPr>
      </xdr:nvPicPr>
      <xdr:blipFill>
        <a:blip r:embed="rId2"/>
        <a:stretch>
          <a:fillRect/>
        </a:stretch>
      </xdr:blipFill>
      <xdr:spPr>
        <a:xfrm>
          <a:off x="3962400" y="7067550"/>
          <a:ext cx="4019550" cy="2114550"/>
        </a:xfrm>
        <a:prstGeom prst="rect">
          <a:avLst/>
        </a:prstGeom>
        <a:noFill/>
        <a:ln w="9525" cmpd="sng">
          <a:solidFill>
            <a:srgbClr val="000000"/>
          </a:solidFill>
          <a:headEnd type="none"/>
          <a:tailEnd type="none"/>
        </a:ln>
      </xdr:spPr>
    </xdr:pic>
    <xdr:clientData/>
  </xdr:twoCellAnchor>
  <xdr:twoCellAnchor editAs="oneCell">
    <xdr:from>
      <xdr:col>1</xdr:col>
      <xdr:colOff>1495425</xdr:colOff>
      <xdr:row>9</xdr:row>
      <xdr:rowOff>38100</xdr:rowOff>
    </xdr:from>
    <xdr:to>
      <xdr:col>1</xdr:col>
      <xdr:colOff>5543550</xdr:colOff>
      <xdr:row>9</xdr:row>
      <xdr:rowOff>2000250</xdr:rowOff>
    </xdr:to>
    <xdr:pic>
      <xdr:nvPicPr>
        <xdr:cNvPr id="13" name="Picture 18"/>
        <xdr:cNvPicPr preferRelativeResize="1">
          <a:picLocks noChangeAspect="1"/>
        </xdr:cNvPicPr>
      </xdr:nvPicPr>
      <xdr:blipFill>
        <a:blip r:embed="rId3"/>
        <a:stretch>
          <a:fillRect/>
        </a:stretch>
      </xdr:blipFill>
      <xdr:spPr>
        <a:xfrm>
          <a:off x="3952875" y="9324975"/>
          <a:ext cx="4048125" cy="1952625"/>
        </a:xfrm>
        <a:prstGeom prst="rect">
          <a:avLst/>
        </a:prstGeom>
        <a:noFill/>
        <a:ln w="9525" cmpd="sng">
          <a:solidFill>
            <a:srgbClr val="000000"/>
          </a:solidFill>
          <a:headEnd type="none"/>
          <a:tailEnd type="none"/>
        </a:ln>
      </xdr:spPr>
    </xdr:pic>
    <xdr:clientData/>
  </xdr:twoCellAnchor>
  <xdr:twoCellAnchor>
    <xdr:from>
      <xdr:col>1</xdr:col>
      <xdr:colOff>876300</xdr:colOff>
      <xdr:row>7</xdr:row>
      <xdr:rowOff>933450</xdr:rowOff>
    </xdr:from>
    <xdr:to>
      <xdr:col>1</xdr:col>
      <xdr:colOff>914400</xdr:colOff>
      <xdr:row>7</xdr:row>
      <xdr:rowOff>1114425</xdr:rowOff>
    </xdr:to>
    <xdr:sp>
      <xdr:nvSpPr>
        <xdr:cNvPr id="14" name="Line 19"/>
        <xdr:cNvSpPr>
          <a:spLocks/>
        </xdr:cNvSpPr>
      </xdr:nvSpPr>
      <xdr:spPr>
        <a:xfrm flipV="1">
          <a:off x="3333750" y="5286375"/>
          <a:ext cx="3810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36</xdr:row>
      <xdr:rowOff>28575</xdr:rowOff>
    </xdr:from>
    <xdr:to>
      <xdr:col>4</xdr:col>
      <xdr:colOff>180975</xdr:colOff>
      <xdr:row>36</xdr:row>
      <xdr:rowOff>333375</xdr:rowOff>
    </xdr:to>
    <xdr:pic>
      <xdr:nvPicPr>
        <xdr:cNvPr id="1" name="cmdSummaryInfoBRef"/>
        <xdr:cNvPicPr preferRelativeResize="1">
          <a:picLocks noChangeAspect="1"/>
        </xdr:cNvPicPr>
      </xdr:nvPicPr>
      <xdr:blipFill>
        <a:blip r:embed="rId1"/>
        <a:stretch>
          <a:fillRect/>
        </a:stretch>
      </xdr:blipFill>
      <xdr:spPr>
        <a:xfrm>
          <a:off x="3924300" y="8258175"/>
          <a:ext cx="914400" cy="304800"/>
        </a:xfrm>
        <a:prstGeom prst="rect">
          <a:avLst/>
        </a:prstGeom>
        <a:noFill/>
        <a:ln w="9525" cmpd="sng">
          <a:noFill/>
        </a:ln>
      </xdr:spPr>
    </xdr:pic>
    <xdr:clientData/>
  </xdr:twoCellAnchor>
  <xdr:twoCellAnchor editAs="oneCell">
    <xdr:from>
      <xdr:col>3</xdr:col>
      <xdr:colOff>28575</xdr:colOff>
      <xdr:row>45</xdr:row>
      <xdr:rowOff>19050</xdr:rowOff>
    </xdr:from>
    <xdr:to>
      <xdr:col>4</xdr:col>
      <xdr:colOff>180975</xdr:colOff>
      <xdr:row>45</xdr:row>
      <xdr:rowOff>323850</xdr:rowOff>
    </xdr:to>
    <xdr:pic>
      <xdr:nvPicPr>
        <xdr:cNvPr id="2" name="cmdSummaryInfoCRef"/>
        <xdr:cNvPicPr preferRelativeResize="1">
          <a:picLocks noChangeAspect="1"/>
        </xdr:cNvPicPr>
      </xdr:nvPicPr>
      <xdr:blipFill>
        <a:blip r:embed="rId2"/>
        <a:stretch>
          <a:fillRect/>
        </a:stretch>
      </xdr:blipFill>
      <xdr:spPr>
        <a:xfrm>
          <a:off x="3924300" y="10658475"/>
          <a:ext cx="9144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27</xdr:row>
      <xdr:rowOff>38100</xdr:rowOff>
    </xdr:from>
    <xdr:to>
      <xdr:col>7</xdr:col>
      <xdr:colOff>381000</xdr:colOff>
      <xdr:row>27</xdr:row>
      <xdr:rowOff>342900</xdr:rowOff>
    </xdr:to>
    <xdr:pic>
      <xdr:nvPicPr>
        <xdr:cNvPr id="1" name="cmdDT1Ref"/>
        <xdr:cNvPicPr preferRelativeResize="1">
          <a:picLocks noChangeAspect="1"/>
        </xdr:cNvPicPr>
      </xdr:nvPicPr>
      <xdr:blipFill>
        <a:blip r:embed="rId1"/>
        <a:stretch>
          <a:fillRect/>
        </a:stretch>
      </xdr:blipFill>
      <xdr:spPr>
        <a:xfrm>
          <a:off x="5591175" y="5600700"/>
          <a:ext cx="914400" cy="304800"/>
        </a:xfrm>
        <a:prstGeom prst="rect">
          <a:avLst/>
        </a:prstGeom>
        <a:noFill/>
        <a:ln w="9525" cmpd="sng">
          <a:noFill/>
        </a:ln>
      </xdr:spPr>
    </xdr:pic>
    <xdr:clientData/>
  </xdr:twoCellAnchor>
  <xdr:twoCellAnchor editAs="oneCell">
    <xdr:from>
      <xdr:col>6</xdr:col>
      <xdr:colOff>19050</xdr:colOff>
      <xdr:row>43</xdr:row>
      <xdr:rowOff>28575</xdr:rowOff>
    </xdr:from>
    <xdr:to>
      <xdr:col>7</xdr:col>
      <xdr:colOff>371475</xdr:colOff>
      <xdr:row>43</xdr:row>
      <xdr:rowOff>333375</xdr:rowOff>
    </xdr:to>
    <xdr:pic>
      <xdr:nvPicPr>
        <xdr:cNvPr id="2" name="cmdDT2Ref"/>
        <xdr:cNvPicPr preferRelativeResize="1">
          <a:picLocks noChangeAspect="1"/>
        </xdr:cNvPicPr>
      </xdr:nvPicPr>
      <xdr:blipFill>
        <a:blip r:embed="rId2"/>
        <a:stretch>
          <a:fillRect/>
        </a:stretch>
      </xdr:blipFill>
      <xdr:spPr>
        <a:xfrm>
          <a:off x="5581650" y="8486775"/>
          <a:ext cx="9144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21</xdr:row>
      <xdr:rowOff>19050</xdr:rowOff>
    </xdr:from>
    <xdr:to>
      <xdr:col>6</xdr:col>
      <xdr:colOff>933450</xdr:colOff>
      <xdr:row>21</xdr:row>
      <xdr:rowOff>323850</xdr:rowOff>
    </xdr:to>
    <xdr:pic>
      <xdr:nvPicPr>
        <xdr:cNvPr id="1" name="cmdDT3Ref"/>
        <xdr:cNvPicPr preferRelativeResize="1">
          <a:picLocks noChangeAspect="1"/>
        </xdr:cNvPicPr>
      </xdr:nvPicPr>
      <xdr:blipFill>
        <a:blip r:embed="rId1"/>
        <a:stretch>
          <a:fillRect/>
        </a:stretch>
      </xdr:blipFill>
      <xdr:spPr>
        <a:xfrm>
          <a:off x="5943600" y="4371975"/>
          <a:ext cx="914400" cy="304800"/>
        </a:xfrm>
        <a:prstGeom prst="rect">
          <a:avLst/>
        </a:prstGeom>
        <a:noFill/>
        <a:ln w="9525" cmpd="sng">
          <a:noFill/>
        </a:ln>
      </xdr:spPr>
    </xdr:pic>
    <xdr:clientData/>
  </xdr:twoCellAnchor>
  <xdr:twoCellAnchor editAs="oneCell">
    <xdr:from>
      <xdr:col>6</xdr:col>
      <xdr:colOff>19050</xdr:colOff>
      <xdr:row>41</xdr:row>
      <xdr:rowOff>19050</xdr:rowOff>
    </xdr:from>
    <xdr:to>
      <xdr:col>6</xdr:col>
      <xdr:colOff>933450</xdr:colOff>
      <xdr:row>41</xdr:row>
      <xdr:rowOff>323850</xdr:rowOff>
    </xdr:to>
    <xdr:pic>
      <xdr:nvPicPr>
        <xdr:cNvPr id="2" name="cmdDT4Ref"/>
        <xdr:cNvPicPr preferRelativeResize="1">
          <a:picLocks noChangeAspect="1"/>
        </xdr:cNvPicPr>
      </xdr:nvPicPr>
      <xdr:blipFill>
        <a:blip r:embed="rId2"/>
        <a:stretch>
          <a:fillRect/>
        </a:stretch>
      </xdr:blipFill>
      <xdr:spPr>
        <a:xfrm>
          <a:off x="5943600" y="8991600"/>
          <a:ext cx="9144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15</xdr:row>
      <xdr:rowOff>9525</xdr:rowOff>
    </xdr:from>
    <xdr:to>
      <xdr:col>6</xdr:col>
      <xdr:colOff>952500</xdr:colOff>
      <xdr:row>15</xdr:row>
      <xdr:rowOff>314325</xdr:rowOff>
    </xdr:to>
    <xdr:pic>
      <xdr:nvPicPr>
        <xdr:cNvPr id="1" name="cmdDT5Ref"/>
        <xdr:cNvPicPr preferRelativeResize="1">
          <a:picLocks noChangeAspect="1"/>
        </xdr:cNvPicPr>
      </xdr:nvPicPr>
      <xdr:blipFill>
        <a:blip r:embed="rId1"/>
        <a:stretch>
          <a:fillRect/>
        </a:stretch>
      </xdr:blipFill>
      <xdr:spPr>
        <a:xfrm>
          <a:off x="9163050" y="3171825"/>
          <a:ext cx="9144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23</xdr:row>
      <xdr:rowOff>9525</xdr:rowOff>
    </xdr:from>
    <xdr:to>
      <xdr:col>6</xdr:col>
      <xdr:colOff>971550</xdr:colOff>
      <xdr:row>23</xdr:row>
      <xdr:rowOff>314325</xdr:rowOff>
    </xdr:to>
    <xdr:pic>
      <xdr:nvPicPr>
        <xdr:cNvPr id="1" name="cmdDT6aRef"/>
        <xdr:cNvPicPr preferRelativeResize="1">
          <a:picLocks noChangeAspect="1"/>
        </xdr:cNvPicPr>
      </xdr:nvPicPr>
      <xdr:blipFill>
        <a:blip r:embed="rId1"/>
        <a:stretch>
          <a:fillRect/>
        </a:stretch>
      </xdr:blipFill>
      <xdr:spPr>
        <a:xfrm>
          <a:off x="5619750" y="5029200"/>
          <a:ext cx="914400" cy="304800"/>
        </a:xfrm>
        <a:prstGeom prst="rect">
          <a:avLst/>
        </a:prstGeom>
        <a:noFill/>
        <a:ln w="9525" cmpd="sng">
          <a:noFill/>
        </a:ln>
      </xdr:spPr>
    </xdr:pic>
    <xdr:clientData/>
  </xdr:twoCellAnchor>
  <xdr:twoCellAnchor editAs="oneCell">
    <xdr:from>
      <xdr:col>6</xdr:col>
      <xdr:colOff>57150</xdr:colOff>
      <xdr:row>43</xdr:row>
      <xdr:rowOff>9525</xdr:rowOff>
    </xdr:from>
    <xdr:to>
      <xdr:col>6</xdr:col>
      <xdr:colOff>971550</xdr:colOff>
      <xdr:row>43</xdr:row>
      <xdr:rowOff>314325</xdr:rowOff>
    </xdr:to>
    <xdr:pic>
      <xdr:nvPicPr>
        <xdr:cNvPr id="2" name="cmdDT6bRef"/>
        <xdr:cNvPicPr preferRelativeResize="1">
          <a:picLocks noChangeAspect="1"/>
        </xdr:cNvPicPr>
      </xdr:nvPicPr>
      <xdr:blipFill>
        <a:blip r:embed="rId2"/>
        <a:stretch>
          <a:fillRect/>
        </a:stretch>
      </xdr:blipFill>
      <xdr:spPr>
        <a:xfrm>
          <a:off x="5619750" y="9639300"/>
          <a:ext cx="914400" cy="304800"/>
        </a:xfrm>
        <a:prstGeom prst="rect">
          <a:avLst/>
        </a:prstGeom>
        <a:noFill/>
        <a:ln w="9525" cmpd="sng">
          <a:noFill/>
        </a:ln>
      </xdr:spPr>
    </xdr:pic>
    <xdr:clientData/>
  </xdr:twoCellAnchor>
  <xdr:twoCellAnchor editAs="oneCell">
    <xdr:from>
      <xdr:col>6</xdr:col>
      <xdr:colOff>57150</xdr:colOff>
      <xdr:row>63</xdr:row>
      <xdr:rowOff>9525</xdr:rowOff>
    </xdr:from>
    <xdr:to>
      <xdr:col>6</xdr:col>
      <xdr:colOff>971550</xdr:colOff>
      <xdr:row>63</xdr:row>
      <xdr:rowOff>314325</xdr:rowOff>
    </xdr:to>
    <xdr:pic>
      <xdr:nvPicPr>
        <xdr:cNvPr id="3" name="cmdDT6cRef"/>
        <xdr:cNvPicPr preferRelativeResize="1">
          <a:picLocks noChangeAspect="1"/>
        </xdr:cNvPicPr>
      </xdr:nvPicPr>
      <xdr:blipFill>
        <a:blip r:embed="rId3"/>
        <a:stretch>
          <a:fillRect/>
        </a:stretch>
      </xdr:blipFill>
      <xdr:spPr>
        <a:xfrm>
          <a:off x="5619750" y="14220825"/>
          <a:ext cx="914400" cy="304800"/>
        </a:xfrm>
        <a:prstGeom prst="rect">
          <a:avLst/>
        </a:prstGeom>
        <a:noFill/>
        <a:ln w="9525" cmpd="sng">
          <a:noFill/>
        </a:ln>
      </xdr:spPr>
    </xdr:pic>
    <xdr:clientData/>
  </xdr:twoCellAnchor>
  <xdr:twoCellAnchor editAs="oneCell">
    <xdr:from>
      <xdr:col>6</xdr:col>
      <xdr:colOff>57150</xdr:colOff>
      <xdr:row>83</xdr:row>
      <xdr:rowOff>9525</xdr:rowOff>
    </xdr:from>
    <xdr:to>
      <xdr:col>6</xdr:col>
      <xdr:colOff>971550</xdr:colOff>
      <xdr:row>83</xdr:row>
      <xdr:rowOff>314325</xdr:rowOff>
    </xdr:to>
    <xdr:pic>
      <xdr:nvPicPr>
        <xdr:cNvPr id="4" name="cmdDT6dRef"/>
        <xdr:cNvPicPr preferRelativeResize="1">
          <a:picLocks noChangeAspect="1"/>
        </xdr:cNvPicPr>
      </xdr:nvPicPr>
      <xdr:blipFill>
        <a:blip r:embed="rId4"/>
        <a:stretch>
          <a:fillRect/>
        </a:stretch>
      </xdr:blipFill>
      <xdr:spPr>
        <a:xfrm>
          <a:off x="5619750" y="18802350"/>
          <a:ext cx="914400" cy="304800"/>
        </a:xfrm>
        <a:prstGeom prst="rect">
          <a:avLst/>
        </a:prstGeom>
        <a:noFill/>
        <a:ln w="9525" cmpd="sng">
          <a:noFill/>
        </a:ln>
      </xdr:spPr>
    </xdr:pic>
    <xdr:clientData/>
  </xdr:twoCellAnchor>
  <xdr:twoCellAnchor editAs="oneCell">
    <xdr:from>
      <xdr:col>6</xdr:col>
      <xdr:colOff>57150</xdr:colOff>
      <xdr:row>103</xdr:row>
      <xdr:rowOff>9525</xdr:rowOff>
    </xdr:from>
    <xdr:to>
      <xdr:col>6</xdr:col>
      <xdr:colOff>971550</xdr:colOff>
      <xdr:row>103</xdr:row>
      <xdr:rowOff>314325</xdr:rowOff>
    </xdr:to>
    <xdr:pic>
      <xdr:nvPicPr>
        <xdr:cNvPr id="5" name="cmdDT6eRef"/>
        <xdr:cNvPicPr preferRelativeResize="1">
          <a:picLocks noChangeAspect="1"/>
        </xdr:cNvPicPr>
      </xdr:nvPicPr>
      <xdr:blipFill>
        <a:blip r:embed="rId5"/>
        <a:stretch>
          <a:fillRect/>
        </a:stretch>
      </xdr:blipFill>
      <xdr:spPr>
        <a:xfrm>
          <a:off x="5619750" y="23412450"/>
          <a:ext cx="914400" cy="304800"/>
        </a:xfrm>
        <a:prstGeom prst="rect">
          <a:avLst/>
        </a:prstGeom>
        <a:noFill/>
        <a:ln w="9525" cmpd="sng">
          <a:noFill/>
        </a:ln>
      </xdr:spPr>
    </xdr:pic>
    <xdr:clientData/>
  </xdr:twoCellAnchor>
  <xdr:twoCellAnchor editAs="oneCell">
    <xdr:from>
      <xdr:col>6</xdr:col>
      <xdr:colOff>57150</xdr:colOff>
      <xdr:row>123</xdr:row>
      <xdr:rowOff>9525</xdr:rowOff>
    </xdr:from>
    <xdr:to>
      <xdr:col>6</xdr:col>
      <xdr:colOff>971550</xdr:colOff>
      <xdr:row>123</xdr:row>
      <xdr:rowOff>314325</xdr:rowOff>
    </xdr:to>
    <xdr:pic>
      <xdr:nvPicPr>
        <xdr:cNvPr id="6" name="cmdDT6fRef"/>
        <xdr:cNvPicPr preferRelativeResize="1">
          <a:picLocks noChangeAspect="1"/>
        </xdr:cNvPicPr>
      </xdr:nvPicPr>
      <xdr:blipFill>
        <a:blip r:embed="rId6"/>
        <a:stretch>
          <a:fillRect/>
        </a:stretch>
      </xdr:blipFill>
      <xdr:spPr>
        <a:xfrm>
          <a:off x="5619750" y="27860625"/>
          <a:ext cx="914400"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24</xdr:row>
      <xdr:rowOff>19050</xdr:rowOff>
    </xdr:from>
    <xdr:to>
      <xdr:col>7</xdr:col>
      <xdr:colOff>219075</xdr:colOff>
      <xdr:row>24</xdr:row>
      <xdr:rowOff>323850</xdr:rowOff>
    </xdr:to>
    <xdr:pic>
      <xdr:nvPicPr>
        <xdr:cNvPr id="1" name="cmdIF2CurMEC"/>
        <xdr:cNvPicPr preferRelativeResize="1">
          <a:picLocks noChangeAspect="1"/>
        </xdr:cNvPicPr>
      </xdr:nvPicPr>
      <xdr:blipFill>
        <a:blip r:embed="rId1"/>
        <a:stretch>
          <a:fillRect/>
        </a:stretch>
      </xdr:blipFill>
      <xdr:spPr>
        <a:xfrm>
          <a:off x="5448300" y="5962650"/>
          <a:ext cx="914400" cy="304800"/>
        </a:xfrm>
        <a:prstGeom prst="rect">
          <a:avLst/>
        </a:prstGeom>
        <a:noFill/>
        <a:ln w="9525" cmpd="sng">
          <a:noFill/>
        </a:ln>
      </xdr:spPr>
    </xdr:pic>
    <xdr:clientData/>
  </xdr:twoCellAnchor>
  <xdr:twoCellAnchor editAs="oneCell">
    <xdr:from>
      <xdr:col>6</xdr:col>
      <xdr:colOff>19050</xdr:colOff>
      <xdr:row>37</xdr:row>
      <xdr:rowOff>19050</xdr:rowOff>
    </xdr:from>
    <xdr:to>
      <xdr:col>7</xdr:col>
      <xdr:colOff>219075</xdr:colOff>
      <xdr:row>37</xdr:row>
      <xdr:rowOff>323850</xdr:rowOff>
    </xdr:to>
    <xdr:pic>
      <xdr:nvPicPr>
        <xdr:cNvPr id="2" name="cmdIF2FutMEC"/>
        <xdr:cNvPicPr preferRelativeResize="1">
          <a:picLocks noChangeAspect="1"/>
        </xdr:cNvPicPr>
      </xdr:nvPicPr>
      <xdr:blipFill>
        <a:blip r:embed="rId2"/>
        <a:stretch>
          <a:fillRect/>
        </a:stretch>
      </xdr:blipFill>
      <xdr:spPr>
        <a:xfrm>
          <a:off x="5448300" y="9229725"/>
          <a:ext cx="914400" cy="304800"/>
        </a:xfrm>
        <a:prstGeom prst="rect">
          <a:avLst/>
        </a:prstGeom>
        <a:noFill/>
        <a:ln w="9525" cmpd="sng">
          <a:noFill/>
        </a:ln>
      </xdr:spPr>
    </xdr:pic>
    <xdr:clientData/>
  </xdr:twoCellAnchor>
  <xdr:twoCellAnchor editAs="oneCell">
    <xdr:from>
      <xdr:col>6</xdr:col>
      <xdr:colOff>19050</xdr:colOff>
      <xdr:row>67</xdr:row>
      <xdr:rowOff>19050</xdr:rowOff>
    </xdr:from>
    <xdr:to>
      <xdr:col>7</xdr:col>
      <xdr:colOff>219075</xdr:colOff>
      <xdr:row>67</xdr:row>
      <xdr:rowOff>323850</xdr:rowOff>
    </xdr:to>
    <xdr:pic>
      <xdr:nvPicPr>
        <xdr:cNvPr id="3" name="cmdIF3Ref"/>
        <xdr:cNvPicPr preferRelativeResize="1">
          <a:picLocks noChangeAspect="1"/>
        </xdr:cNvPicPr>
      </xdr:nvPicPr>
      <xdr:blipFill>
        <a:blip r:embed="rId3"/>
        <a:stretch>
          <a:fillRect/>
        </a:stretch>
      </xdr:blipFill>
      <xdr:spPr>
        <a:xfrm>
          <a:off x="5448300" y="17573625"/>
          <a:ext cx="914400" cy="304800"/>
        </a:xfrm>
        <a:prstGeom prst="rect">
          <a:avLst/>
        </a:prstGeom>
        <a:noFill/>
        <a:ln w="9525" cmpd="sng">
          <a:noFill/>
        </a:ln>
      </xdr:spPr>
    </xdr:pic>
    <xdr:clientData/>
  </xdr:twoCellAnchor>
  <xdr:twoCellAnchor editAs="oneCell">
    <xdr:from>
      <xdr:col>6</xdr:col>
      <xdr:colOff>19050</xdr:colOff>
      <xdr:row>259</xdr:row>
      <xdr:rowOff>19050</xdr:rowOff>
    </xdr:from>
    <xdr:to>
      <xdr:col>7</xdr:col>
      <xdr:colOff>219075</xdr:colOff>
      <xdr:row>259</xdr:row>
      <xdr:rowOff>323850</xdr:rowOff>
    </xdr:to>
    <xdr:pic>
      <xdr:nvPicPr>
        <xdr:cNvPr id="4" name="cmdIF7Ref"/>
        <xdr:cNvPicPr preferRelativeResize="1">
          <a:picLocks noChangeAspect="1"/>
        </xdr:cNvPicPr>
      </xdr:nvPicPr>
      <xdr:blipFill>
        <a:blip r:embed="rId4"/>
        <a:stretch>
          <a:fillRect/>
        </a:stretch>
      </xdr:blipFill>
      <xdr:spPr>
        <a:xfrm>
          <a:off x="5448300" y="73361550"/>
          <a:ext cx="9144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B12"/>
  <sheetViews>
    <sheetView tabSelected="1" workbookViewId="0" topLeftCell="A1">
      <selection activeCell="A1" sqref="A1:B1"/>
    </sheetView>
  </sheetViews>
  <sheetFormatPr defaultColWidth="9.140625" defaultRowHeight="12.75"/>
  <cols>
    <col min="1" max="1" width="36.8515625" style="110" customWidth="1"/>
    <col min="2" max="2" width="101.140625" style="107" customWidth="1"/>
    <col min="3" max="16384" width="9.140625" style="107" customWidth="1"/>
  </cols>
  <sheetData>
    <row r="1" spans="1:2" ht="32.25" customHeight="1">
      <c r="A1" s="127" t="s">
        <v>304</v>
      </c>
      <c r="B1" s="127"/>
    </row>
    <row r="2" spans="1:2" ht="12.75">
      <c r="A2" s="125">
        <v>39417</v>
      </c>
      <c r="B2" s="125"/>
    </row>
    <row r="3" spans="1:2" ht="27.75" customHeight="1">
      <c r="A3" s="126" t="s">
        <v>142</v>
      </c>
      <c r="B3" s="126"/>
    </row>
    <row r="4" spans="1:2" ht="56.25" customHeight="1">
      <c r="A4" s="128" t="s">
        <v>205</v>
      </c>
      <c r="B4" s="128"/>
    </row>
    <row r="5" spans="1:2" ht="25.5" customHeight="1">
      <c r="A5" s="126" t="s">
        <v>143</v>
      </c>
      <c r="B5" s="126"/>
    </row>
    <row r="6" spans="1:2" ht="30.75" customHeight="1">
      <c r="A6" s="124" t="s">
        <v>204</v>
      </c>
      <c r="B6" s="124"/>
    </row>
    <row r="7" spans="1:2" ht="157.5" customHeight="1">
      <c r="A7" s="124" t="s">
        <v>207</v>
      </c>
      <c r="B7" s="124"/>
    </row>
    <row r="8" spans="1:2" ht="207.75" customHeight="1">
      <c r="A8" s="108" t="s">
        <v>206</v>
      </c>
      <c r="B8" s="108"/>
    </row>
    <row r="9" spans="1:2" ht="180.75" customHeight="1">
      <c r="A9" s="108" t="s">
        <v>203</v>
      </c>
      <c r="B9" s="108"/>
    </row>
    <row r="10" spans="1:2" ht="164.25" customHeight="1">
      <c r="A10" s="108" t="s">
        <v>202</v>
      </c>
      <c r="B10" s="108"/>
    </row>
    <row r="11" spans="1:2" ht="12.75">
      <c r="A11" s="108"/>
      <c r="B11" s="109"/>
    </row>
    <row r="12" spans="1:2" ht="12.75">
      <c r="A12" s="108"/>
      <c r="B12" s="109"/>
    </row>
  </sheetData>
  <sheetProtection/>
  <mergeCells count="7">
    <mergeCell ref="A7:B7"/>
    <mergeCell ref="A2:B2"/>
    <mergeCell ref="A5:B5"/>
    <mergeCell ref="A1:B1"/>
    <mergeCell ref="A3:B3"/>
    <mergeCell ref="A4:B4"/>
    <mergeCell ref="A6:B6"/>
  </mergeCells>
  <printOptions/>
  <pageMargins left="0.75" right="0.75" top="1" bottom="1" header="0.5" footer="0.5"/>
  <pageSetup horizontalDpi="600" verticalDpi="600" orientation="landscape" scale="89" r:id="rId2"/>
  <headerFooter alignWithMargins="0">
    <oddHeader>&amp;R&amp;"Tahoma,Regular"&amp;8MEC HA Workbook v1.0
November 2006</oddHeader>
    <oddFooter>&amp;L&amp;"Tahoma,Regular"&amp;8Instructions  Worksheet&amp;R&amp;"Tahoma,Regular"&amp;8Public Review Draft - Do Not Cite or Quote</oddFooter>
  </headerFooter>
  <drawing r:id="rId1"/>
</worksheet>
</file>

<file path=xl/worksheets/sheet10.xml><?xml version="1.0" encoding="utf-8"?>
<worksheet xmlns="http://schemas.openxmlformats.org/spreadsheetml/2006/main" xmlns:r="http://schemas.openxmlformats.org/officeDocument/2006/relationships">
  <sheetPr codeName="Sheet1"/>
  <dimension ref="A1:T135"/>
  <sheetViews>
    <sheetView workbookViewId="0" topLeftCell="A1">
      <selection activeCell="A1" sqref="A1"/>
    </sheetView>
  </sheetViews>
  <sheetFormatPr defaultColWidth="9.140625" defaultRowHeight="12.75"/>
  <cols>
    <col min="1" max="1" width="18.00390625" style="66" customWidth="1"/>
    <col min="2" max="2" width="30.421875" style="66" customWidth="1"/>
    <col min="3" max="3" width="62.7109375" style="66" customWidth="1"/>
    <col min="4" max="4" width="34.421875" style="97" customWidth="1"/>
    <col min="5" max="5" width="18.421875" style="66" customWidth="1"/>
    <col min="6" max="6" width="62.7109375" style="66" customWidth="1"/>
    <col min="7" max="7" width="18.7109375" style="66" customWidth="1"/>
    <col min="8" max="8" width="9.7109375" style="66" customWidth="1"/>
    <col min="9" max="9" width="62.7109375" style="66" customWidth="1"/>
    <col min="10" max="10" width="18.7109375" style="66" customWidth="1"/>
    <col min="11" max="11" width="9.7109375" style="66" customWidth="1"/>
    <col min="12" max="12" width="62.7109375" style="66" customWidth="1"/>
    <col min="13" max="13" width="18.7109375" style="66" customWidth="1"/>
    <col min="14" max="14" width="9.7109375" style="66" customWidth="1"/>
    <col min="15" max="15" width="62.7109375" style="66" customWidth="1"/>
    <col min="16" max="16" width="18.7109375" style="66" customWidth="1"/>
    <col min="17" max="17" width="9.7109375" style="66" customWidth="1"/>
    <col min="18" max="18" width="62.7109375" style="66" customWidth="1"/>
    <col min="19" max="19" width="18.7109375" style="66" customWidth="1"/>
    <col min="20" max="16384" width="9.140625" style="66" customWidth="1"/>
  </cols>
  <sheetData>
    <row r="1" ht="15.75" thickBot="1">
      <c r="A1" s="112" t="s">
        <v>264</v>
      </c>
    </row>
    <row r="2" spans="2:20" ht="15" customHeight="1" thickBot="1" thickTop="1">
      <c r="B2" s="74"/>
      <c r="C2" s="65"/>
      <c r="D2" s="75"/>
      <c r="E2" s="74"/>
      <c r="F2" s="74"/>
      <c r="G2" s="74"/>
      <c r="H2" s="74"/>
      <c r="I2" s="74"/>
      <c r="J2" s="74"/>
      <c r="K2" s="74"/>
      <c r="L2" s="74"/>
      <c r="M2" s="74"/>
      <c r="N2" s="74"/>
      <c r="O2" s="74"/>
      <c r="P2" s="74"/>
      <c r="Q2" s="74"/>
      <c r="R2" s="74"/>
      <c r="S2" s="74"/>
      <c r="T2" s="74"/>
    </row>
    <row r="3" spans="1:19" ht="15" customHeight="1" thickBot="1" thickTop="1">
      <c r="A3" s="76" t="s">
        <v>49</v>
      </c>
      <c r="B3" s="77">
        <f>nz('Summary Info'!$B$3,"")</f>
      </c>
      <c r="C3" s="78" t="s">
        <v>41</v>
      </c>
      <c r="D3" s="79"/>
      <c r="E3" s="74"/>
      <c r="F3" s="74"/>
      <c r="G3" s="74"/>
      <c r="H3" s="74"/>
      <c r="I3" s="74"/>
      <c r="J3" s="74"/>
      <c r="K3" s="74"/>
      <c r="L3" s="74"/>
      <c r="M3" s="74"/>
      <c r="N3" s="74"/>
      <c r="O3" s="74"/>
      <c r="P3" s="74"/>
      <c r="Q3" s="74"/>
      <c r="R3" s="74"/>
      <c r="S3" s="74"/>
    </row>
    <row r="4" spans="1:4" ht="15" customHeight="1">
      <c r="A4" s="80" t="s">
        <v>50</v>
      </c>
      <c r="B4" s="81">
        <f>nz('Summary Info'!$B$4,"")</f>
      </c>
      <c r="C4" s="82" t="s">
        <v>250</v>
      </c>
      <c r="D4" s="83" t="str">
        <f>'Validation Tables'!$B$60</f>
        <v>No Response Action</v>
      </c>
    </row>
    <row r="5" spans="1:4" ht="15" customHeight="1">
      <c r="A5" s="164" t="s">
        <v>38</v>
      </c>
      <c r="B5" s="165"/>
      <c r="C5" s="85" t="s">
        <v>39</v>
      </c>
      <c r="D5" s="84" t="s">
        <v>0</v>
      </c>
    </row>
    <row r="6" spans="1:4" ht="15" customHeight="1">
      <c r="A6" s="162" t="s">
        <v>185</v>
      </c>
      <c r="B6" s="163"/>
      <c r="C6" s="86">
        <f>nz(IF1Cat)</f>
      </c>
      <c r="D6" s="87">
        <f>nz(IF1Base)</f>
      </c>
    </row>
    <row r="7" spans="1:4" ht="24.75" customHeight="1">
      <c r="A7" s="162" t="s">
        <v>240</v>
      </c>
      <c r="B7" s="163"/>
      <c r="C7" s="88">
        <f>nz(IF2CurCat)</f>
      </c>
      <c r="D7" s="87">
        <f>nz(IF2CurBase)</f>
      </c>
    </row>
    <row r="8" spans="1:4" ht="15" customHeight="1">
      <c r="A8" s="162" t="s">
        <v>186</v>
      </c>
      <c r="B8" s="163"/>
      <c r="C8" s="88">
        <f>nz(IF3CurCat)</f>
      </c>
      <c r="D8" s="87">
        <f>nz(IF3CurBase)</f>
      </c>
    </row>
    <row r="9" spans="1:4" ht="15" customHeight="1">
      <c r="A9" s="162" t="s">
        <v>187</v>
      </c>
      <c r="B9" s="163"/>
      <c r="C9" s="86">
        <f>nz(IF4CurCat)</f>
      </c>
      <c r="D9" s="87">
        <f>nz(IF4CurBase)</f>
      </c>
    </row>
    <row r="10" spans="1:4" ht="15" customHeight="1">
      <c r="A10" s="162" t="s">
        <v>188</v>
      </c>
      <c r="B10" s="163"/>
      <c r="C10" s="86">
        <f>nz(IF5Cat)</f>
      </c>
      <c r="D10" s="87">
        <f>nz(IF5Base)</f>
      </c>
    </row>
    <row r="11" spans="1:4" ht="24.75" customHeight="1">
      <c r="A11" s="162" t="s">
        <v>189</v>
      </c>
      <c r="B11" s="163"/>
      <c r="C11" s="86">
        <f>nz(IF6CurCat)</f>
      </c>
      <c r="D11" s="87">
        <f>nz(IF6CurBase)</f>
      </c>
    </row>
    <row r="12" spans="1:4" ht="15" customHeight="1">
      <c r="A12" s="162" t="s">
        <v>190</v>
      </c>
      <c r="B12" s="163"/>
      <c r="C12" s="86">
        <f>nz(IF7Cat)</f>
      </c>
      <c r="D12" s="87">
        <f>nz(IF7Base)</f>
      </c>
    </row>
    <row r="13" spans="1:4" ht="15" customHeight="1">
      <c r="A13" s="162" t="s">
        <v>191</v>
      </c>
      <c r="B13" s="163"/>
      <c r="C13" s="86">
        <f>nz(IF8Cat)</f>
      </c>
      <c r="D13" s="87">
        <f>nz(IF8Base)</f>
      </c>
    </row>
    <row r="14" spans="1:4" ht="15" customHeight="1">
      <c r="A14" s="162" t="s">
        <v>192</v>
      </c>
      <c r="B14" s="163"/>
      <c r="C14" s="86">
        <f>nz(IF9Cat)</f>
      </c>
      <c r="D14" s="87">
        <f>nz(IF9Base)</f>
      </c>
    </row>
    <row r="15" spans="1:4" ht="15" customHeight="1">
      <c r="A15" s="89"/>
      <c r="B15" s="90"/>
      <c r="C15" s="91" t="s">
        <v>40</v>
      </c>
      <c r="D15" s="92">
        <f>IF(SUM(D6:D14)=0,"",SUM(D6:D14))</f>
      </c>
    </row>
    <row r="16" spans="1:4" ht="15" customHeight="1" thickBot="1">
      <c r="A16" s="93"/>
      <c r="B16" s="94"/>
      <c r="C16" s="95" t="s">
        <v>236</v>
      </c>
      <c r="D16" s="96">
        <f>IF(D15="","",IF(D15&gt;'Validation Tables'!$C$54,'Validation Tables'!$B$53,IF(D15&gt;'Validation Tables'!$C$55,'Validation Tables'!$B$54,IF(D15&gt;'Validation Tables'!$C$56,'Validation Tables'!$B$55,'Validation Tables'!$B$56))))</f>
      </c>
    </row>
    <row r="17" ht="15" customHeight="1" thickTop="1"/>
    <row r="18" ht="15" customHeight="1"/>
    <row r="19" ht="15" customHeight="1" thickBot="1"/>
    <row r="20" spans="1:4" ht="15" customHeight="1" thickBot="1" thickTop="1">
      <c r="A20" s="98" t="s">
        <v>49</v>
      </c>
      <c r="B20" s="77">
        <f>nz('Summary Info'!$B$3,"")</f>
      </c>
      <c r="C20" s="99" t="s">
        <v>45</v>
      </c>
      <c r="D20" s="79"/>
    </row>
    <row r="21" spans="1:4" ht="15" customHeight="1">
      <c r="A21" s="80" t="s">
        <v>50</v>
      </c>
      <c r="B21" s="81">
        <f>nz('Summary Info'!$B$4,"")</f>
      </c>
      <c r="C21" s="82" t="s">
        <v>250</v>
      </c>
      <c r="D21" s="83" t="str">
        <f>'Validation Tables'!$B$60</f>
        <v>No Response Action</v>
      </c>
    </row>
    <row r="22" spans="1:4" ht="15" customHeight="1">
      <c r="A22" s="164" t="s">
        <v>38</v>
      </c>
      <c r="B22" s="165"/>
      <c r="C22" s="100" t="s">
        <v>39</v>
      </c>
      <c r="D22" s="84" t="s">
        <v>0</v>
      </c>
    </row>
    <row r="23" spans="1:4" ht="15" customHeight="1">
      <c r="A23" s="162" t="s">
        <v>185</v>
      </c>
      <c r="B23" s="163"/>
      <c r="C23" s="86">
        <f>nz(IF1Cat)</f>
      </c>
      <c r="D23" s="87">
        <f>nz(IF1Base)</f>
      </c>
    </row>
    <row r="24" spans="1:4" ht="27" customHeight="1">
      <c r="A24" s="162" t="s">
        <v>240</v>
      </c>
      <c r="B24" s="163"/>
      <c r="C24" s="88">
        <f>nz(IF2FutCat)</f>
      </c>
      <c r="D24" s="87">
        <f>nz(IF2FutBase)</f>
      </c>
    </row>
    <row r="25" spans="1:4" ht="15" customHeight="1">
      <c r="A25" s="162" t="s">
        <v>186</v>
      </c>
      <c r="B25" s="163"/>
      <c r="C25" s="88">
        <f>nz(IF3FutCat)</f>
      </c>
      <c r="D25" s="87">
        <f>nz(IF3FutBase)</f>
      </c>
    </row>
    <row r="26" spans="1:4" ht="15" customHeight="1">
      <c r="A26" s="162" t="s">
        <v>187</v>
      </c>
      <c r="B26" s="163"/>
      <c r="C26" s="86">
        <f>nz(IF4FutCat)</f>
      </c>
      <c r="D26" s="87">
        <f>nz(IF4FutBase)</f>
      </c>
    </row>
    <row r="27" spans="1:4" ht="15" customHeight="1">
      <c r="A27" s="162" t="s">
        <v>188</v>
      </c>
      <c r="B27" s="163"/>
      <c r="C27" s="86">
        <f>nz(IF5Cat)</f>
      </c>
      <c r="D27" s="87">
        <f>nz(IF5Base)</f>
      </c>
    </row>
    <row r="28" spans="1:4" ht="26.25" customHeight="1">
      <c r="A28" s="162" t="s">
        <v>189</v>
      </c>
      <c r="B28" s="163"/>
      <c r="C28" s="86">
        <f>nz(IF6FutCat)</f>
      </c>
      <c r="D28" s="87">
        <f>nz(IF6FutBase)</f>
      </c>
    </row>
    <row r="29" spans="1:4" ht="15" customHeight="1">
      <c r="A29" s="162" t="s">
        <v>190</v>
      </c>
      <c r="B29" s="163"/>
      <c r="C29" s="86">
        <f>nz(IF7Cat)</f>
      </c>
      <c r="D29" s="87">
        <f>nz(IF7Base)</f>
      </c>
    </row>
    <row r="30" spans="1:4" ht="15" customHeight="1">
      <c r="A30" s="162" t="s">
        <v>191</v>
      </c>
      <c r="B30" s="163"/>
      <c r="C30" s="86">
        <f>nz(IF8Cat)</f>
      </c>
      <c r="D30" s="87">
        <f>nz(IF8Base)</f>
      </c>
    </row>
    <row r="31" spans="1:4" ht="15" customHeight="1">
      <c r="A31" s="162" t="s">
        <v>192</v>
      </c>
      <c r="B31" s="163"/>
      <c r="C31" s="86">
        <f>nz(IF9Cat)</f>
      </c>
      <c r="D31" s="87">
        <f>nz(IF9Base)</f>
      </c>
    </row>
    <row r="32" spans="1:4" ht="15" customHeight="1">
      <c r="A32" s="89"/>
      <c r="B32" s="90"/>
      <c r="C32" s="91" t="s">
        <v>40</v>
      </c>
      <c r="D32" s="92">
        <f>IF(SUM(D23:D31)=0,"",SUM(D23:D31))</f>
      </c>
    </row>
    <row r="33" spans="1:4" ht="15" customHeight="1" thickBot="1">
      <c r="A33" s="93"/>
      <c r="B33" s="94"/>
      <c r="C33" s="95" t="s">
        <v>236</v>
      </c>
      <c r="D33" s="96">
        <f>IF(D32="","",IF(D32&gt;'Validation Tables'!$C$54,'Validation Tables'!$B$53,IF(D32&gt;'Validation Tables'!$C$55,'Validation Tables'!$B$54,IF(D32&gt;'Validation Tables'!$C$56,'Validation Tables'!$B$55,'Validation Tables'!$B$56))))</f>
      </c>
    </row>
    <row r="34" ht="15" customHeight="1" thickTop="1"/>
    <row r="35" ht="15" customHeight="1"/>
    <row r="36" ht="15" customHeight="1" thickBot="1"/>
    <row r="37" spans="1:4" ht="15" customHeight="1" thickBot="1" thickTop="1">
      <c r="A37" s="98" t="s">
        <v>49</v>
      </c>
      <c r="B37" s="77">
        <f>nz('Summary Info'!$B$3,"")</f>
      </c>
      <c r="C37" s="160" t="str">
        <f>"c.  Scoring Summary for Response Alternative 1: "&amp;nz(Alt1Title)</f>
        <v>c.  Scoring Summary for Response Alternative 1: </v>
      </c>
      <c r="D37" s="161"/>
    </row>
    <row r="38" spans="1:4" ht="30" customHeight="1">
      <c r="A38" s="80" t="s">
        <v>50</v>
      </c>
      <c r="B38" s="81">
        <f>nz('Summary Info'!$B$4,"")</f>
      </c>
      <c r="C38" s="82" t="s">
        <v>250</v>
      </c>
      <c r="D38" s="102">
        <f>nz(Alt1CleanupScope)</f>
      </c>
    </row>
    <row r="39" spans="1:4" ht="12.75">
      <c r="A39" s="164" t="s">
        <v>38</v>
      </c>
      <c r="B39" s="165"/>
      <c r="C39" s="100" t="s">
        <v>39</v>
      </c>
      <c r="D39" s="103" t="s">
        <v>0</v>
      </c>
    </row>
    <row r="40" spans="1:4" ht="15" customHeight="1">
      <c r="A40" s="162" t="s">
        <v>185</v>
      </c>
      <c r="B40" s="163"/>
      <c r="C40" s="86">
        <f>nz(IF1Cat,"")</f>
      </c>
      <c r="D40" s="87">
        <f>IF(D38="No MEC Cleanup",nz(IF1Base),IF(D38="Cleanup of MECs located on the surface only",nz(IF1Surf),IF(D38="Cleanup of MECs located both on the surface and subsurface",nz(IF1Sub),"")))</f>
      </c>
    </row>
    <row r="41" spans="1:4" ht="24.75" customHeight="1">
      <c r="A41" s="162" t="s">
        <v>240</v>
      </c>
      <c r="B41" s="163"/>
      <c r="C41" s="88">
        <f>IF(OR(IF2FutCat='Validation Tables'!$B$11,IF2CurCat='Validation Tables'!$B$11),'Validation Tables'!$B$11,IF(OR(IF2FutCat='Validation Tables'!$B$12,IF2CurCat='Validation Tables'!$B$12),'Validation Tables'!$B$12,""))</f>
      </c>
      <c r="D41" s="87">
        <f>IF(D38="No MEC Cleanup",IF(AND(IF2CurBase="",IF2FutBase=""),"",MAX(IF2CurBase,IF2FutBase)),IF(D38="Cleanup of MECs located on the surface only",IF(AND(IF2CurSurf="",IF2FutSurf=""),"",MAX(IF2CurSurf,IF2FutSurf)),IF(D38="Cleanup of MECs located both on the surface and subsurface",IF(AND(IF2CurSub="",IF2FutSub=""),"",MAX(IF2CurSub,IF2FutSub)),"")))</f>
      </c>
    </row>
    <row r="42" spans="1:4" ht="15" customHeight="1">
      <c r="A42" s="162" t="s">
        <v>186</v>
      </c>
      <c r="B42" s="163"/>
      <c r="C42" s="88">
        <f>nz(IF3Alt1Cat)</f>
      </c>
      <c r="D42" s="87">
        <f>IF(D38="No MEC Cleanup",nz(IF3Alt1Base),IF(D38="Cleanup of MECs located on the surface only",nz(IF3Alt1Surf),IF(D38="Cleanup of MECs located both on the surface and subsurface",nz(IF3Alt1Sub),"")))</f>
      </c>
    </row>
    <row r="43" spans="1:4" ht="15" customHeight="1">
      <c r="A43" s="162" t="s">
        <v>187</v>
      </c>
      <c r="B43" s="163"/>
      <c r="C43" s="86">
        <f>nz(IF4Alt1Cat)</f>
      </c>
      <c r="D43" s="87">
        <f>IF(D38="No MEC Cleanup",nz(IF4Alt1Base),IF(D38="Cleanup of MECs located on the surface only",nz(IF4Alt1Surf),IF(D38="Cleanup of MECs located both on the surface and subsurface",nz(IF4Alt1Sub),"")))</f>
      </c>
    </row>
    <row r="44" spans="1:4" ht="15" customHeight="1">
      <c r="A44" s="162" t="s">
        <v>188</v>
      </c>
      <c r="B44" s="163"/>
      <c r="C44" s="86">
        <f>nz(IF5Cat)</f>
      </c>
      <c r="D44" s="87">
        <f>IF(D38="No MEC Cleanup",nz(IF5Base),IF(D38="Cleanup of MECs located on the surface only",nz(IF5Surf),IF(D38="Cleanup of MECs located both on the surface and subsurface",nz(IF5Sub),"")))</f>
      </c>
    </row>
    <row r="45" spans="1:4" ht="28.5" customHeight="1">
      <c r="A45" s="162" t="s">
        <v>189</v>
      </c>
      <c r="B45" s="163"/>
      <c r="C45" s="86">
        <f>nz(IF6Alt1Cat)</f>
      </c>
      <c r="D45" s="87">
        <f>IF(D38="No MEC Cleanup",nz(IF6Alt1Base),IF(D38="Cleanup of MECs located on the surface only",nz(IF6Alt1Surf),IF(D38="Cleanup of MECs located both on the surface and subsurface",nz(IF6Alt1Sub),"")))</f>
      </c>
    </row>
    <row r="46" spans="1:4" ht="15" customHeight="1">
      <c r="A46" s="162" t="s">
        <v>190</v>
      </c>
      <c r="B46" s="163"/>
      <c r="C46" s="86">
        <f>nz(IF7Cat)</f>
      </c>
      <c r="D46" s="87">
        <f>IF(D38="No MEC Cleanup",nz(IF7Base),IF(D38="Cleanup of MECs located on the surface only",nz(IF7Surf),IF(D38="Cleanup of MECs located both on the surface and subsurface",nz(IF7Sub),"")))</f>
      </c>
    </row>
    <row r="47" spans="1:4" ht="15" customHeight="1">
      <c r="A47" s="162" t="s">
        <v>191</v>
      </c>
      <c r="B47" s="163"/>
      <c r="C47" s="86">
        <f>nz(IF8Cat)</f>
      </c>
      <c r="D47" s="87">
        <f>IF(D38="No MEC Cleanup",nz(IF8Base),IF(D38="Cleanup of MECs located on the surface only",nz(IF8Surf),IF(D38="Cleanup of MECs located both on the surface and subsurface",nz(IF8Sub),"")))</f>
      </c>
    </row>
    <row r="48" spans="1:4" ht="15" customHeight="1">
      <c r="A48" s="162" t="s">
        <v>192</v>
      </c>
      <c r="B48" s="163"/>
      <c r="C48" s="86">
        <f>nz(IF9Cat)</f>
      </c>
      <c r="D48" s="87">
        <f>IF(D38="No MEC Cleanup",nz(IF9Base),IF(D38="Cleanup of MECs located on the surface only",nz(IF9Surf),IF(D38="Cleanup of MECs located both on the surface and subsurface",nz(IF9Sub),"")))</f>
      </c>
    </row>
    <row r="49" spans="1:4" ht="15" customHeight="1">
      <c r="A49" s="89"/>
      <c r="B49" s="90"/>
      <c r="C49" s="91" t="s">
        <v>40</v>
      </c>
      <c r="D49" s="92">
        <f>IF(SUM(D40:D48)=0,"",SUM(D40:D48))</f>
      </c>
    </row>
    <row r="50" spans="1:4" ht="15" customHeight="1" thickBot="1">
      <c r="A50" s="93"/>
      <c r="B50" s="94"/>
      <c r="C50" s="95" t="s">
        <v>236</v>
      </c>
      <c r="D50" s="96">
        <f>IF(D49="","",IF(D49&gt;'Validation Tables'!$C$54,'Validation Tables'!$B$53,IF(D49&gt;'Validation Tables'!$C$55,'Validation Tables'!$B$54,IF(D49&gt;'Validation Tables'!$C$56,'Validation Tables'!$B$55,'Validation Tables'!$B$56))))</f>
      </c>
    </row>
    <row r="51" ht="15" customHeight="1" thickTop="1"/>
    <row r="52" ht="15" customHeight="1"/>
    <row r="53" ht="15" customHeight="1" thickBot="1"/>
    <row r="54" spans="1:4" ht="15" customHeight="1" thickBot="1" thickTop="1">
      <c r="A54" s="98" t="s">
        <v>49</v>
      </c>
      <c r="B54" s="77">
        <f>nz('Summary Info'!$B$3,"")</f>
      </c>
      <c r="C54" s="101" t="str">
        <f>"d.  Scoring Summary for Response Alternative 2: "&amp;Alt2Title</f>
        <v>d.  Scoring Summary for Response Alternative 2: </v>
      </c>
      <c r="D54" s="104"/>
    </row>
    <row r="55" spans="1:4" ht="30" customHeight="1">
      <c r="A55" s="80" t="s">
        <v>50</v>
      </c>
      <c r="B55" s="81">
        <f>nz('Summary Info'!$B$4,"")</f>
      </c>
      <c r="C55" s="82" t="s">
        <v>250</v>
      </c>
      <c r="D55" s="102">
        <f>nz(alt2CleanupScope)</f>
      </c>
    </row>
    <row r="56" spans="1:4" ht="15" customHeight="1">
      <c r="A56" s="164" t="s">
        <v>38</v>
      </c>
      <c r="B56" s="165"/>
      <c r="C56" s="100" t="s">
        <v>39</v>
      </c>
      <c r="D56" s="103" t="s">
        <v>0</v>
      </c>
    </row>
    <row r="57" spans="1:4" ht="15" customHeight="1">
      <c r="A57" s="162" t="s">
        <v>185</v>
      </c>
      <c r="B57" s="163"/>
      <c r="C57" s="86">
        <f>nz(IF1Cat,"")</f>
      </c>
      <c r="D57" s="87">
        <f>IF(D55="No MEC Cleanup",nz(IF1Base),IF(D55="Cleanup of MECs located on the surface only",nz(IF1Surf),IF(D55="Cleanup of MECs located both on the surface and subsurface",nz(IF1Sub),"")))</f>
      </c>
    </row>
    <row r="58" spans="1:4" ht="24.75" customHeight="1">
      <c r="A58" s="162" t="s">
        <v>240</v>
      </c>
      <c r="B58" s="163"/>
      <c r="C58" s="88">
        <f>IF(OR(IF2FutCat='Validation Tables'!$B$11,IF2CurCat='Validation Tables'!$B$11),'Validation Tables'!$B$11,IF(OR(IF2FutCat='Validation Tables'!$B$12,IF2CurCat='Validation Tables'!$B$12),'Validation Tables'!$B$12,""))</f>
      </c>
      <c r="D58" s="87">
        <f>IF(D55="No MEC Cleanup",IF(AND(IF2CurBase="",IF2FutBase=""),"",MAX(IF2CurBase,IF2FutBase)),IF(D55="Cleanup of MECs located on the surface only",IF(AND(IF2CurSurf="",IF2FutSurf=""),"",MAX(IF2CurSurf,IF2FutSurf)),IF(D55="Cleanup of MECs located both on the surface and subsurface",IF(AND(IF2CurSub="",IF2FutSub=""),"",MAX(IF2CurSub,IF2FutSub)),"")))</f>
      </c>
    </row>
    <row r="59" spans="1:4" ht="15" customHeight="1">
      <c r="A59" s="162" t="s">
        <v>186</v>
      </c>
      <c r="B59" s="163"/>
      <c r="C59" s="88">
        <f>nz(IF3Alt2Cat)</f>
      </c>
      <c r="D59" s="87">
        <f>IF(D55="No MEC Cleanup",nz(IF3Alt2Base),IF(D55="Cleanup of MECs located on the surface only",nz(IF3Alt2Surf),IF(D55="Cleanup of MECs located both on the surface and subsurface",nz(IF3Alt2Sub),"")))</f>
      </c>
    </row>
    <row r="60" spans="1:4" ht="15" customHeight="1">
      <c r="A60" s="162" t="s">
        <v>187</v>
      </c>
      <c r="B60" s="163"/>
      <c r="C60" s="86">
        <f>nz(IF4Alt2Cat)</f>
      </c>
      <c r="D60" s="87">
        <f>IF(D55="No MEC Cleanup",nz(IF4Alt2Base),IF(D55="Cleanup of MECs located on the surface only",nz(IF4Alt2Surf),IF(D55="Cleanup of MECs located both on the surface and subsurface",nz(IF4Alt2Sub),"")))</f>
      </c>
    </row>
    <row r="61" spans="1:4" ht="15" customHeight="1">
      <c r="A61" s="162" t="s">
        <v>188</v>
      </c>
      <c r="B61" s="163"/>
      <c r="C61" s="86">
        <f>nz(IF5Cat)</f>
      </c>
      <c r="D61" s="87">
        <f>IF(D55="No MEC Cleanup",nz(IF5Base),IF(D55="Cleanup of MECs located on the surface only",nz(IF5Surf),IF(D55="Cleanup of MECs located both on the surface and subsurface",nz(IF5Sub),"")))</f>
      </c>
    </row>
    <row r="62" spans="1:4" ht="27" customHeight="1">
      <c r="A62" s="162" t="s">
        <v>189</v>
      </c>
      <c r="B62" s="163"/>
      <c r="C62" s="86">
        <f>nz(IF6Alt2Cat)</f>
      </c>
      <c r="D62" s="87">
        <f>IF(D55="No MEC Cleanup",nz(IF6Alt2Base),IF(D55="Cleanup of MECs located on the surface only",nz(IF6Alt2Surf),IF(D55="Cleanup of MECs located both on the surface and subsurface",nz(IF6Alt2Sub),"")))</f>
      </c>
    </row>
    <row r="63" spans="1:4" ht="15" customHeight="1">
      <c r="A63" s="162" t="s">
        <v>190</v>
      </c>
      <c r="B63" s="163"/>
      <c r="C63" s="86">
        <f>nz(IF7Cat)</f>
      </c>
      <c r="D63" s="87">
        <f>IF(D55="No MEC Cleanup",nz(IF7Base),IF(D55="Cleanup of MECs located on the surface only",nz(IF7Surf),IF(D55="Cleanup of MECs located both on the surface and subsurface",nz(IF7Sub),"")))</f>
      </c>
    </row>
    <row r="64" spans="1:4" ht="15" customHeight="1">
      <c r="A64" s="162" t="s">
        <v>191</v>
      </c>
      <c r="B64" s="163"/>
      <c r="C64" s="86">
        <f>nz(IF8Cat)</f>
      </c>
      <c r="D64" s="87">
        <f>IF(D55="No MEC Cleanup",nz(IF8Base),IF(D55="Cleanup of MECs located on the surface only",nz(IF8Surf),IF(D55="Cleanup of MECs located both on the surface and subsurface",nz(IF8Sub),"")))</f>
      </c>
    </row>
    <row r="65" spans="1:4" ht="15" customHeight="1">
      <c r="A65" s="162" t="s">
        <v>192</v>
      </c>
      <c r="B65" s="163"/>
      <c r="C65" s="86">
        <f>nz(IF9Cat)</f>
      </c>
      <c r="D65" s="87">
        <f>IF(D55="No MEC Cleanup",nz(IF9Base),IF(D55="Cleanup of MECs located on the surface only",nz(IF9Surf),IF(D55="Cleanup of MECs located both on the surface and subsurface",nz(IF9Sub),"")))</f>
      </c>
    </row>
    <row r="66" spans="1:4" ht="15" customHeight="1">
      <c r="A66" s="89"/>
      <c r="B66" s="90"/>
      <c r="C66" s="91" t="s">
        <v>40</v>
      </c>
      <c r="D66" s="92">
        <f>IF(SUM(D57:D65)=0,"",SUM(D57:D65))</f>
      </c>
    </row>
    <row r="67" spans="1:4" ht="15" customHeight="1" thickBot="1">
      <c r="A67" s="93"/>
      <c r="B67" s="94"/>
      <c r="C67" s="95" t="s">
        <v>236</v>
      </c>
      <c r="D67" s="96">
        <f>IF(D66="","",IF(D66&gt;'Validation Tables'!$C$54,'Validation Tables'!$B$53,IF(D66&gt;'Validation Tables'!$C$55,'Validation Tables'!$B$54,IF(D66&gt;'Validation Tables'!$C$56,'Validation Tables'!$B$55,'Validation Tables'!$B$56))))</f>
      </c>
    </row>
    <row r="68" ht="15" customHeight="1" thickTop="1"/>
    <row r="69" ht="15" customHeight="1"/>
    <row r="70" ht="15" customHeight="1" thickBot="1"/>
    <row r="71" spans="1:4" ht="15" customHeight="1" thickBot="1" thickTop="1">
      <c r="A71" s="98" t="s">
        <v>49</v>
      </c>
      <c r="B71" s="77">
        <f>nz('Summary Info'!$B$3,"")</f>
      </c>
      <c r="C71" s="160" t="str">
        <f>"e.  Scoring Summary for Response Alternative 3: "&amp;Alt3Title</f>
        <v>e.  Scoring Summary for Response Alternative 3: </v>
      </c>
      <c r="D71" s="161"/>
    </row>
    <row r="72" spans="1:4" ht="30" customHeight="1">
      <c r="A72" s="80" t="s">
        <v>50</v>
      </c>
      <c r="B72" s="81">
        <f>nz('Summary Info'!$B$4,"")</f>
      </c>
      <c r="C72" s="82" t="s">
        <v>250</v>
      </c>
      <c r="D72" s="102">
        <f>nz(alt3CleanupScope)</f>
      </c>
    </row>
    <row r="73" spans="1:4" ht="15" customHeight="1">
      <c r="A73" s="164" t="s">
        <v>38</v>
      </c>
      <c r="B73" s="165"/>
      <c r="C73" s="100" t="s">
        <v>39</v>
      </c>
      <c r="D73" s="103" t="s">
        <v>0</v>
      </c>
    </row>
    <row r="74" spans="1:4" ht="15" customHeight="1">
      <c r="A74" s="162" t="s">
        <v>185</v>
      </c>
      <c r="B74" s="163"/>
      <c r="C74" s="86">
        <f>nz(IF1Cat,"")</f>
      </c>
      <c r="D74" s="87">
        <f>IF(D72="No MEC Cleanup",nz(IF1Base),IF(D72="Cleanup of MECs located on the surface only",nz(IF1Surf),IF(D72="Cleanup of MECs located both on the surface and subsurface",nz(IF1Sub),"")))</f>
      </c>
    </row>
    <row r="75" spans="1:4" ht="24.75" customHeight="1">
      <c r="A75" s="162" t="s">
        <v>240</v>
      </c>
      <c r="B75" s="163"/>
      <c r="C75" s="88">
        <f>IF(OR(IF2FutCat='Validation Tables'!$B$11,IF2CurCat='Validation Tables'!$B$11),'Validation Tables'!$B$11,IF(OR(IF2FutCat='Validation Tables'!$B$12,IF2CurCat='Validation Tables'!$B$12),'Validation Tables'!$B$12,""))</f>
      </c>
      <c r="D75" s="87">
        <f>IF(D72="No MEC Cleanup",IF(AND(IF2CurBase="",IF2FutBase=""),"",MAX(IF2CurBase,IF2FutBase)),IF(D72="Cleanup of MECs located on the surface only",IF(AND(IF2CurSurf="",IF2FutSurf=""),"",MAX(IF2CurSurf,IF2FutSurf)),IF(D72="Cleanup of MECs located both on the surface and subsurface",IF(AND(IF2CurSub="",IF2FutSub=""),"",MAX(IF2CurSub,IF2FutSub)),"")))</f>
      </c>
    </row>
    <row r="76" spans="1:4" ht="15" customHeight="1">
      <c r="A76" s="162" t="s">
        <v>186</v>
      </c>
      <c r="B76" s="163"/>
      <c r="C76" s="88">
        <f>nz(IF3Alt3Cat)</f>
      </c>
      <c r="D76" s="87">
        <f>IF(D72="No MEC Cleanup",nz(IF3Alt3Base),IF(D72="Cleanup of MECs located on the surface only",nz(IF3Alt3Surf),IF(D72="Cleanup of MECs located both on the surface and subsurface",nz(IF3Alt3Sub),"")))</f>
      </c>
    </row>
    <row r="77" spans="1:4" ht="15" customHeight="1">
      <c r="A77" s="162" t="s">
        <v>187</v>
      </c>
      <c r="B77" s="163"/>
      <c r="C77" s="86">
        <f>nz(IF4Alt3Cat)</f>
      </c>
      <c r="D77" s="87">
        <f>IF(D72="No MEC Cleanup",nz(IF4Alt3Base),IF(D72="Cleanup of MECs located on the surface only",nz(IF4Alt3Surf),IF(D72="Cleanup of MECs located both on the surface and subsurface",nz(IF4Alt3Sub),"")))</f>
      </c>
    </row>
    <row r="78" spans="1:4" ht="15" customHeight="1">
      <c r="A78" s="162" t="s">
        <v>188</v>
      </c>
      <c r="B78" s="163"/>
      <c r="C78" s="86">
        <f>nz(IF5Cat)</f>
      </c>
      <c r="D78" s="87">
        <f>IF(D72="No MEC Cleanup",nz(IF5Base),IF(D72="Cleanup of MECs located on the surface only",nz(IF5Surf),IF(D72="Cleanup of MECs located both on the surface and subsurface",nz(IF5Sub),"")))</f>
      </c>
    </row>
    <row r="79" spans="1:4" ht="27" customHeight="1">
      <c r="A79" s="162" t="s">
        <v>189</v>
      </c>
      <c r="B79" s="163"/>
      <c r="C79" s="86">
        <f>nz(IF6Alt3Cat)</f>
      </c>
      <c r="D79" s="87">
        <f>IF(D72="No MEC Cleanup",nz(IF6Alt3Base),IF(D72="Cleanup of MECs located on the surface only",nz(IF6Alt3Surf),IF(D72="Cleanup of MECs located both on the surface and subsurface",nz(IF6Alt3Sub),"")))</f>
      </c>
    </row>
    <row r="80" spans="1:4" ht="15" customHeight="1">
      <c r="A80" s="162" t="s">
        <v>190</v>
      </c>
      <c r="B80" s="163"/>
      <c r="C80" s="86">
        <f>nz(IF7Cat)</f>
      </c>
      <c r="D80" s="87">
        <f>IF(D72="No MEC Cleanup",nz(IF7Base),IF(D72="Cleanup of MECs located on the surface only",nz(IF7Surf),IF(D72="Cleanup of MECs located both on the surface and subsurface",nz(IF7Sub),"")))</f>
      </c>
    </row>
    <row r="81" spans="1:4" ht="15" customHeight="1">
      <c r="A81" s="162" t="s">
        <v>191</v>
      </c>
      <c r="B81" s="163"/>
      <c r="C81" s="86">
        <f>nz(IF8Cat)</f>
      </c>
      <c r="D81" s="87">
        <f>IF(D72="No MEC Cleanup",nz(IF8Base),IF(D72="Cleanup of MECs located on the surface only",nz(IF8Surf),IF(D72="Cleanup of MECs located both on the surface and subsurface",nz(IF8Sub),"")))</f>
      </c>
    </row>
    <row r="82" spans="1:4" ht="15" customHeight="1">
      <c r="A82" s="162" t="s">
        <v>192</v>
      </c>
      <c r="B82" s="163"/>
      <c r="C82" s="86">
        <f>nz(IF9Cat)</f>
      </c>
      <c r="D82" s="87">
        <f>IF(D72="No MEC Cleanup",nz(IF9Base),IF(D72="Cleanup of MECs located on the surface only",nz(IF9Surf),IF(D72="Cleanup of MECs located both on the surface and subsurface",nz(IF9Sub),"")))</f>
      </c>
    </row>
    <row r="83" spans="1:4" ht="15" customHeight="1">
      <c r="A83" s="89"/>
      <c r="B83" s="90"/>
      <c r="C83" s="91" t="s">
        <v>40</v>
      </c>
      <c r="D83" s="92">
        <f>IF(SUM(D74:D82)=0,"",SUM(D74:D82))</f>
      </c>
    </row>
    <row r="84" spans="1:4" ht="15" customHeight="1" thickBot="1">
      <c r="A84" s="93"/>
      <c r="B84" s="94"/>
      <c r="C84" s="95" t="s">
        <v>236</v>
      </c>
      <c r="D84" s="96">
        <f>IF(D83="","",IF(D83&gt;'Validation Tables'!$C$54,'Validation Tables'!$B$53,IF(D83&gt;'Validation Tables'!$C$55,'Validation Tables'!$B$54,IF(D83&gt;'Validation Tables'!$C$56,'Validation Tables'!$B$55,'Validation Tables'!$B$56))))</f>
      </c>
    </row>
    <row r="85" ht="15" customHeight="1" thickTop="1"/>
    <row r="86" ht="15" customHeight="1"/>
    <row r="87" ht="15" customHeight="1" thickBot="1"/>
    <row r="88" spans="1:4" ht="15" customHeight="1" thickBot="1" thickTop="1">
      <c r="A88" s="98" t="s">
        <v>49</v>
      </c>
      <c r="B88" s="77">
        <f>nz('Summary Info'!$B$3,"")</f>
      </c>
      <c r="C88" s="105" t="str">
        <f>"f.  Scoring Summary for Response Alternative 4: "&amp;Alt4Title</f>
        <v>f.  Scoring Summary for Response Alternative 4: </v>
      </c>
      <c r="D88" s="106"/>
    </row>
    <row r="89" spans="1:4" ht="30" customHeight="1">
      <c r="A89" s="80" t="s">
        <v>50</v>
      </c>
      <c r="B89" s="81">
        <f>nz('Summary Info'!$B$4,"")</f>
      </c>
      <c r="C89" s="82" t="s">
        <v>250</v>
      </c>
      <c r="D89" s="102">
        <f>nz(alt4CleanupScope)</f>
      </c>
    </row>
    <row r="90" spans="1:4" ht="15" customHeight="1">
      <c r="A90" s="164" t="s">
        <v>38</v>
      </c>
      <c r="B90" s="165"/>
      <c r="C90" s="100" t="s">
        <v>39</v>
      </c>
      <c r="D90" s="103" t="s">
        <v>0</v>
      </c>
    </row>
    <row r="91" spans="1:4" ht="15" customHeight="1">
      <c r="A91" s="162" t="s">
        <v>185</v>
      </c>
      <c r="B91" s="163"/>
      <c r="C91" s="86">
        <f>nz(IF1Cat,"")</f>
      </c>
      <c r="D91" s="87">
        <f>IF(D89="No MEC Cleanup",nz(IF1Base),IF(D89="Cleanup of MECs located on the surface only",nz(IF1Surf),IF(D89="Cleanup of MECs located both on the surface and subsurface",nz(IF1Sub),"")))</f>
      </c>
    </row>
    <row r="92" spans="1:4" ht="24.75" customHeight="1">
      <c r="A92" s="162" t="s">
        <v>240</v>
      </c>
      <c r="B92" s="163"/>
      <c r="C92" s="88">
        <f>IF(OR(IF2FutCat='Validation Tables'!$B$11,IF2CurCat='Validation Tables'!$B$11),'Validation Tables'!$B$11,IF(OR(IF2FutCat='Validation Tables'!$B$12,IF2CurCat='Validation Tables'!$B$12),'Validation Tables'!$B$12,""))</f>
      </c>
      <c r="D92" s="87">
        <f>IF(D89="No MEC Cleanup",IF(AND(IF2CurBase="",IF2FutBase=""),"",MAX(IF2CurBase,IF2FutBase)),IF(D89="Cleanup of MECs located on the surface only",IF(AND(IF2CurSurf="",IF2FutSurf=""),"",MAX(IF2CurSurf,IF2FutSurf)),IF(D89="Cleanup of MECs located both on the surface and subsurface",IF(AND(IF2CurSub="",IF2FutSub=""),"",MAX(IF2CurSub,IF2FutSub)),"")))</f>
      </c>
    </row>
    <row r="93" spans="1:4" ht="15" customHeight="1">
      <c r="A93" s="162" t="s">
        <v>186</v>
      </c>
      <c r="B93" s="163"/>
      <c r="C93" s="88">
        <f>nz(IF3Alt4Cat)</f>
      </c>
      <c r="D93" s="87">
        <f>IF(D89="No MEC Cleanup",nz(IF3Alt4Base),IF(D89="Cleanup of MECs located on the surface only",nz(IF3Alt4Surf),IF(D89="Cleanup of MECs located both on the surface and subsurface",nz(IF3Alt4Sub),"")))</f>
      </c>
    </row>
    <row r="94" spans="1:4" ht="15" customHeight="1">
      <c r="A94" s="162" t="s">
        <v>187</v>
      </c>
      <c r="B94" s="163"/>
      <c r="C94" s="86">
        <f>nz(IF4Alt4Cat)</f>
      </c>
      <c r="D94" s="87">
        <f>IF(D89="No MEC Cleanup",nz(IF4Alt4Base),IF(D89="Cleanup of MECs located on the surface only",nz(IF4Alt4Surf),IF(D89="Cleanup of MECs located both on the surface and subsurface",nz(IF4Alt4Sub),"")))</f>
      </c>
    </row>
    <row r="95" spans="1:4" ht="15" customHeight="1">
      <c r="A95" s="162" t="s">
        <v>188</v>
      </c>
      <c r="B95" s="163"/>
      <c r="C95" s="86">
        <f>nz(IF5Cat)</f>
      </c>
      <c r="D95" s="87">
        <f>IF(D89="No MEC Cleanup",nz(IF5Base),IF(D89="Cleanup of MECs located on the surface only",nz(IF5Surf),IF(D89="Cleanup of MECs located both on the surface and subsurface",nz(IF5Sub),"")))</f>
      </c>
    </row>
    <row r="96" spans="1:4" ht="27" customHeight="1">
      <c r="A96" s="162" t="s">
        <v>189</v>
      </c>
      <c r="B96" s="163"/>
      <c r="C96" s="86">
        <f>nz(IF6Alt4Cat)</f>
      </c>
      <c r="D96" s="87">
        <f>IF(D89="No MEC Cleanup",nz(IF6Alt4Base),IF(D89="Cleanup of MECs located on the surface only",nz(IF6Alt4Surf),IF(D89="Cleanup of MECs located both on the surface and subsurface",nz(IF6Alt4Sub),"")))</f>
      </c>
    </row>
    <row r="97" spans="1:4" ht="15" customHeight="1">
      <c r="A97" s="162" t="s">
        <v>190</v>
      </c>
      <c r="B97" s="163"/>
      <c r="C97" s="86">
        <f>nz(IF7Cat)</f>
      </c>
      <c r="D97" s="87">
        <f>IF(D89="No MEC Cleanup",nz(IF7Base),IF(D89="Cleanup of MECs located on the surface only",nz(IF7Surf),IF(D89="Cleanup of MECs located both on the surface and subsurface",nz(IF7Sub),"")))</f>
      </c>
    </row>
    <row r="98" spans="1:4" ht="15" customHeight="1">
      <c r="A98" s="162" t="s">
        <v>191</v>
      </c>
      <c r="B98" s="163"/>
      <c r="C98" s="86">
        <f>nz(IF8Cat)</f>
      </c>
      <c r="D98" s="87">
        <f>IF(D89="No MEC Cleanup",nz(IF8Base),IF(D89="Cleanup of MECs located on the surface only",nz(IF8Surf),IF(D89="Cleanup of MECs located both on the surface and subsurface",nz(IF8Sub),"")))</f>
      </c>
    </row>
    <row r="99" spans="1:4" ht="15" customHeight="1">
      <c r="A99" s="162" t="s">
        <v>192</v>
      </c>
      <c r="B99" s="163"/>
      <c r="C99" s="86">
        <f>nz(IF9Cat)</f>
      </c>
      <c r="D99" s="87">
        <f>IF(D89="No MEC Cleanup",nz(IF9Base),IF(D89="Cleanup of MECs located on the surface only",nz(IF9Surf),IF(D89="Cleanup of MECs located both on the surface and subsurface",nz(IF9Sub),"")))</f>
      </c>
    </row>
    <row r="100" spans="1:4" ht="15" customHeight="1">
      <c r="A100" s="89"/>
      <c r="B100" s="90"/>
      <c r="C100" s="91" t="s">
        <v>40</v>
      </c>
      <c r="D100" s="92">
        <f>IF(SUM(D91:D99)=0,"",SUM(D91:D99))</f>
      </c>
    </row>
    <row r="101" spans="1:4" ht="15" customHeight="1" thickBot="1">
      <c r="A101" s="93"/>
      <c r="B101" s="94"/>
      <c r="C101" s="95" t="s">
        <v>236</v>
      </c>
      <c r="D101" s="96">
        <f>IF(D100="","",IF(D100&gt;'Validation Tables'!$C$54,'Validation Tables'!$B$53,IF(D100&gt;'Validation Tables'!$C$55,'Validation Tables'!$B$54,IF(D100&gt;'Validation Tables'!$C$56,'Validation Tables'!$B$55,'Validation Tables'!$B$56))))</f>
      </c>
    </row>
    <row r="102" ht="15" customHeight="1" thickTop="1"/>
    <row r="103" ht="15" customHeight="1"/>
    <row r="104" ht="13.5" thickBot="1"/>
    <row r="105" spans="1:4" ht="14.25" thickBot="1" thickTop="1">
      <c r="A105" s="98" t="s">
        <v>49</v>
      </c>
      <c r="B105" s="77">
        <f>nz('Summary Info'!$B$3,"")</f>
      </c>
      <c r="C105" s="105" t="str">
        <f>"g.  Scoring Summary for Response Alternative 5: "&amp;Alt5Title</f>
        <v>g.  Scoring Summary for Response Alternative 5: </v>
      </c>
      <c r="D105" s="106"/>
    </row>
    <row r="106" spans="1:4" ht="25.5" customHeight="1">
      <c r="A106" s="80" t="s">
        <v>50</v>
      </c>
      <c r="B106" s="81">
        <f>nz('Summary Info'!$B$4,"")</f>
      </c>
      <c r="C106" s="82" t="s">
        <v>250</v>
      </c>
      <c r="D106" s="102">
        <f>nz(alt5CleanupScope)</f>
      </c>
    </row>
    <row r="107" spans="1:4" ht="12.75">
      <c r="A107" s="164" t="s">
        <v>38</v>
      </c>
      <c r="B107" s="165"/>
      <c r="C107" s="100" t="s">
        <v>39</v>
      </c>
      <c r="D107" s="103" t="s">
        <v>0</v>
      </c>
    </row>
    <row r="108" spans="1:4" ht="12.75">
      <c r="A108" s="162" t="s">
        <v>185</v>
      </c>
      <c r="B108" s="163"/>
      <c r="C108" s="86">
        <f>nz(IF1Cat,"")</f>
      </c>
      <c r="D108" s="87">
        <f>IF(D106="No MEC Cleanup",nz(IF1Base),IF(D106="Cleanup of MECs located on the surface only",nz(IF1Surf),IF(D106="Cleanup of MECs located both on the surface and subsurface",nz(IF1Sub),"")))</f>
      </c>
    </row>
    <row r="109" spans="1:4" ht="27" customHeight="1">
      <c r="A109" s="162" t="s">
        <v>240</v>
      </c>
      <c r="B109" s="163"/>
      <c r="C109" s="88">
        <f>IF(OR(IF2FutCat='Validation Tables'!$B$11,IF2CurCat='Validation Tables'!$B$11),'Validation Tables'!$B$11,IF(OR(IF2FutCat='Validation Tables'!$B$12,IF2CurCat='Validation Tables'!$B$12),'Validation Tables'!$B$12,""))</f>
      </c>
      <c r="D109" s="87">
        <f>IF(D106="No MEC Cleanup",IF(AND(IF2CurBase="",IF2FutBase=""),"",MAX(IF2CurBase,IF2FutBase)),IF(D106="Cleanup of MECs located on the surface only",IF(AND(IF2CurSurf="",IF2FutSurf=""),"",MAX(IF2CurSurf,IF2FutSurf)),IF(D106="Cleanup of MECs located both on the surface and subsurface",IF(AND(IF2CurSub="",IF2FutSub=""),"",MAX(IF2CurSub,IF2FutSub)),"")))</f>
      </c>
    </row>
    <row r="110" spans="1:4" ht="12.75">
      <c r="A110" s="162" t="s">
        <v>186</v>
      </c>
      <c r="B110" s="163"/>
      <c r="C110" s="88">
        <f>nz(IF3Alt5Cat)</f>
      </c>
      <c r="D110" s="87">
        <f>IF(D106="No MEC Cleanup",nz(IF3Alt5Base),IF(D106="Cleanup of MECs located on the surface only",nz(IF3Alt5Surf),IF(D106="Cleanup of MECs located both on the surface and subsurface",nz(IF3Alt5Sub),"")))</f>
      </c>
    </row>
    <row r="111" spans="1:4" ht="12.75">
      <c r="A111" s="162" t="s">
        <v>187</v>
      </c>
      <c r="B111" s="163"/>
      <c r="C111" s="86">
        <f>nz(IF4Alt5Cat)</f>
      </c>
      <c r="D111" s="87">
        <f>IF(D106="No MEC Cleanup",nz(IF4Alt5Base),IF(D106="Cleanup of MECs located on the surface only",nz(IF4Alt5Surf),IF(D106="Cleanup of MECs located both on the surface and subsurface",nz(IF4Alt5Sub),"")))</f>
      </c>
    </row>
    <row r="112" spans="1:4" ht="12.75">
      <c r="A112" s="162" t="s">
        <v>188</v>
      </c>
      <c r="B112" s="163"/>
      <c r="C112" s="86">
        <f>nz(IF5Cat)</f>
      </c>
      <c r="D112" s="87">
        <f>IF(D106="No MEC Cleanup",nz(IF5Base),IF(D106="Cleanup of MECs located on the surface only",nz(IF5Surf),IF(D106="Cleanup of MECs located both on the surface and subsurface",nz(IF5Sub),"")))</f>
      </c>
    </row>
    <row r="113" spans="1:4" ht="27" customHeight="1">
      <c r="A113" s="162" t="s">
        <v>189</v>
      </c>
      <c r="B113" s="163"/>
      <c r="C113" s="86">
        <f>nz(IF6Alt5Cat)</f>
      </c>
      <c r="D113" s="87">
        <f>IF(D106="No MEC Cleanup",nz(IF6Alt5Base),IF(D106="Cleanup of MECs located on the surface only",nz(IF6Alt5Surf),IF(D106="Cleanup of MECs located both on the surface and subsurface",nz(IF6Alt5Sub),"")))</f>
      </c>
    </row>
    <row r="114" spans="1:4" ht="12.75">
      <c r="A114" s="162" t="s">
        <v>190</v>
      </c>
      <c r="B114" s="163"/>
      <c r="C114" s="86">
        <f>nz(IF7Cat)</f>
      </c>
      <c r="D114" s="87">
        <f>IF(D106="No MEC Cleanup",nz(IF7Base),IF(D106="Cleanup of MECs located on the surface only",nz(IF7Surf),IF(D106="Cleanup of MECs located both on the surface and subsurface",nz(IF7Sub),"")))</f>
      </c>
    </row>
    <row r="115" spans="1:4" ht="12.75">
      <c r="A115" s="162" t="s">
        <v>191</v>
      </c>
      <c r="B115" s="163"/>
      <c r="C115" s="86">
        <f>nz(IF8Cat)</f>
      </c>
      <c r="D115" s="87">
        <f>IF(D106="No MEC Cleanup",nz(IF8Base),IF(D106="Cleanup of MECs located on the surface only",nz(IF8Surf),IF(D106="Cleanup of MECs located both on the surface and subsurface",nz(IF8Sub),"")))</f>
      </c>
    </row>
    <row r="116" spans="1:4" ht="12.75">
      <c r="A116" s="162" t="s">
        <v>192</v>
      </c>
      <c r="B116" s="163"/>
      <c r="C116" s="86">
        <f>nz(IF9Cat)</f>
      </c>
      <c r="D116" s="87">
        <f>IF(D106="No MEC Cleanup",nz(IF9Base),IF(D106="Cleanup of MECs located on the surface only",nz(IF9Surf),IF(D106="Cleanup of MECs located both on the surface and subsurface",nz(IF9Sub),"")))</f>
      </c>
    </row>
    <row r="117" spans="1:4" ht="12.75">
      <c r="A117" s="89"/>
      <c r="B117" s="90"/>
      <c r="C117" s="91" t="s">
        <v>40</v>
      </c>
      <c r="D117" s="92">
        <f>IF(SUM(D108:D116)=0,"",SUM(D108:D116))</f>
      </c>
    </row>
    <row r="118" spans="1:4" ht="13.5" thickBot="1">
      <c r="A118" s="93"/>
      <c r="B118" s="94"/>
      <c r="C118" s="95" t="s">
        <v>236</v>
      </c>
      <c r="D118" s="96">
        <f>IF(D117="","",IF(D117&gt;'Validation Tables'!$C$54,'Validation Tables'!$B$53,IF(D117&gt;'Validation Tables'!$C$55,'Validation Tables'!$B$54,IF(D117&gt;'Validation Tables'!$C$56,'Validation Tables'!$B$55,'Validation Tables'!$B$56))))</f>
      </c>
    </row>
    <row r="119" ht="13.5" thickTop="1"/>
    <row r="121" ht="13.5" thickBot="1"/>
    <row r="122" spans="1:4" ht="14.25" thickBot="1" thickTop="1">
      <c r="A122" s="98" t="s">
        <v>49</v>
      </c>
      <c r="B122" s="77">
        <f>nz('Summary Info'!$B$3,"")</f>
      </c>
      <c r="C122" s="105" t="str">
        <f>"h.  Scoring Summary for Response Alternative 6: "&amp;Alt6Title</f>
        <v>h.  Scoring Summary for Response Alternative 6: </v>
      </c>
      <c r="D122" s="106"/>
    </row>
    <row r="123" spans="1:4" ht="25.5" customHeight="1">
      <c r="A123" s="80" t="s">
        <v>50</v>
      </c>
      <c r="B123" s="81">
        <f>nz('Summary Info'!$B$4,"")</f>
      </c>
      <c r="C123" s="82" t="s">
        <v>250</v>
      </c>
      <c r="D123" s="102">
        <f>nz(alt6CleanupScope)</f>
      </c>
    </row>
    <row r="124" spans="1:4" ht="12.75">
      <c r="A124" s="164" t="s">
        <v>38</v>
      </c>
      <c r="B124" s="165"/>
      <c r="C124" s="100" t="s">
        <v>39</v>
      </c>
      <c r="D124" s="103" t="s">
        <v>0</v>
      </c>
    </row>
    <row r="125" spans="1:4" ht="12.75">
      <c r="A125" s="162" t="s">
        <v>185</v>
      </c>
      <c r="B125" s="163"/>
      <c r="C125" s="86">
        <f>nz(IF1Cat,"")</f>
      </c>
      <c r="D125" s="87">
        <f>IF(D123="No MEC Cleanup",nz(IF1Base),IF(D123="Cleanup of MECs located on the surface only",nz(IF1Surf),IF(D123="Cleanup of MECs located both on the surface and subsurface",nz(IF1Sub),"")))</f>
      </c>
    </row>
    <row r="126" spans="1:4" ht="26.25" customHeight="1">
      <c r="A126" s="162" t="s">
        <v>240</v>
      </c>
      <c r="B126" s="163"/>
      <c r="C126" s="88">
        <f>IF(OR(IF2FutCat='Validation Tables'!$B$11,IF2CurCat='Validation Tables'!$B$11),'Validation Tables'!$B$11,IF(OR(IF2FutCat='Validation Tables'!$B$12,IF2CurCat='Validation Tables'!$B$12),'Validation Tables'!$B$12,""))</f>
      </c>
      <c r="D126" s="87">
        <f>IF(D123="No MEC Cleanup",IF(AND(IF2CurBase="",IF2FutBase=""),"",MAX(IF2CurBase,IF2FutBase)),IF(D123="Cleanup of MECs located on the surface only",IF(AND(IF2CurSurf="",IF2FutSurf=""),"",MAX(IF2CurSurf,IF2FutSurf)),IF(D123="Cleanup of MECs located both on the surface and subsurface",IF(AND(IF2CurSub="",IF2FutSub=""),"",MAX(IF2CurSub,IF2FutSub)),"")))</f>
      </c>
    </row>
    <row r="127" spans="1:4" ht="12.75">
      <c r="A127" s="162" t="s">
        <v>186</v>
      </c>
      <c r="B127" s="163"/>
      <c r="C127" s="88">
        <f>nz(IF3Alt6Cat)</f>
      </c>
      <c r="D127" s="87">
        <f>IF(D123="No MEC Cleanup",nz(IF3Alt6Base),IF(D123="Cleanup of MECs located on the surface only",nz(IF3Alt6Surf),IF(D123="Cleanup of MECs located both on the surface and subsurface",nz(IF3Alt6Sub),"")))</f>
      </c>
    </row>
    <row r="128" spans="1:4" ht="12.75">
      <c r="A128" s="162" t="s">
        <v>187</v>
      </c>
      <c r="B128" s="163"/>
      <c r="C128" s="86">
        <f>nz(IF4Alt6Cat)</f>
      </c>
      <c r="D128" s="87">
        <f>IF(D123="No MEC Cleanup",nz(IF4Alt6Base),IF(D123="Cleanup of MECs located on the surface only",nz(IF4Alt6Surf),IF(D123="Cleanup of MECs located both on the surface and subsurface",nz(IF4Alt6Sub),"")))</f>
      </c>
    </row>
    <row r="129" spans="1:4" ht="12.75">
      <c r="A129" s="162" t="s">
        <v>188</v>
      </c>
      <c r="B129" s="163"/>
      <c r="C129" s="86">
        <f>nz(IF5Cat)</f>
      </c>
      <c r="D129" s="87">
        <f>IF(D123="No MEC Cleanup",nz(IF5Base),IF(D123="Cleanup of MECs located on the surface only",nz(IF5Surf),IF(D123="Cleanup of MECs located both on the surface and subsurface",nz(IF5Sub),"")))</f>
      </c>
    </row>
    <row r="130" spans="1:4" ht="27" customHeight="1">
      <c r="A130" s="162" t="s">
        <v>189</v>
      </c>
      <c r="B130" s="163"/>
      <c r="C130" s="86">
        <f>nz(IF6Alt6Cat)</f>
      </c>
      <c r="D130" s="87">
        <f>IF(D123="No MEC Cleanup",nz(IF6Alt6Base),IF(D123="Cleanup of MECs located on the surface only",nz(IF6Alt6Surf),IF(D123="Cleanup of MECs located both on the surface and subsurface",nz(IF6Alt6Sub),"")))</f>
      </c>
    </row>
    <row r="131" spans="1:4" ht="12.75">
      <c r="A131" s="162" t="s">
        <v>190</v>
      </c>
      <c r="B131" s="163"/>
      <c r="C131" s="86">
        <f>nz(IF7Cat)</f>
      </c>
      <c r="D131" s="87">
        <f>IF(D123="No MEC Cleanup",nz(IF7Base),IF(D123="Cleanup of MECs located on the surface only",nz(IF7Surf),IF(D123="Cleanup of MECs located both on the surface and subsurface",nz(IF7Sub),"")))</f>
      </c>
    </row>
    <row r="132" spans="1:4" ht="12.75">
      <c r="A132" s="162" t="s">
        <v>191</v>
      </c>
      <c r="B132" s="163"/>
      <c r="C132" s="86">
        <f>nz(IF8Cat)</f>
      </c>
      <c r="D132" s="87">
        <f>IF(D123="No MEC Cleanup",nz(IF8Base),IF(D123="Cleanup of MECs located on the surface only",nz(IF8Surf),IF(D123="Cleanup of MECs located both on the surface and subsurface",nz(IF8Sub),"")))</f>
      </c>
    </row>
    <row r="133" spans="1:4" ht="12.75">
      <c r="A133" s="162" t="s">
        <v>192</v>
      </c>
      <c r="B133" s="163"/>
      <c r="C133" s="86">
        <f>nz(IF9Cat)</f>
      </c>
      <c r="D133" s="87">
        <f>IF(D123="No MEC Cleanup",nz(IF9Base),IF(D123="Cleanup of MECs located on the surface only",nz(IF9Surf),IF(D123="Cleanup of MECs located both on the surface and subsurface",nz(IF9Sub),"")))</f>
      </c>
    </row>
    <row r="134" spans="1:4" ht="12.75">
      <c r="A134" s="89"/>
      <c r="B134" s="90"/>
      <c r="C134" s="91" t="s">
        <v>40</v>
      </c>
      <c r="D134" s="92">
        <f>IF(SUM(D125:D133)=0,"",SUM(D125:D133))</f>
      </c>
    </row>
    <row r="135" spans="1:4" ht="13.5" thickBot="1">
      <c r="A135" s="93"/>
      <c r="B135" s="94"/>
      <c r="C135" s="95" t="s">
        <v>236</v>
      </c>
      <c r="D135" s="96">
        <f>IF(D134="","",IF(D134&gt;'Validation Tables'!$C$54,'Validation Tables'!$B$53,IF(D134&gt;'Validation Tables'!$C$55,'Validation Tables'!$B$54,IF(D134&gt;'Validation Tables'!$C$56,'Validation Tables'!$B$55,'Validation Tables'!$B$56))))</f>
      </c>
    </row>
    <row r="136" ht="13.5" thickTop="1"/>
  </sheetData>
  <sheetProtection formatColumns="0" formatRows="0"/>
  <mergeCells count="82">
    <mergeCell ref="A96:B96"/>
    <mergeCell ref="A97:B97"/>
    <mergeCell ref="A98:B98"/>
    <mergeCell ref="A99:B99"/>
    <mergeCell ref="A92:B92"/>
    <mergeCell ref="A93:B93"/>
    <mergeCell ref="A94:B94"/>
    <mergeCell ref="A95:B95"/>
    <mergeCell ref="A81:B81"/>
    <mergeCell ref="A82:B82"/>
    <mergeCell ref="A90:B90"/>
    <mergeCell ref="A91:B91"/>
    <mergeCell ref="A77:B77"/>
    <mergeCell ref="A78:B78"/>
    <mergeCell ref="A79:B79"/>
    <mergeCell ref="A80:B80"/>
    <mergeCell ref="A73:B73"/>
    <mergeCell ref="A74:B74"/>
    <mergeCell ref="A75:B75"/>
    <mergeCell ref="A76:B76"/>
    <mergeCell ref="A62:B62"/>
    <mergeCell ref="A63:B63"/>
    <mergeCell ref="A64:B64"/>
    <mergeCell ref="A65:B65"/>
    <mergeCell ref="A47:B47"/>
    <mergeCell ref="A48:B48"/>
    <mergeCell ref="A60:B60"/>
    <mergeCell ref="A61:B61"/>
    <mergeCell ref="A56:B56"/>
    <mergeCell ref="A57:B57"/>
    <mergeCell ref="A58:B58"/>
    <mergeCell ref="A59:B59"/>
    <mergeCell ref="A43:B43"/>
    <mergeCell ref="A44:B44"/>
    <mergeCell ref="A45:B45"/>
    <mergeCell ref="A46:B46"/>
    <mergeCell ref="A39:B39"/>
    <mergeCell ref="A40:B40"/>
    <mergeCell ref="A41:B41"/>
    <mergeCell ref="A42:B42"/>
    <mergeCell ref="A28:B28"/>
    <mergeCell ref="A29:B29"/>
    <mergeCell ref="A30:B30"/>
    <mergeCell ref="A31:B31"/>
    <mergeCell ref="A24:B24"/>
    <mergeCell ref="A25:B25"/>
    <mergeCell ref="A26:B26"/>
    <mergeCell ref="A27:B27"/>
    <mergeCell ref="A13:B13"/>
    <mergeCell ref="A14:B14"/>
    <mergeCell ref="A22:B22"/>
    <mergeCell ref="A23:B23"/>
    <mergeCell ref="A9:B9"/>
    <mergeCell ref="A10:B10"/>
    <mergeCell ref="A11:B11"/>
    <mergeCell ref="A12:B12"/>
    <mergeCell ref="A5:B5"/>
    <mergeCell ref="A6:B6"/>
    <mergeCell ref="A7:B7"/>
    <mergeCell ref="A8:B8"/>
    <mergeCell ref="A113:B113"/>
    <mergeCell ref="A114:B114"/>
    <mergeCell ref="A107:B107"/>
    <mergeCell ref="A108:B108"/>
    <mergeCell ref="A109:B109"/>
    <mergeCell ref="A110:B110"/>
    <mergeCell ref="A132:B132"/>
    <mergeCell ref="A133:B133"/>
    <mergeCell ref="A126:B126"/>
    <mergeCell ref="A127:B127"/>
    <mergeCell ref="A128:B128"/>
    <mergeCell ref="A129:B129"/>
    <mergeCell ref="C37:D37"/>
    <mergeCell ref="C71:D71"/>
    <mergeCell ref="A130:B130"/>
    <mergeCell ref="A131:B131"/>
    <mergeCell ref="A115:B115"/>
    <mergeCell ref="A116:B116"/>
    <mergeCell ref="A124:B124"/>
    <mergeCell ref="A125:B125"/>
    <mergeCell ref="A111:B111"/>
    <mergeCell ref="A112:B112"/>
  </mergeCells>
  <conditionalFormatting sqref="A54:B67 C54:D57 D59:D67 C60:C67">
    <cfRule type="expression" priority="1" dxfId="0" stopIfTrue="1">
      <formula>Alt2Title=""</formula>
    </cfRule>
  </conditionalFormatting>
  <conditionalFormatting sqref="D72:D84 A71:B84 C71:C74 C76:C84">
    <cfRule type="expression" priority="2" dxfId="0" stopIfTrue="1">
      <formula>Alt3Title=""</formula>
    </cfRule>
  </conditionalFormatting>
  <conditionalFormatting sqref="A88:B101 D88:D101 C88:C91 C93:C101">
    <cfRule type="expression" priority="3" dxfId="0" stopIfTrue="1">
      <formula>Alt4Title=""</formula>
    </cfRule>
  </conditionalFormatting>
  <conditionalFormatting sqref="A122:B135 C128:C135 C122:D125 D127:D135">
    <cfRule type="expression" priority="4" dxfId="0" stopIfTrue="1">
      <formula>Alt6Title=""</formula>
    </cfRule>
  </conditionalFormatting>
  <conditionalFormatting sqref="A105:B118 D105:D118 C105:C108 C110:C118">
    <cfRule type="expression" priority="5" dxfId="0" stopIfTrue="1">
      <formula>Alt5Title=""</formula>
    </cfRule>
  </conditionalFormatting>
  <conditionalFormatting sqref="A37:C50 D38:D39 D41:D50">
    <cfRule type="expression" priority="6" dxfId="0" stopIfTrue="1">
      <formula>Alt1Title=""</formula>
    </cfRule>
  </conditionalFormatting>
  <conditionalFormatting sqref="A20:D33">
    <cfRule type="expression" priority="7" dxfId="0" stopIfTrue="1">
      <formula>PlannedFutureUse&lt;&gt;"Yes"</formula>
    </cfRule>
  </conditionalFormatting>
  <conditionalFormatting sqref="D40">
    <cfRule type="expression" priority="8" dxfId="0" stopIfTrue="1">
      <formula>Alt1Title=""</formula>
    </cfRule>
  </conditionalFormatting>
  <conditionalFormatting sqref="C58:D58 C59">
    <cfRule type="expression" priority="9" dxfId="0" stopIfTrue="1">
      <formula>Alt2Title=""</formula>
    </cfRule>
  </conditionalFormatting>
  <conditionalFormatting sqref="C75">
    <cfRule type="expression" priority="10" dxfId="0" stopIfTrue="1">
      <formula>Alt3Title=""</formula>
    </cfRule>
  </conditionalFormatting>
  <conditionalFormatting sqref="C92">
    <cfRule type="expression" priority="11" dxfId="0" stopIfTrue="1">
      <formula>Alt4Title=""</formula>
    </cfRule>
  </conditionalFormatting>
  <conditionalFormatting sqref="C109">
    <cfRule type="expression" priority="12" dxfId="0" stopIfTrue="1">
      <formula>Alt5Title=""</formula>
    </cfRule>
  </conditionalFormatting>
  <conditionalFormatting sqref="C126:C127 D126">
    <cfRule type="expression" priority="13" dxfId="0" stopIfTrue="1">
      <formula>Alt6Title=""</formula>
    </cfRule>
  </conditionalFormatting>
  <dataValidations count="1">
    <dataValidation allowBlank="1" showErrorMessage="1" promptTitle="Response Action Clean-Up" prompt="Select type of clean-up associated with this response alternative" sqref="D38 D123 D106 D89 D72 D55"/>
  </dataValidations>
  <printOptions/>
  <pageMargins left="0.75" right="0.75" top="1" bottom="1" header="0.5" footer="0.5"/>
  <pageSetup fitToHeight="9" horizontalDpi="600" verticalDpi="600" orientation="portrait" scale="62" r:id="rId1"/>
  <headerFooter alignWithMargins="0">
    <oddHeader>&amp;R&amp;"Tahoma,Regular"&amp;8MEC HA Workbook v1.0
November 2006</oddHeader>
    <oddFooter>&amp;L&amp;"Tahoma,Regular"&amp;8Scoring Summaries Worksheet&amp;R&amp;"Tahoma,Regular"&amp;8Public Review Draft - Do Not Cite or Quote</oddFooter>
  </headerFooter>
  <rowBreaks count="2" manualBreakCount="2">
    <brk id="53" max="3" man="1"/>
    <brk id="104" max="3" man="1"/>
  </rowBreaks>
  <ignoredErrors>
    <ignoredError sqref="C29:C31 C7:C14 C27" unlockedFormula="1"/>
  </ignoredErrors>
</worksheet>
</file>

<file path=xl/worksheets/sheet11.xml><?xml version="1.0" encoding="utf-8"?>
<worksheet xmlns="http://schemas.openxmlformats.org/spreadsheetml/2006/main" xmlns:r="http://schemas.openxmlformats.org/officeDocument/2006/relationships">
  <sheetPr codeName="Sheet10"/>
  <dimension ref="A1:E18"/>
  <sheetViews>
    <sheetView workbookViewId="0" topLeftCell="A1">
      <selection activeCell="A1" sqref="A1"/>
    </sheetView>
  </sheetViews>
  <sheetFormatPr defaultColWidth="9.140625" defaultRowHeight="12.75"/>
  <cols>
    <col min="1" max="1" width="25.28125" style="66" customWidth="1"/>
    <col min="2" max="2" width="28.57421875" style="66" customWidth="1"/>
    <col min="3" max="3" width="22.7109375" style="66" customWidth="1"/>
    <col min="4" max="4" width="23.00390625" style="66" customWidth="1"/>
    <col min="5" max="16384" width="9.140625" style="66" customWidth="1"/>
  </cols>
  <sheetData>
    <row r="1" spans="1:4" ht="13.5" thickBot="1">
      <c r="A1" s="65"/>
      <c r="B1" s="65"/>
      <c r="C1" s="65"/>
      <c r="D1" s="65"/>
    </row>
    <row r="2" spans="1:4" ht="13.5" thickTop="1">
      <c r="A2" s="186" t="s">
        <v>235</v>
      </c>
      <c r="B2" s="173"/>
      <c r="C2" s="187"/>
      <c r="D2" s="188"/>
    </row>
    <row r="3" spans="1:4" ht="15" customHeight="1">
      <c r="A3" s="67" t="s">
        <v>49</v>
      </c>
      <c r="B3" s="68">
        <f>IF(ISBLANK('Scoring Summaries'!$B$3),"",'Scoring Summaries'!$B$3)</f>
      </c>
      <c r="C3" s="189" t="s">
        <v>236</v>
      </c>
      <c r="D3" s="183" t="s">
        <v>0</v>
      </c>
    </row>
    <row r="4" spans="1:4" ht="15" customHeight="1">
      <c r="A4" s="67" t="s">
        <v>50</v>
      </c>
      <c r="B4" s="69">
        <f>IF(ISBLANK('Scoring Summaries'!$B$4),"",'Scoring Summaries'!$B$4)</f>
      </c>
      <c r="C4" s="190"/>
      <c r="D4" s="184"/>
    </row>
    <row r="5" spans="1:4" ht="15" customHeight="1">
      <c r="A5" s="175"/>
      <c r="B5" s="176"/>
      <c r="C5" s="191"/>
      <c r="D5" s="185"/>
    </row>
    <row r="6" spans="1:4" ht="15" customHeight="1">
      <c r="A6" s="170" t="s">
        <v>51</v>
      </c>
      <c r="B6" s="171"/>
      <c r="C6" s="70">
        <f>'Scoring Summaries'!$D$16</f>
      </c>
      <c r="D6" s="71">
        <f>'Scoring Summaries'!$D$15</f>
      </c>
    </row>
    <row r="7" spans="1:4" ht="15" customHeight="1">
      <c r="A7" s="170" t="s">
        <v>52</v>
      </c>
      <c r="B7" s="171"/>
      <c r="C7" s="72">
        <f>'Scoring Summaries'!$D$33</f>
      </c>
      <c r="D7" s="71">
        <f>'Scoring Summaries'!$D$32</f>
      </c>
    </row>
    <row r="8" spans="1:4" ht="15" customHeight="1">
      <c r="A8" s="170" t="str">
        <f>"c.  Response Alternative 1: "&amp;Alt1Title</f>
        <v>c.  Response Alternative 1: </v>
      </c>
      <c r="B8" s="171"/>
      <c r="C8" s="70">
        <f>'Scoring Summaries'!$D$50</f>
      </c>
      <c r="D8" s="71">
        <f>'Scoring Summaries'!$D$49</f>
      </c>
    </row>
    <row r="9" spans="1:4" ht="15" customHeight="1">
      <c r="A9" s="170" t="str">
        <f>"d.  Response Alternative 2: "&amp;Alt2Title</f>
        <v>d.  Response Alternative 2: </v>
      </c>
      <c r="B9" s="171"/>
      <c r="C9" s="73">
        <f>'Scoring Summaries'!$D$67</f>
      </c>
      <c r="D9" s="73">
        <f>'Scoring Summaries'!$D$66</f>
      </c>
    </row>
    <row r="10" spans="1:4" ht="15" customHeight="1">
      <c r="A10" s="170" t="str">
        <f>"e.  Response Alternative 3: "&amp;Alt3Title</f>
        <v>e.  Response Alternative 3: </v>
      </c>
      <c r="B10" s="171"/>
      <c r="C10" s="73">
        <f>'Scoring Summaries'!$D$84</f>
      </c>
      <c r="D10" s="73">
        <f>'Scoring Summaries'!$D$83</f>
      </c>
    </row>
    <row r="11" spans="1:4" ht="15" customHeight="1">
      <c r="A11" s="170" t="str">
        <f>"f.   Response Alternative 4: "&amp;Alt4Title</f>
        <v>f.   Response Alternative 4: </v>
      </c>
      <c r="B11" s="171"/>
      <c r="C11" s="73">
        <f>'Scoring Summaries'!$D$101</f>
      </c>
      <c r="D11" s="73">
        <f>'Scoring Summaries'!$D$100</f>
      </c>
    </row>
    <row r="12" spans="1:4" ht="15" customHeight="1">
      <c r="A12" s="170" t="str">
        <f>"g.  Response Alternative 5: "&amp;Alt5Title</f>
        <v>g.  Response Alternative 5: </v>
      </c>
      <c r="B12" s="171"/>
      <c r="C12" s="73">
        <f>'Scoring Summaries'!$D$118</f>
      </c>
      <c r="D12" s="73">
        <f>'Scoring Summaries'!$D$117</f>
      </c>
    </row>
    <row r="13" spans="1:4" ht="15" customHeight="1" thickBot="1">
      <c r="A13" s="170" t="str">
        <f>"h.  Response Alternative 6: "&amp;Alt6Title</f>
        <v>h.  Response Alternative 6: </v>
      </c>
      <c r="B13" s="171"/>
      <c r="C13" s="73">
        <f>'Scoring Summaries'!$D$135</f>
      </c>
      <c r="D13" s="73">
        <f>'Scoring Summaries'!$D$134</f>
      </c>
    </row>
    <row r="14" spans="1:4" ht="13.5" thickTop="1">
      <c r="A14" s="172" t="s">
        <v>55</v>
      </c>
      <c r="B14" s="173"/>
      <c r="C14" s="173"/>
      <c r="D14" s="174"/>
    </row>
    <row r="15" spans="1:5" ht="30" customHeight="1">
      <c r="A15" s="181" t="s">
        <v>237</v>
      </c>
      <c r="B15" s="182"/>
      <c r="C15" s="166"/>
      <c r="D15" s="167"/>
      <c r="E15" s="74"/>
    </row>
    <row r="16" spans="1:5" ht="28.5" customHeight="1">
      <c r="A16" s="179" t="s">
        <v>238</v>
      </c>
      <c r="B16" s="180"/>
      <c r="C16" s="166"/>
      <c r="D16" s="167"/>
      <c r="E16" s="74"/>
    </row>
    <row r="17" spans="1:4" ht="44.25" customHeight="1" thickBot="1">
      <c r="A17" s="177" t="s">
        <v>239</v>
      </c>
      <c r="B17" s="178"/>
      <c r="C17" s="168"/>
      <c r="D17" s="169"/>
    </row>
    <row r="18" spans="3:4" ht="13.5" thickTop="1">
      <c r="C18" s="74"/>
      <c r="D18" s="74"/>
    </row>
  </sheetData>
  <sheetProtection formatColumns="0" formatRows="0"/>
  <mergeCells count="19">
    <mergeCell ref="D3:D5"/>
    <mergeCell ref="A2:D2"/>
    <mergeCell ref="A8:B8"/>
    <mergeCell ref="A9:B9"/>
    <mergeCell ref="C3:C5"/>
    <mergeCell ref="A10:B10"/>
    <mergeCell ref="A5:B5"/>
    <mergeCell ref="A6:B6"/>
    <mergeCell ref="A17:B17"/>
    <mergeCell ref="A16:B16"/>
    <mergeCell ref="A15:B15"/>
    <mergeCell ref="A7:B7"/>
    <mergeCell ref="A11:B11"/>
    <mergeCell ref="A12:B12"/>
    <mergeCell ref="C15:D15"/>
    <mergeCell ref="C16:D16"/>
    <mergeCell ref="C17:D17"/>
    <mergeCell ref="A13:B13"/>
    <mergeCell ref="A14:D14"/>
  </mergeCells>
  <conditionalFormatting sqref="A7:D7">
    <cfRule type="expression" priority="1" dxfId="0" stopIfTrue="1">
      <formula>PlannedFutureUse&lt;&gt;"Yes"</formula>
    </cfRule>
  </conditionalFormatting>
  <dataValidations count="1">
    <dataValidation type="list" allowBlank="1" showErrorMessage="1" sqref="C15:D17">
      <formula1>YesNoList</formula1>
    </dataValidation>
  </dataValidations>
  <printOptions/>
  <pageMargins left="0.75" right="0.75" top="1" bottom="1" header="0.5" footer="0.5"/>
  <pageSetup horizontalDpi="600" verticalDpi="600" orientation="portrait" scale="74" r:id="rId1"/>
  <headerFooter alignWithMargins="0">
    <oddHeader>&amp;R&amp;"Tahoma,Regular"&amp;8MEC HA Workbook v1.0
November 2006</oddHeader>
    <oddFooter>&amp;L&amp;"Tahoma,Regular"&amp;8Hazard Level Worksheet&amp;R&amp;"Tahoma,Regular"&amp;8Public Review Draft - Do Not Cite or Quote</oddFooter>
  </headerFooter>
</worksheet>
</file>

<file path=xl/worksheets/sheet2.xml><?xml version="1.0" encoding="utf-8"?>
<worksheet xmlns="http://schemas.openxmlformats.org/spreadsheetml/2006/main" xmlns:r="http://schemas.openxmlformats.org/officeDocument/2006/relationships">
  <sheetPr codeName="Sheet4"/>
  <dimension ref="A1:F48"/>
  <sheetViews>
    <sheetView workbookViewId="0" topLeftCell="A1">
      <selection activeCell="A1" sqref="A1"/>
    </sheetView>
  </sheetViews>
  <sheetFormatPr defaultColWidth="9.140625" defaultRowHeight="12.75"/>
  <cols>
    <col min="1" max="1" width="9.140625" style="2" customWidth="1"/>
    <col min="2" max="2" width="37.28125" style="2" customWidth="1"/>
    <col min="3" max="3" width="12.00390625" style="2" customWidth="1"/>
    <col min="4" max="4" width="11.421875" style="2" customWidth="1"/>
    <col min="5" max="5" width="19.28125" style="2" customWidth="1"/>
    <col min="6" max="6" width="23.8515625" style="2" customWidth="1"/>
    <col min="7" max="16384" width="9.140625" style="2" customWidth="1"/>
  </cols>
  <sheetData>
    <row r="1" ht="15">
      <c r="A1" s="1" t="s">
        <v>82</v>
      </c>
    </row>
    <row r="2" spans="2:6" ht="12.75">
      <c r="B2" s="50"/>
      <c r="F2" s="3" t="s">
        <v>69</v>
      </c>
    </row>
    <row r="3" spans="1:6" ht="13.5">
      <c r="A3" s="2" t="s">
        <v>49</v>
      </c>
      <c r="B3" s="57"/>
      <c r="F3" s="60"/>
    </row>
    <row r="4" spans="1:6" ht="13.5">
      <c r="A4" s="2" t="s">
        <v>50</v>
      </c>
      <c r="B4" s="58"/>
      <c r="F4" s="60"/>
    </row>
    <row r="5" ht="13.5">
      <c r="F5" s="60"/>
    </row>
    <row r="6" spans="1:6" ht="30.75" customHeight="1">
      <c r="A6" s="129" t="s">
        <v>83</v>
      </c>
      <c r="B6" s="129"/>
      <c r="C6" s="129"/>
      <c r="D6" s="129"/>
      <c r="E6" s="129"/>
      <c r="F6" s="60"/>
    </row>
    <row r="7" spans="1:6" ht="13.5">
      <c r="A7" s="5" t="s">
        <v>84</v>
      </c>
      <c r="F7" s="60"/>
    </row>
    <row r="8" spans="1:6" s="6" customFormat="1" ht="13.5">
      <c r="A8" s="131"/>
      <c r="B8" s="132"/>
      <c r="C8" s="132"/>
      <c r="D8" s="132"/>
      <c r="E8" s="133"/>
      <c r="F8" s="60"/>
    </row>
    <row r="9" ht="13.5">
      <c r="F9" s="60"/>
    </row>
    <row r="10" spans="1:6" ht="41.25" customHeight="1">
      <c r="A10" s="129" t="s">
        <v>260</v>
      </c>
      <c r="B10" s="129"/>
      <c r="C10" s="129"/>
      <c r="D10" s="129"/>
      <c r="E10" s="130"/>
      <c r="F10" s="60"/>
    </row>
    <row r="11" spans="1:6" s="6" customFormat="1" ht="13.5">
      <c r="A11" s="6" t="s">
        <v>85</v>
      </c>
      <c r="B11" s="114" t="s">
        <v>136</v>
      </c>
      <c r="C11" s="114"/>
      <c r="D11" s="114"/>
      <c r="F11" s="60"/>
    </row>
    <row r="12" spans="1:6" ht="13.5" customHeight="1">
      <c r="A12" s="2">
        <v>1</v>
      </c>
      <c r="B12" s="131"/>
      <c r="C12" s="134"/>
      <c r="D12" s="119"/>
      <c r="F12" s="60"/>
    </row>
    <row r="13" spans="1:6" ht="13.5" customHeight="1">
      <c r="A13" s="2">
        <v>2</v>
      </c>
      <c r="B13" s="131"/>
      <c r="C13" s="134"/>
      <c r="D13" s="119"/>
      <c r="F13" s="60"/>
    </row>
    <row r="14" spans="1:6" ht="13.5">
      <c r="A14" s="2">
        <v>3</v>
      </c>
      <c r="B14" s="131"/>
      <c r="C14" s="132"/>
      <c r="D14" s="133"/>
      <c r="F14" s="60"/>
    </row>
    <row r="15" spans="1:6" ht="13.5">
      <c r="A15" s="2">
        <v>4</v>
      </c>
      <c r="B15" s="131"/>
      <c r="C15" s="132"/>
      <c r="D15" s="133"/>
      <c r="F15" s="60"/>
    </row>
    <row r="16" spans="1:6" ht="13.5" customHeight="1">
      <c r="A16" s="2">
        <v>5</v>
      </c>
      <c r="B16" s="131"/>
      <c r="C16" s="134"/>
      <c r="D16" s="119"/>
      <c r="F16" s="60"/>
    </row>
    <row r="17" spans="1:6" ht="13.5">
      <c r="A17" s="2">
        <v>6</v>
      </c>
      <c r="B17" s="131"/>
      <c r="C17" s="132"/>
      <c r="D17" s="133"/>
      <c r="F17" s="60"/>
    </row>
    <row r="18" spans="1:6" ht="13.5" customHeight="1">
      <c r="A18" s="2">
        <v>7</v>
      </c>
      <c r="B18" s="131"/>
      <c r="C18" s="134"/>
      <c r="D18" s="119"/>
      <c r="F18" s="60"/>
    </row>
    <row r="19" spans="1:6" ht="13.5">
      <c r="A19" s="2">
        <v>8</v>
      </c>
      <c r="B19" s="131"/>
      <c r="C19" s="132"/>
      <c r="D19" s="133"/>
      <c r="F19" s="60"/>
    </row>
    <row r="20" spans="1:6" ht="13.5">
      <c r="A20" s="2">
        <v>9</v>
      </c>
      <c r="B20" s="131"/>
      <c r="C20" s="132"/>
      <c r="D20" s="133"/>
      <c r="F20" s="60"/>
    </row>
    <row r="21" spans="1:6" ht="13.5">
      <c r="A21" s="2">
        <v>10</v>
      </c>
      <c r="B21" s="131"/>
      <c r="C21" s="132"/>
      <c r="D21" s="133"/>
      <c r="F21" s="60"/>
    </row>
    <row r="22" spans="1:6" ht="13.5">
      <c r="A22" s="2">
        <v>11</v>
      </c>
      <c r="B22" s="131"/>
      <c r="C22" s="132"/>
      <c r="D22" s="133"/>
      <c r="F22" s="60"/>
    </row>
    <row r="23" spans="1:6" ht="13.5">
      <c r="A23" s="2">
        <v>12</v>
      </c>
      <c r="B23" s="131"/>
      <c r="C23" s="132"/>
      <c r="D23" s="133"/>
      <c r="F23" s="60"/>
    </row>
    <row r="24" ht="13.5">
      <c r="F24" s="60"/>
    </row>
    <row r="25" spans="1:6" ht="13.5">
      <c r="A25" s="5" t="s">
        <v>86</v>
      </c>
      <c r="F25" s="60"/>
    </row>
    <row r="26" spans="1:6" ht="13.5">
      <c r="A26" s="9" t="s">
        <v>87</v>
      </c>
      <c r="B26" s="9"/>
      <c r="C26" s="131"/>
      <c r="D26" s="132"/>
      <c r="E26" s="133"/>
      <c r="F26" s="60"/>
    </row>
    <row r="27" spans="1:6" ht="13.5">
      <c r="A27" s="9" t="s">
        <v>88</v>
      </c>
      <c r="B27" s="9"/>
      <c r="C27" s="9"/>
      <c r="D27" s="9"/>
      <c r="E27" s="9"/>
      <c r="F27" s="60"/>
    </row>
    <row r="28" spans="1:6" ht="13.5">
      <c r="A28" s="131"/>
      <c r="B28" s="132"/>
      <c r="C28" s="132"/>
      <c r="D28" s="132"/>
      <c r="E28" s="133"/>
      <c r="F28" s="60"/>
    </row>
    <row r="29" spans="1:6" ht="13.5">
      <c r="A29" s="9" t="s">
        <v>89</v>
      </c>
      <c r="B29" s="9"/>
      <c r="C29" s="9"/>
      <c r="D29" s="9"/>
      <c r="E29" s="9"/>
      <c r="F29" s="60"/>
    </row>
    <row r="30" spans="1:6" ht="13.5">
      <c r="A30" s="131"/>
      <c r="B30" s="132"/>
      <c r="C30" s="132"/>
      <c r="D30" s="132"/>
      <c r="E30" s="133"/>
      <c r="F30" s="60"/>
    </row>
    <row r="31" spans="1:6" ht="13.5">
      <c r="A31" s="120" t="s">
        <v>90</v>
      </c>
      <c r="B31" s="120"/>
      <c r="C31" s="120"/>
      <c r="D31" s="120"/>
      <c r="E31" s="59"/>
      <c r="F31" s="60"/>
    </row>
    <row r="32" spans="1:6" ht="13.5">
      <c r="A32" s="9" t="s">
        <v>91</v>
      </c>
      <c r="B32" s="9"/>
      <c r="C32" s="9"/>
      <c r="D32" s="9"/>
      <c r="E32" s="9"/>
      <c r="F32" s="60"/>
    </row>
    <row r="33" spans="1:6" ht="69.75" customHeight="1">
      <c r="A33" s="131"/>
      <c r="B33" s="134"/>
      <c r="C33" s="134"/>
      <c r="D33" s="134"/>
      <c r="E33" s="119"/>
      <c r="F33" s="60"/>
    </row>
    <row r="34" spans="1:6" ht="13.5" customHeight="1">
      <c r="A34" s="9" t="s">
        <v>92</v>
      </c>
      <c r="B34" s="9"/>
      <c r="C34" s="9"/>
      <c r="D34" s="9"/>
      <c r="E34" s="9"/>
      <c r="F34" s="60"/>
    </row>
    <row r="35" spans="1:6" ht="73.5" customHeight="1">
      <c r="A35" s="131"/>
      <c r="B35" s="132"/>
      <c r="C35" s="132"/>
      <c r="D35" s="132"/>
      <c r="E35" s="133"/>
      <c r="F35" s="60"/>
    </row>
    <row r="36" spans="1:6" ht="13.5">
      <c r="A36" s="2" t="s">
        <v>138</v>
      </c>
      <c r="F36" s="60"/>
    </row>
    <row r="37" spans="1:6" ht="27" customHeight="1">
      <c r="A37" s="116"/>
      <c r="B37" s="117"/>
      <c r="C37" s="117"/>
      <c r="F37" s="60"/>
    </row>
    <row r="38" spans="1:6" ht="13.5">
      <c r="A38" s="13"/>
      <c r="B38" s="20"/>
      <c r="C38" s="20"/>
      <c r="F38" s="60"/>
    </row>
    <row r="39" spans="1:6" ht="13.5">
      <c r="A39" s="5" t="s">
        <v>93</v>
      </c>
      <c r="F39" s="60"/>
    </row>
    <row r="40" spans="1:6" ht="13.5">
      <c r="A40" s="121" t="s">
        <v>94</v>
      </c>
      <c r="B40" s="121"/>
      <c r="C40" s="121"/>
      <c r="D40" s="122"/>
      <c r="E40" s="123"/>
      <c r="F40" s="60"/>
    </row>
    <row r="41" spans="1:6" ht="13.5">
      <c r="A41" s="2" t="s">
        <v>95</v>
      </c>
      <c r="F41" s="60"/>
    </row>
    <row r="42" spans="2:6" ht="13.5">
      <c r="B42" s="2" t="s">
        <v>96</v>
      </c>
      <c r="E42" s="59"/>
      <c r="F42" s="60"/>
    </row>
    <row r="43" spans="2:6" s="6" customFormat="1" ht="53.25" customHeight="1">
      <c r="B43" s="129" t="s">
        <v>97</v>
      </c>
      <c r="C43" s="129"/>
      <c r="D43" s="129"/>
      <c r="E43" s="129"/>
      <c r="F43" s="60"/>
    </row>
    <row r="44" spans="2:6" ht="28.5" customHeight="1">
      <c r="B44" s="131"/>
      <c r="C44" s="132"/>
      <c r="D44" s="132"/>
      <c r="E44" s="133"/>
      <c r="F44" s="60"/>
    </row>
    <row r="45" spans="1:6" ht="13.5">
      <c r="A45" s="2" t="s">
        <v>139</v>
      </c>
      <c r="F45" s="60"/>
    </row>
    <row r="46" spans="1:6" ht="27" customHeight="1">
      <c r="A46" s="116"/>
      <c r="B46" s="117"/>
      <c r="C46" s="117"/>
      <c r="F46" s="60"/>
    </row>
    <row r="47" spans="1:6" ht="13.5">
      <c r="A47" s="13"/>
      <c r="B47" s="20"/>
      <c r="C47" s="20"/>
      <c r="F47" s="60"/>
    </row>
    <row r="48" spans="1:6" ht="13.5">
      <c r="A48" s="115" t="s">
        <v>137</v>
      </c>
      <c r="B48" s="115"/>
      <c r="C48" s="115"/>
      <c r="D48" s="115"/>
      <c r="E48" s="115"/>
      <c r="F48" s="60"/>
    </row>
    <row r="49" ht="12.75"/>
    <row r="50" ht="12.75"/>
  </sheetData>
  <sheetProtection formatColumns="0" formatRows="0"/>
  <mergeCells count="29">
    <mergeCell ref="A48:E48"/>
    <mergeCell ref="B21:D21"/>
    <mergeCell ref="B22:D22"/>
    <mergeCell ref="B23:D23"/>
    <mergeCell ref="A37:C37"/>
    <mergeCell ref="A46:C46"/>
    <mergeCell ref="C26:E26"/>
    <mergeCell ref="A28:E28"/>
    <mergeCell ref="B44:E44"/>
    <mergeCell ref="A30:E30"/>
    <mergeCell ref="A6:E6"/>
    <mergeCell ref="A8:E8"/>
    <mergeCell ref="B19:D19"/>
    <mergeCell ref="B20:D20"/>
    <mergeCell ref="B11:D11"/>
    <mergeCell ref="B15:D15"/>
    <mergeCell ref="B16:D16"/>
    <mergeCell ref="B17:D17"/>
    <mergeCell ref="B12:D12"/>
    <mergeCell ref="B13:D13"/>
    <mergeCell ref="A10:E10"/>
    <mergeCell ref="B14:D14"/>
    <mergeCell ref="B18:D18"/>
    <mergeCell ref="B43:E43"/>
    <mergeCell ref="A35:E35"/>
    <mergeCell ref="A31:D31"/>
    <mergeCell ref="A40:C40"/>
    <mergeCell ref="D40:E40"/>
    <mergeCell ref="A33:E33"/>
  </mergeCells>
  <conditionalFormatting sqref="A41:A44 B41:D43 E41 E43">
    <cfRule type="expression" priority="1" dxfId="0" stopIfTrue="1">
      <formula>LEFT($D$40,3)&lt;&gt;"Yes"</formula>
    </cfRule>
  </conditionalFormatting>
  <conditionalFormatting sqref="E42 B44:E44">
    <cfRule type="expression" priority="2" dxfId="1" stopIfTrue="1">
      <formula>LEFT($D$40,3)&lt;&gt;"Yes"</formula>
    </cfRule>
  </conditionalFormatting>
  <dataValidations count="3">
    <dataValidation type="list" allowBlank="1" showInputMessage="1" showErrorMessage="1" sqref="A28:E28">
      <formula1>MECAmount</formula1>
    </dataValidation>
    <dataValidation type="list" allowBlank="1" showInputMessage="1" showErrorMessage="1" sqref="E31">
      <formula1>YesNoList</formula1>
    </dataValidation>
    <dataValidation type="list" allowBlank="1" showInputMessage="1" showErrorMessage="1" sqref="D40:E40">
      <formula1>SummaryC1Choices</formula1>
    </dataValidation>
  </dataValidations>
  <printOptions/>
  <pageMargins left="0.75" right="0.75" top="1" bottom="1" header="0.5" footer="0.5"/>
  <pageSetup horizontalDpi="600" verticalDpi="600" orientation="portrait" scale="74" r:id="rId4"/>
  <headerFooter alignWithMargins="0">
    <oddHeader>&amp;R&amp;"Tahoma,Regular"&amp;8MEC HA Workbook v1.0
November 2006</oddHeader>
    <oddFooter>&amp;L&amp;"Tahoma,Regular"&amp;8Summary Info Worksheet&amp;R&amp;"Tahoma,Regular"&amp;8Public Review Draft - Do Not Cite or Quote</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5"/>
  <dimension ref="A1:R44"/>
  <sheetViews>
    <sheetView workbookViewId="0" topLeftCell="A1">
      <selection activeCell="A1" sqref="A1"/>
    </sheetView>
  </sheetViews>
  <sheetFormatPr defaultColWidth="9.140625" defaultRowHeight="12.75"/>
  <cols>
    <col min="1" max="1" width="9.140625" style="2" customWidth="1"/>
    <col min="2" max="2" width="24.57421875" style="2" customWidth="1"/>
    <col min="3" max="4" width="11.140625" style="2" customWidth="1"/>
    <col min="5" max="5" width="11.57421875" style="2" customWidth="1"/>
    <col min="6" max="6" width="15.8515625" style="2" customWidth="1"/>
    <col min="7" max="7" width="8.421875" style="2" customWidth="1"/>
    <col min="8" max="8" width="12.57421875" style="2" customWidth="1"/>
    <col min="9" max="10" width="9.140625" style="2" customWidth="1"/>
    <col min="11" max="11" width="13.8515625" style="2" customWidth="1"/>
    <col min="12" max="12" width="24.7109375" style="2" customWidth="1"/>
    <col min="13" max="13" width="9.140625" style="2" customWidth="1"/>
    <col min="14" max="18" width="9.140625" style="2" hidden="1" customWidth="1"/>
    <col min="19" max="16384" width="9.140625" style="2" customWidth="1"/>
  </cols>
  <sheetData>
    <row r="1" spans="1:2" ht="12.75">
      <c r="A1" s="2" t="s">
        <v>49</v>
      </c>
      <c r="B1" s="24">
        <f>IF('Summary Info'!B3="","",'Summary Info'!B3)</f>
      </c>
    </row>
    <row r="2" spans="1:2" ht="12.75">
      <c r="A2" s="2" t="s">
        <v>50</v>
      </c>
      <c r="B2" s="49">
        <f>IF('Summary Info'!B4="","",'Summary Info'!B4)</f>
      </c>
    </row>
    <row r="3" ht="12.75"/>
    <row r="4" spans="1:14" ht="15">
      <c r="A4" s="1" t="s">
        <v>208</v>
      </c>
      <c r="N4" s="52" t="s">
        <v>199</v>
      </c>
    </row>
    <row r="5" spans="1:18" s="6" customFormat="1" ht="89.25">
      <c r="A5" s="6" t="s">
        <v>58</v>
      </c>
      <c r="B5" s="6" t="s">
        <v>59</v>
      </c>
      <c r="C5" s="6" t="s">
        <v>60</v>
      </c>
      <c r="D5" s="6" t="s">
        <v>296</v>
      </c>
      <c r="E5" s="6" t="s">
        <v>61</v>
      </c>
      <c r="F5" s="6" t="s">
        <v>209</v>
      </c>
      <c r="G5" s="6" t="s">
        <v>63</v>
      </c>
      <c r="H5" s="6" t="s">
        <v>71</v>
      </c>
      <c r="I5" s="6" t="s">
        <v>72</v>
      </c>
      <c r="J5" s="6" t="s">
        <v>64</v>
      </c>
      <c r="K5" s="6" t="s">
        <v>70</v>
      </c>
      <c r="L5" s="6" t="s">
        <v>140</v>
      </c>
      <c r="N5" s="6" t="s">
        <v>180</v>
      </c>
      <c r="O5" s="6" t="s">
        <v>181</v>
      </c>
      <c r="P5" s="6" t="s">
        <v>297</v>
      </c>
      <c r="Q5" s="6" t="s">
        <v>194</v>
      </c>
      <c r="R5" s="6" t="s">
        <v>195</v>
      </c>
    </row>
    <row r="6" spans="1:18" ht="13.5">
      <c r="A6" s="2">
        <v>1</v>
      </c>
      <c r="B6" s="59"/>
      <c r="C6" s="59"/>
      <c r="D6" s="59"/>
      <c r="E6" s="59"/>
      <c r="F6" s="59"/>
      <c r="G6" s="59"/>
      <c r="H6" s="59"/>
      <c r="I6" s="59"/>
      <c r="J6" s="59"/>
      <c r="K6" s="59"/>
      <c r="L6" s="60"/>
      <c r="N6" s="2">
        <f>IF(I6="Unarmed",1,0)</f>
        <v>0</v>
      </c>
      <c r="O6" s="2">
        <f>IF(G6="Yes",1,0)</f>
        <v>0</v>
      </c>
      <c r="P6" s="2">
        <f>IF(ISNA(VLOOKUP(D6,'Validation Tables'!$B$70:$C$73,2,FALSE)),"",C6*VLOOKUP(D6,'Validation Tables'!$B$70:$C$73,2,FALSE))</f>
      </c>
      <c r="Q6" s="2">
        <f aca="true" t="shared" si="0" ref="Q6:Q25">IF(ISBLANK(B6),"","Item #"&amp;A6&amp;". "&amp;B6&amp;IF(AND(ISBLANK(C6),ISBLANK(D6),ISBLANK(F6)),""," ("&amp;nz(C6)&amp;nz(D6)&amp;IF(AND(NOT(ISBLANK(C6)),NOT(ISBLANK(F6))),", ","")&amp;nz(F6)&amp;")"))</f>
      </c>
      <c r="R6" s="2">
        <f>IF(ISBLANK(F6),"",VLOOKUP(F6,'Validation Tables'!$A$108:$B$114,2,FALSE))</f>
      </c>
    </row>
    <row r="7" spans="1:18" ht="13.5">
      <c r="A7" s="2">
        <v>2</v>
      </c>
      <c r="B7" s="59"/>
      <c r="C7" s="59"/>
      <c r="D7" s="59"/>
      <c r="E7" s="59"/>
      <c r="F7" s="59"/>
      <c r="G7" s="59"/>
      <c r="H7" s="59"/>
      <c r="I7" s="59"/>
      <c r="J7" s="59"/>
      <c r="K7" s="59"/>
      <c r="L7" s="60"/>
      <c r="N7" s="2">
        <f>IF(OR(I7="Unarmed",I7=""),1,0)</f>
        <v>1</v>
      </c>
      <c r="O7" s="2">
        <f aca="true" t="shared" si="1" ref="O7:O25">IF(G7="Yes",1,0)</f>
        <v>0</v>
      </c>
      <c r="P7" s="2">
        <f>IF(ISNA(VLOOKUP(D7,'Validation Tables'!$B$70:$C$73,2,FALSE)),"",C7*VLOOKUP(D7,'Validation Tables'!$B$70:$C$73,2,FALSE))</f>
      </c>
      <c r="Q7" s="2">
        <f t="shared" si="0"/>
      </c>
      <c r="R7" s="2">
        <f>IF(ISBLANK(F7),"",VLOOKUP(F7,'Validation Tables'!$A$108:$B$114,2,FALSE))</f>
      </c>
    </row>
    <row r="8" spans="1:18" ht="13.5">
      <c r="A8" s="2">
        <v>3</v>
      </c>
      <c r="B8" s="59"/>
      <c r="C8" s="59"/>
      <c r="D8" s="59"/>
      <c r="E8" s="59"/>
      <c r="F8" s="59"/>
      <c r="G8" s="59"/>
      <c r="H8" s="59"/>
      <c r="I8" s="59"/>
      <c r="J8" s="59"/>
      <c r="K8" s="59"/>
      <c r="L8" s="60"/>
      <c r="N8" s="2">
        <f aca="true" t="shared" si="2" ref="N8:N25">IF(OR(I8="Unarmed",I8=""),1,0)</f>
        <v>1</v>
      </c>
      <c r="O8" s="2">
        <f t="shared" si="1"/>
        <v>0</v>
      </c>
      <c r="P8" s="2">
        <f>IF(ISNA(VLOOKUP(D8,'Validation Tables'!$B$70:$C$73,2,FALSE)),"",C8*VLOOKUP(D8,'Validation Tables'!$B$70:$C$73,2,FALSE))</f>
      </c>
      <c r="Q8" s="2">
        <f t="shared" si="0"/>
      </c>
      <c r="R8" s="2">
        <f>IF(ISBLANK(F8),"",VLOOKUP(F8,'Validation Tables'!$A$108:$B$114,2,FALSE))</f>
      </c>
    </row>
    <row r="9" spans="1:18" ht="13.5">
      <c r="A9" s="2">
        <v>4</v>
      </c>
      <c r="B9" s="59"/>
      <c r="C9" s="59"/>
      <c r="D9" s="59"/>
      <c r="E9" s="59"/>
      <c r="F9" s="59"/>
      <c r="G9" s="59"/>
      <c r="H9" s="59"/>
      <c r="I9" s="59"/>
      <c r="J9" s="59"/>
      <c r="K9" s="59"/>
      <c r="L9" s="60"/>
      <c r="N9" s="2">
        <f t="shared" si="2"/>
        <v>1</v>
      </c>
      <c r="O9" s="2">
        <f t="shared" si="1"/>
        <v>0</v>
      </c>
      <c r="P9" s="2">
        <f>IF(ISNA(VLOOKUP(D9,'Validation Tables'!$B$70:$C$73,2,FALSE)),"",C9*VLOOKUP(D9,'Validation Tables'!$B$70:$C$73,2,FALSE))</f>
      </c>
      <c r="Q9" s="2">
        <f t="shared" si="0"/>
      </c>
      <c r="R9" s="2">
        <f>IF(ISBLANK(F9),"",VLOOKUP(F9,'Validation Tables'!$A$108:$B$114,2,FALSE))</f>
      </c>
    </row>
    <row r="10" spans="1:18" ht="13.5">
      <c r="A10" s="2">
        <v>5</v>
      </c>
      <c r="B10" s="59"/>
      <c r="C10" s="59"/>
      <c r="D10" s="59"/>
      <c r="E10" s="59"/>
      <c r="F10" s="59"/>
      <c r="G10" s="59"/>
      <c r="H10" s="59"/>
      <c r="I10" s="59"/>
      <c r="J10" s="59"/>
      <c r="K10" s="59"/>
      <c r="L10" s="60"/>
      <c r="N10" s="2">
        <f t="shared" si="2"/>
        <v>1</v>
      </c>
      <c r="O10" s="2">
        <f t="shared" si="1"/>
        <v>0</v>
      </c>
      <c r="P10" s="2">
        <f>IF(ISNA(VLOOKUP(D10,'Validation Tables'!$B$70:$C$73,2,FALSE)),"",C10*VLOOKUP(D10,'Validation Tables'!$B$70:$C$73,2,FALSE))</f>
      </c>
      <c r="Q10" s="2">
        <f t="shared" si="0"/>
      </c>
      <c r="R10" s="2">
        <f>IF(ISBLANK(F10),"",VLOOKUP(F10,'Validation Tables'!$A$108:$B$114,2,FALSE))</f>
      </c>
    </row>
    <row r="11" spans="1:18" ht="13.5">
      <c r="A11" s="2">
        <v>6</v>
      </c>
      <c r="B11" s="59"/>
      <c r="C11" s="59"/>
      <c r="D11" s="59"/>
      <c r="E11" s="59"/>
      <c r="F11" s="59"/>
      <c r="G11" s="59"/>
      <c r="H11" s="59"/>
      <c r="I11" s="59"/>
      <c r="J11" s="59"/>
      <c r="K11" s="59"/>
      <c r="L11" s="60"/>
      <c r="N11" s="2">
        <f t="shared" si="2"/>
        <v>1</v>
      </c>
      <c r="O11" s="2">
        <f t="shared" si="1"/>
        <v>0</v>
      </c>
      <c r="P11" s="2">
        <f>IF(ISNA(VLOOKUP(D11,'Validation Tables'!$B$70:$C$73,2,FALSE)),"",C11*VLOOKUP(D11,'Validation Tables'!$B$70:$C$73,2,FALSE))</f>
      </c>
      <c r="Q11" s="2">
        <f t="shared" si="0"/>
      </c>
      <c r="R11" s="2">
        <f>IF(ISBLANK(F11),"",VLOOKUP(F11,'Validation Tables'!$A$108:$B$114,2,FALSE))</f>
      </c>
    </row>
    <row r="12" spans="1:18" ht="13.5">
      <c r="A12" s="2">
        <v>7</v>
      </c>
      <c r="B12" s="59"/>
      <c r="C12" s="59"/>
      <c r="D12" s="59"/>
      <c r="E12" s="59"/>
      <c r="F12" s="59"/>
      <c r="G12" s="59"/>
      <c r="H12" s="59"/>
      <c r="I12" s="59"/>
      <c r="J12" s="59"/>
      <c r="K12" s="59"/>
      <c r="L12" s="60"/>
      <c r="N12" s="2">
        <f t="shared" si="2"/>
        <v>1</v>
      </c>
      <c r="O12" s="2">
        <f t="shared" si="1"/>
        <v>0</v>
      </c>
      <c r="P12" s="2">
        <f>IF(ISNA(VLOOKUP(D12,'Validation Tables'!$B$70:$C$73,2,FALSE)),"",C12*VLOOKUP(D12,'Validation Tables'!$B$70:$C$73,2,FALSE))</f>
      </c>
      <c r="Q12" s="2">
        <f t="shared" si="0"/>
      </c>
      <c r="R12" s="2">
        <f>IF(ISBLANK(F12),"",VLOOKUP(F12,'Validation Tables'!$A$108:$B$114,2,FALSE))</f>
      </c>
    </row>
    <row r="13" spans="1:18" ht="13.5">
      <c r="A13" s="2">
        <v>8</v>
      </c>
      <c r="B13" s="59"/>
      <c r="C13" s="59"/>
      <c r="D13" s="59"/>
      <c r="E13" s="59"/>
      <c r="F13" s="59"/>
      <c r="G13" s="59"/>
      <c r="H13" s="59"/>
      <c r="I13" s="59"/>
      <c r="J13" s="59"/>
      <c r="K13" s="59"/>
      <c r="L13" s="60"/>
      <c r="N13" s="2">
        <f t="shared" si="2"/>
        <v>1</v>
      </c>
      <c r="O13" s="2">
        <f t="shared" si="1"/>
        <v>0</v>
      </c>
      <c r="P13" s="2">
        <f>IF(ISNA(VLOOKUP(D13,'Validation Tables'!$B$70:$C$73,2,FALSE)),"",C13*VLOOKUP(D13,'Validation Tables'!$B$70:$C$73,2,FALSE))</f>
      </c>
      <c r="Q13" s="2">
        <f t="shared" si="0"/>
      </c>
      <c r="R13" s="2">
        <f>IF(ISBLANK(F13),"",VLOOKUP(F13,'Validation Tables'!$A$108:$B$114,2,FALSE))</f>
      </c>
    </row>
    <row r="14" spans="1:18" ht="13.5">
      <c r="A14" s="2">
        <v>9</v>
      </c>
      <c r="B14" s="59"/>
      <c r="C14" s="59"/>
      <c r="D14" s="59"/>
      <c r="E14" s="59"/>
      <c r="F14" s="59"/>
      <c r="G14" s="59"/>
      <c r="H14" s="59"/>
      <c r="I14" s="59"/>
      <c r="J14" s="59"/>
      <c r="K14" s="59"/>
      <c r="L14" s="60"/>
      <c r="N14" s="2">
        <f t="shared" si="2"/>
        <v>1</v>
      </c>
      <c r="O14" s="2">
        <f t="shared" si="1"/>
        <v>0</v>
      </c>
      <c r="P14" s="2">
        <f>IF(ISNA(VLOOKUP(D14,'Validation Tables'!$B$70:$C$73,2,FALSE)),"",C14*VLOOKUP(D14,'Validation Tables'!$B$70:$C$73,2,FALSE))</f>
      </c>
      <c r="Q14" s="2">
        <f t="shared" si="0"/>
      </c>
      <c r="R14" s="2">
        <f>IF(ISBLANK(F14),"",VLOOKUP(F14,'Validation Tables'!$A$108:$B$114,2,FALSE))</f>
      </c>
    </row>
    <row r="15" spans="1:18" ht="13.5">
      <c r="A15" s="2">
        <v>10</v>
      </c>
      <c r="B15" s="59"/>
      <c r="C15" s="59"/>
      <c r="D15" s="59"/>
      <c r="E15" s="59"/>
      <c r="F15" s="59"/>
      <c r="G15" s="59"/>
      <c r="H15" s="59"/>
      <c r="I15" s="59"/>
      <c r="J15" s="59"/>
      <c r="K15" s="59"/>
      <c r="L15" s="60"/>
      <c r="N15" s="2">
        <f t="shared" si="2"/>
        <v>1</v>
      </c>
      <c r="O15" s="2">
        <f t="shared" si="1"/>
        <v>0</v>
      </c>
      <c r="P15" s="2">
        <f>IF(ISNA(VLOOKUP(D15,'Validation Tables'!$B$70:$C$73,2,FALSE)),"",C15*VLOOKUP(D15,'Validation Tables'!$B$70:$C$73,2,FALSE))</f>
      </c>
      <c r="Q15" s="2">
        <f t="shared" si="0"/>
      </c>
      <c r="R15" s="2">
        <f>IF(ISBLANK(F15),"",VLOOKUP(F15,'Validation Tables'!$A$108:$B$114,2,FALSE))</f>
      </c>
    </row>
    <row r="16" spans="1:18" ht="13.5">
      <c r="A16" s="2">
        <v>11</v>
      </c>
      <c r="B16" s="59"/>
      <c r="C16" s="59"/>
      <c r="D16" s="59"/>
      <c r="E16" s="59"/>
      <c r="F16" s="59"/>
      <c r="G16" s="59"/>
      <c r="H16" s="59"/>
      <c r="I16" s="59"/>
      <c r="J16" s="59"/>
      <c r="K16" s="59"/>
      <c r="L16" s="60"/>
      <c r="N16" s="2">
        <f t="shared" si="2"/>
        <v>1</v>
      </c>
      <c r="O16" s="2">
        <f t="shared" si="1"/>
        <v>0</v>
      </c>
      <c r="P16" s="2">
        <f>IF(ISNA(VLOOKUP(D16,'Validation Tables'!$B$70:$C$73,2,FALSE)),"",C16*VLOOKUP(D16,'Validation Tables'!$B$70:$C$73,2,FALSE))</f>
      </c>
      <c r="Q16" s="2">
        <f t="shared" si="0"/>
      </c>
      <c r="R16" s="2">
        <f>IF(ISBLANK(F16),"",VLOOKUP(F16,'Validation Tables'!$A$108:$B$114,2,FALSE))</f>
      </c>
    </row>
    <row r="17" spans="1:18" ht="13.5">
      <c r="A17" s="2">
        <v>12</v>
      </c>
      <c r="B17" s="59"/>
      <c r="C17" s="59"/>
      <c r="D17" s="59"/>
      <c r="E17" s="59"/>
      <c r="F17" s="59"/>
      <c r="G17" s="59"/>
      <c r="H17" s="59"/>
      <c r="I17" s="59"/>
      <c r="J17" s="59"/>
      <c r="K17" s="59"/>
      <c r="L17" s="60"/>
      <c r="N17" s="2">
        <f t="shared" si="2"/>
        <v>1</v>
      </c>
      <c r="O17" s="2">
        <f t="shared" si="1"/>
        <v>0</v>
      </c>
      <c r="P17" s="2">
        <f>IF(ISNA(VLOOKUP(D17,'Validation Tables'!$B$70:$C$73,2,FALSE)),"",C17*VLOOKUP(D17,'Validation Tables'!$B$70:$C$73,2,FALSE))</f>
      </c>
      <c r="Q17" s="2">
        <f t="shared" si="0"/>
      </c>
      <c r="R17" s="2">
        <f>IF(ISBLANK(F17),"",VLOOKUP(F17,'Validation Tables'!$A$108:$B$114,2,FALSE))</f>
      </c>
    </row>
    <row r="18" spans="1:18" ht="13.5">
      <c r="A18" s="2">
        <v>13</v>
      </c>
      <c r="B18" s="59"/>
      <c r="C18" s="59"/>
      <c r="D18" s="59"/>
      <c r="E18" s="59"/>
      <c r="F18" s="59"/>
      <c r="G18" s="59"/>
      <c r="H18" s="59"/>
      <c r="I18" s="59"/>
      <c r="J18" s="59"/>
      <c r="K18" s="59"/>
      <c r="L18" s="60"/>
      <c r="N18" s="2">
        <f t="shared" si="2"/>
        <v>1</v>
      </c>
      <c r="O18" s="2">
        <f t="shared" si="1"/>
        <v>0</v>
      </c>
      <c r="P18" s="2">
        <f>IF(ISNA(VLOOKUP(D18,'Validation Tables'!$B$70:$C$73,2,FALSE)),"",C18*VLOOKUP(D18,'Validation Tables'!$B$70:$C$73,2,FALSE))</f>
      </c>
      <c r="Q18" s="2">
        <f t="shared" si="0"/>
      </c>
      <c r="R18" s="2">
        <f>IF(ISBLANK(F18),"",VLOOKUP(F18,'Validation Tables'!$A$108:$B$114,2,FALSE))</f>
      </c>
    </row>
    <row r="19" spans="1:18" ht="13.5">
      <c r="A19" s="2">
        <v>14</v>
      </c>
      <c r="B19" s="59"/>
      <c r="C19" s="59"/>
      <c r="D19" s="59"/>
      <c r="E19" s="59"/>
      <c r="F19" s="59"/>
      <c r="G19" s="59"/>
      <c r="H19" s="59"/>
      <c r="I19" s="59"/>
      <c r="J19" s="59"/>
      <c r="K19" s="59"/>
      <c r="L19" s="60"/>
      <c r="N19" s="2">
        <f t="shared" si="2"/>
        <v>1</v>
      </c>
      <c r="O19" s="2">
        <f t="shared" si="1"/>
        <v>0</v>
      </c>
      <c r="P19" s="2">
        <f>IF(ISNA(VLOOKUP(D19,'Validation Tables'!$B$70:$C$73,2,FALSE)),"",C19*VLOOKUP(D19,'Validation Tables'!$B$70:$C$73,2,FALSE))</f>
      </c>
      <c r="Q19" s="2">
        <f t="shared" si="0"/>
      </c>
      <c r="R19" s="2">
        <f>IF(ISBLANK(F19),"",VLOOKUP(F19,'Validation Tables'!$A$108:$B$114,2,FALSE))</f>
      </c>
    </row>
    <row r="20" spans="1:18" ht="13.5">
      <c r="A20" s="2">
        <v>15</v>
      </c>
      <c r="B20" s="59"/>
      <c r="C20" s="59"/>
      <c r="D20" s="59"/>
      <c r="E20" s="59"/>
      <c r="F20" s="59"/>
      <c r="G20" s="59"/>
      <c r="H20" s="59"/>
      <c r="I20" s="59"/>
      <c r="J20" s="59"/>
      <c r="K20" s="59"/>
      <c r="L20" s="60"/>
      <c r="N20" s="2">
        <f t="shared" si="2"/>
        <v>1</v>
      </c>
      <c r="O20" s="2">
        <f t="shared" si="1"/>
        <v>0</v>
      </c>
      <c r="P20" s="2">
        <f>IF(ISNA(VLOOKUP(D20,'Validation Tables'!$B$70:$C$73,2,FALSE)),"",C20*VLOOKUP(D20,'Validation Tables'!$B$70:$C$73,2,FALSE))</f>
      </c>
      <c r="Q20" s="2">
        <f t="shared" si="0"/>
      </c>
      <c r="R20" s="2">
        <f>IF(ISBLANK(F20),"",VLOOKUP(F20,'Validation Tables'!$A$108:$B$114,2,FALSE))</f>
      </c>
    </row>
    <row r="21" spans="1:18" ht="13.5">
      <c r="A21" s="2">
        <v>16</v>
      </c>
      <c r="B21" s="59"/>
      <c r="C21" s="59"/>
      <c r="D21" s="59"/>
      <c r="E21" s="59"/>
      <c r="F21" s="59"/>
      <c r="G21" s="59"/>
      <c r="H21" s="59"/>
      <c r="I21" s="59"/>
      <c r="J21" s="59"/>
      <c r="K21" s="59"/>
      <c r="L21" s="60"/>
      <c r="N21" s="2">
        <f t="shared" si="2"/>
        <v>1</v>
      </c>
      <c r="O21" s="2">
        <f t="shared" si="1"/>
        <v>0</v>
      </c>
      <c r="P21" s="2">
        <f>IF(ISNA(VLOOKUP(D21,'Validation Tables'!$B$70:$C$73,2,FALSE)),"",C21*VLOOKUP(D21,'Validation Tables'!$B$70:$C$73,2,FALSE))</f>
      </c>
      <c r="Q21" s="2">
        <f t="shared" si="0"/>
      </c>
      <c r="R21" s="2">
        <f>IF(ISBLANK(F21),"",VLOOKUP(F21,'Validation Tables'!$A$108:$B$114,2,FALSE))</f>
      </c>
    </row>
    <row r="22" spans="1:18" ht="13.5">
      <c r="A22" s="2">
        <v>17</v>
      </c>
      <c r="B22" s="59"/>
      <c r="C22" s="59"/>
      <c r="D22" s="59"/>
      <c r="E22" s="59"/>
      <c r="F22" s="59"/>
      <c r="G22" s="59"/>
      <c r="H22" s="59"/>
      <c r="I22" s="59"/>
      <c r="J22" s="59"/>
      <c r="K22" s="59"/>
      <c r="L22" s="60"/>
      <c r="N22" s="2">
        <f t="shared" si="2"/>
        <v>1</v>
      </c>
      <c r="O22" s="2">
        <f t="shared" si="1"/>
        <v>0</v>
      </c>
      <c r="P22" s="2">
        <f>IF(ISNA(VLOOKUP(D22,'Validation Tables'!$B$70:$C$73,2,FALSE)),"",C22*VLOOKUP(D22,'Validation Tables'!$B$70:$C$73,2,FALSE))</f>
      </c>
      <c r="Q22" s="2">
        <f t="shared" si="0"/>
      </c>
      <c r="R22" s="2">
        <f>IF(ISBLANK(F22),"",VLOOKUP(F22,'Validation Tables'!$A$108:$B$114,2,FALSE))</f>
      </c>
    </row>
    <row r="23" spans="1:18" ht="13.5">
      <c r="A23" s="2">
        <v>18</v>
      </c>
      <c r="B23" s="59"/>
      <c r="C23" s="59"/>
      <c r="D23" s="59"/>
      <c r="E23" s="59"/>
      <c r="F23" s="59"/>
      <c r="G23" s="59"/>
      <c r="H23" s="59"/>
      <c r="I23" s="59"/>
      <c r="J23" s="59"/>
      <c r="K23" s="59"/>
      <c r="L23" s="60"/>
      <c r="N23" s="2">
        <f t="shared" si="2"/>
        <v>1</v>
      </c>
      <c r="O23" s="2">
        <f t="shared" si="1"/>
        <v>0</v>
      </c>
      <c r="P23" s="2">
        <f>IF(ISNA(VLOOKUP(D23,'Validation Tables'!$B$70:$C$73,2,FALSE)),"",C23*VLOOKUP(D23,'Validation Tables'!$B$70:$C$73,2,FALSE))</f>
      </c>
      <c r="Q23" s="2">
        <f t="shared" si="0"/>
      </c>
      <c r="R23" s="2">
        <f>IF(ISBLANK(F23),"",VLOOKUP(F23,'Validation Tables'!$A$108:$B$114,2,FALSE))</f>
      </c>
    </row>
    <row r="24" spans="1:18" ht="13.5">
      <c r="A24" s="2">
        <v>19</v>
      </c>
      <c r="B24" s="59"/>
      <c r="C24" s="59"/>
      <c r="D24" s="59"/>
      <c r="E24" s="59"/>
      <c r="F24" s="59"/>
      <c r="G24" s="59"/>
      <c r="H24" s="59"/>
      <c r="I24" s="59"/>
      <c r="J24" s="59"/>
      <c r="K24" s="59"/>
      <c r="L24" s="60"/>
      <c r="N24" s="2">
        <f t="shared" si="2"/>
        <v>1</v>
      </c>
      <c r="O24" s="2">
        <f t="shared" si="1"/>
        <v>0</v>
      </c>
      <c r="P24" s="2">
        <f>IF(ISNA(VLOOKUP(D24,'Validation Tables'!$B$70:$C$73,2,FALSE)),"",C24*VLOOKUP(D24,'Validation Tables'!$B$70:$C$73,2,FALSE))</f>
      </c>
      <c r="Q24" s="2">
        <f t="shared" si="0"/>
      </c>
      <c r="R24" s="2">
        <f>IF(ISBLANK(F24),"",VLOOKUP(F24,'Validation Tables'!$A$108:$B$114,2,FALSE))</f>
      </c>
    </row>
    <row r="25" spans="1:18" ht="13.5">
      <c r="A25" s="2">
        <v>20</v>
      </c>
      <c r="B25" s="59"/>
      <c r="C25" s="59"/>
      <c r="D25" s="59"/>
      <c r="E25" s="59"/>
      <c r="F25" s="59"/>
      <c r="G25" s="59"/>
      <c r="H25" s="59"/>
      <c r="I25" s="59"/>
      <c r="J25" s="59"/>
      <c r="K25" s="59"/>
      <c r="L25" s="60"/>
      <c r="N25" s="2">
        <f t="shared" si="2"/>
        <v>1</v>
      </c>
      <c r="O25" s="2">
        <f t="shared" si="1"/>
        <v>0</v>
      </c>
      <c r="P25" s="2">
        <f>IF(ISNA(VLOOKUP(D25,'Validation Tables'!$B$70:$C$73,2,FALSE)),"",C25*VLOOKUP(D25,'Validation Tables'!$B$70:$C$73,2,FALSE))</f>
      </c>
      <c r="Q25" s="2">
        <f t="shared" si="0"/>
      </c>
      <c r="R25" s="2">
        <f>IF(ISBLANK(F25),"",VLOOKUP(F25,'Validation Tables'!$A$108:$B$114,2,FALSE))</f>
      </c>
    </row>
    <row r="26" spans="17:18" ht="12.75">
      <c r="Q26" s="2" t="s">
        <v>198</v>
      </c>
      <c r="R26" s="2">
        <f>IF(COUNTIF(R6:R25,"")=20,"",MAX(R6:R25))</f>
      </c>
    </row>
    <row r="27" spans="1:14" ht="12.75">
      <c r="A27" s="2" t="s">
        <v>135</v>
      </c>
      <c r="N27" s="2">
        <f>MIN(N6:N25)</f>
        <v>0</v>
      </c>
    </row>
    <row r="28" spans="1:6" ht="27" customHeight="1">
      <c r="A28" s="116"/>
      <c r="B28" s="116"/>
      <c r="C28" s="116"/>
      <c r="D28" s="116"/>
      <c r="E28" s="116"/>
      <c r="F28" s="116"/>
    </row>
    <row r="29" spans="1:6" ht="12.75" customHeight="1">
      <c r="A29" s="13"/>
      <c r="B29" s="13"/>
      <c r="C29" s="13"/>
      <c r="D29" s="13"/>
      <c r="E29" s="13"/>
      <c r="F29" s="13"/>
    </row>
    <row r="30" ht="15">
      <c r="A30" s="1" t="s">
        <v>210</v>
      </c>
    </row>
    <row r="31" spans="1:4" ht="12.75">
      <c r="A31" s="6" t="s">
        <v>58</v>
      </c>
      <c r="B31" s="6" t="s">
        <v>73</v>
      </c>
      <c r="C31" s="6" t="s">
        <v>69</v>
      </c>
      <c r="D31" s="6"/>
    </row>
    <row r="32" spans="1:4" ht="13.5">
      <c r="A32" s="2">
        <v>1</v>
      </c>
      <c r="B32" s="59"/>
      <c r="C32" s="60"/>
      <c r="D32" s="113"/>
    </row>
    <row r="33" spans="1:4" ht="13.5">
      <c r="A33" s="2">
        <v>2</v>
      </c>
      <c r="B33" s="59"/>
      <c r="C33" s="60"/>
      <c r="D33" s="113"/>
    </row>
    <row r="34" spans="1:4" ht="13.5">
      <c r="A34" s="2">
        <v>3</v>
      </c>
      <c r="B34" s="59"/>
      <c r="C34" s="60"/>
      <c r="D34" s="113"/>
    </row>
    <row r="35" spans="1:4" ht="13.5">
      <c r="A35" s="2">
        <v>4</v>
      </c>
      <c r="B35" s="59"/>
      <c r="C35" s="60"/>
      <c r="D35" s="113"/>
    </row>
    <row r="36" spans="1:4" ht="13.5">
      <c r="A36" s="2">
        <v>5</v>
      </c>
      <c r="B36" s="59"/>
      <c r="C36" s="60"/>
      <c r="D36" s="113"/>
    </row>
    <row r="37" spans="1:4" ht="13.5">
      <c r="A37" s="2">
        <v>6</v>
      </c>
      <c r="B37" s="59"/>
      <c r="C37" s="60"/>
      <c r="D37" s="113"/>
    </row>
    <row r="38" spans="1:4" ht="13.5">
      <c r="A38" s="2">
        <v>7</v>
      </c>
      <c r="B38" s="59"/>
      <c r="C38" s="60"/>
      <c r="D38" s="113"/>
    </row>
    <row r="39" spans="1:4" ht="13.5">
      <c r="A39" s="2">
        <v>8</v>
      </c>
      <c r="B39" s="59"/>
      <c r="C39" s="60"/>
      <c r="D39" s="113"/>
    </row>
    <row r="40" spans="1:4" ht="13.5">
      <c r="A40" s="2">
        <v>9</v>
      </c>
      <c r="B40" s="59"/>
      <c r="C40" s="60"/>
      <c r="D40" s="113"/>
    </row>
    <row r="41" spans="1:4" ht="13.5">
      <c r="A41" s="2">
        <v>10</v>
      </c>
      <c r="B41" s="59"/>
      <c r="C41" s="60"/>
      <c r="D41" s="113"/>
    </row>
    <row r="43" ht="12.75">
      <c r="A43" s="2" t="s">
        <v>135</v>
      </c>
    </row>
    <row r="44" spans="1:6" ht="27" customHeight="1">
      <c r="A44" s="116"/>
      <c r="B44" s="116"/>
      <c r="C44" s="116"/>
      <c r="D44" s="116"/>
      <c r="E44" s="116"/>
      <c r="F44" s="116"/>
    </row>
  </sheetData>
  <sheetProtection formatColumns="0" formatRows="0"/>
  <mergeCells count="2">
    <mergeCell ref="A28:F28"/>
    <mergeCell ref="A44:F44"/>
  </mergeCells>
  <conditionalFormatting sqref="C7:L25">
    <cfRule type="expression" priority="1" dxfId="2" stopIfTrue="1">
      <formula>"ISBLANK($B$6)"</formula>
    </cfRule>
  </conditionalFormatting>
  <dataValidations count="9">
    <dataValidation type="decimal" allowBlank="1" showInputMessage="1" showErrorMessage="1" sqref="J6:J25">
      <formula1>0</formula1>
      <formula2>1E+30</formula2>
    </dataValidation>
    <dataValidation type="list" allowBlank="1" showInputMessage="1" showErrorMessage="1" sqref="F6:F25">
      <formula1>DT1FillerType</formula1>
    </dataValidation>
    <dataValidation type="list" allowBlank="1" showInputMessage="1" showErrorMessage="1" sqref="G6:G25">
      <formula1>YesNoUNKList</formula1>
    </dataValidation>
    <dataValidation type="list" allowBlank="1" showInputMessage="1" showErrorMessage="1" sqref="H6:H25">
      <formula1>DT1FuzingType</formula1>
    </dataValidation>
    <dataValidation type="list" allowBlank="1" showInputMessage="1" showErrorMessage="1" sqref="I6:I25">
      <formula1>DT1FuzeCondition</formula1>
    </dataValidation>
    <dataValidation type="list" allowBlank="1" showInputMessage="1" showErrorMessage="1" sqref="K6:K25">
      <formula1>DT1LocationOfMunitions</formula1>
    </dataValidation>
    <dataValidation type="list" allowBlank="1" showInputMessage="1" showErrorMessage="1" sqref="B6:B25">
      <formula1>DT1MunitionType</formula1>
    </dataValidation>
    <dataValidation type="list" allowBlank="1" showInputMessage="1" showErrorMessage="1" sqref="D6:D25">
      <formula1>MunSizeUnits</formula1>
    </dataValidation>
    <dataValidation type="decimal" allowBlank="1" showInputMessage="1" showErrorMessage="1" sqref="C6:C25">
      <formula1>0</formula1>
      <formula2>10000000000</formula2>
    </dataValidation>
  </dataValidations>
  <printOptions/>
  <pageMargins left="0.75" right="0.75" top="1" bottom="1" header="0.5" footer="0.5"/>
  <pageSetup horizontalDpi="600" verticalDpi="600" orientation="portrait" scale="74" r:id="rId4"/>
  <headerFooter alignWithMargins="0">
    <oddHeader>&amp;R&amp;"Tahoma,Regular"&amp;8MEC HA Workbook v1.0
November 2006</oddHeader>
    <oddFooter>&amp;L&amp;"Tahoma,Regular"&amp;8Munitions, Bulk Explosive Info Worksheet&amp;R&amp;"Tahoma,Regular"&amp;8Public Review Draft - Do Not Cite or Quote</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6"/>
  <dimension ref="A1:G42"/>
  <sheetViews>
    <sheetView workbookViewId="0" topLeftCell="A1">
      <selection activeCell="A1" sqref="A1"/>
    </sheetView>
  </sheetViews>
  <sheetFormatPr defaultColWidth="9.140625" defaultRowHeight="12.75"/>
  <cols>
    <col min="1" max="1" width="9.140625" style="2" customWidth="1"/>
    <col min="2" max="2" width="30.00390625" style="2" customWidth="1"/>
    <col min="3" max="3" width="14.28125" style="2" customWidth="1"/>
    <col min="4" max="4" width="12.7109375" style="2" bestFit="1" customWidth="1"/>
    <col min="5" max="5" width="13.57421875" style="2" customWidth="1"/>
    <col min="6" max="6" width="9.140625" style="2" customWidth="1"/>
    <col min="7" max="7" width="24.28125" style="2" customWidth="1"/>
    <col min="8" max="16384" width="9.140625" style="2" customWidth="1"/>
  </cols>
  <sheetData>
    <row r="1" spans="1:2" ht="12.75">
      <c r="A1" s="2" t="s">
        <v>49</v>
      </c>
      <c r="B1" s="24">
        <f>IF('Summary Info'!B3="","",'Summary Info'!B3)</f>
      </c>
    </row>
    <row r="2" spans="1:2" ht="12.75">
      <c r="A2" s="2" t="s">
        <v>50</v>
      </c>
      <c r="B2" s="49">
        <f>IF('Summary Info'!B4="","",'Summary Info'!B4)</f>
      </c>
    </row>
    <row r="3" ht="12.75"/>
    <row r="4" ht="15">
      <c r="A4" s="1" t="s">
        <v>211</v>
      </c>
    </row>
    <row r="5" spans="1:7" s="6" customFormat="1" ht="76.5">
      <c r="A5" s="6" t="s">
        <v>79</v>
      </c>
      <c r="B5" s="6" t="s">
        <v>65</v>
      </c>
      <c r="C5" s="6" t="s">
        <v>66</v>
      </c>
      <c r="D5" s="6" t="s">
        <v>300</v>
      </c>
      <c r="E5" s="6" t="s">
        <v>122</v>
      </c>
      <c r="F5" s="6" t="s">
        <v>80</v>
      </c>
      <c r="G5" s="6" t="s">
        <v>69</v>
      </c>
    </row>
    <row r="6" spans="1:7" ht="13.5">
      <c r="A6" s="2">
        <v>1</v>
      </c>
      <c r="B6" s="59"/>
      <c r="C6" s="61"/>
      <c r="D6" s="61"/>
      <c r="E6" s="51">
        <f>IF(D6*C6=0,"",D6*C6)</f>
      </c>
      <c r="F6" s="59"/>
      <c r="G6" s="60"/>
    </row>
    <row r="7" spans="1:7" ht="13.5">
      <c r="A7" s="2">
        <v>2</v>
      </c>
      <c r="B7" s="59"/>
      <c r="C7" s="61"/>
      <c r="D7" s="61"/>
      <c r="E7" s="51">
        <f aca="true" t="shared" si="0" ref="E7:E17">IF(D7*C7=0,"",D7*C7)</f>
      </c>
      <c r="F7" s="59"/>
      <c r="G7" s="60"/>
    </row>
    <row r="8" spans="1:7" ht="13.5">
      <c r="A8" s="2">
        <v>3</v>
      </c>
      <c r="B8" s="59"/>
      <c r="C8" s="61"/>
      <c r="D8" s="61"/>
      <c r="E8" s="51">
        <f t="shared" si="0"/>
      </c>
      <c r="F8" s="59"/>
      <c r="G8" s="60"/>
    </row>
    <row r="9" spans="1:7" ht="13.5">
      <c r="A9" s="2">
        <v>4</v>
      </c>
      <c r="B9" s="59"/>
      <c r="C9" s="61"/>
      <c r="D9" s="61"/>
      <c r="E9" s="51">
        <f t="shared" si="0"/>
      </c>
      <c r="F9" s="59"/>
      <c r="G9" s="60"/>
    </row>
    <row r="10" spans="1:7" ht="13.5">
      <c r="A10" s="2">
        <v>5</v>
      </c>
      <c r="B10" s="59"/>
      <c r="C10" s="61"/>
      <c r="D10" s="61"/>
      <c r="E10" s="51">
        <f t="shared" si="0"/>
      </c>
      <c r="F10" s="59"/>
      <c r="G10" s="60"/>
    </row>
    <row r="11" spans="1:7" ht="13.5">
      <c r="A11" s="2">
        <v>6</v>
      </c>
      <c r="B11" s="59"/>
      <c r="C11" s="61"/>
      <c r="D11" s="61"/>
      <c r="E11" s="51">
        <f t="shared" si="0"/>
      </c>
      <c r="F11" s="59"/>
      <c r="G11" s="60"/>
    </row>
    <row r="12" spans="1:7" ht="13.5">
      <c r="A12" s="2">
        <v>7</v>
      </c>
      <c r="B12" s="59"/>
      <c r="C12" s="61"/>
      <c r="D12" s="61"/>
      <c r="E12" s="51">
        <f t="shared" si="0"/>
      </c>
      <c r="F12" s="59"/>
      <c r="G12" s="60"/>
    </row>
    <row r="13" spans="1:7" ht="13.5">
      <c r="A13" s="2">
        <v>8</v>
      </c>
      <c r="B13" s="59"/>
      <c r="C13" s="61"/>
      <c r="D13" s="61"/>
      <c r="E13" s="51">
        <f t="shared" si="0"/>
      </c>
      <c r="F13" s="59"/>
      <c r="G13" s="60"/>
    </row>
    <row r="14" spans="1:7" ht="13.5">
      <c r="A14" s="2">
        <v>9</v>
      </c>
      <c r="B14" s="59"/>
      <c r="C14" s="61"/>
      <c r="D14" s="61"/>
      <c r="E14" s="51">
        <f t="shared" si="0"/>
      </c>
      <c r="F14" s="59"/>
      <c r="G14" s="60"/>
    </row>
    <row r="15" spans="1:7" ht="13.5">
      <c r="A15" s="2">
        <v>10</v>
      </c>
      <c r="B15" s="59"/>
      <c r="C15" s="61"/>
      <c r="D15" s="61"/>
      <c r="E15" s="51">
        <f t="shared" si="0"/>
      </c>
      <c r="F15" s="59"/>
      <c r="G15" s="60"/>
    </row>
    <row r="16" spans="1:7" ht="13.5">
      <c r="A16" s="2">
        <v>11</v>
      </c>
      <c r="B16" s="59"/>
      <c r="C16" s="61"/>
      <c r="D16" s="61"/>
      <c r="E16" s="51">
        <f t="shared" si="0"/>
      </c>
      <c r="F16" s="59"/>
      <c r="G16" s="60"/>
    </row>
    <row r="17" spans="1:7" ht="13.5">
      <c r="A17" s="2">
        <v>12</v>
      </c>
      <c r="B17" s="59"/>
      <c r="C17" s="61"/>
      <c r="D17" s="61"/>
      <c r="E17" s="51">
        <f t="shared" si="0"/>
      </c>
      <c r="F17" s="59"/>
      <c r="G17" s="60"/>
    </row>
    <row r="18" spans="4:5" ht="12.75">
      <c r="D18" s="8" t="s">
        <v>123</v>
      </c>
      <c r="E18" s="51">
        <f>IF(SUM(E6:E17)=0,"",SUM(E6:E17))</f>
      </c>
    </row>
    <row r="19" spans="5:6" ht="12.75">
      <c r="E19" s="8" t="s">
        <v>68</v>
      </c>
      <c r="F19" s="18">
        <f>IF(COUNTA(F6:F17)=0,"",MAX(F6:F17))</f>
      </c>
    </row>
    <row r="20" ht="12.75"/>
    <row r="21" ht="12.75">
      <c r="A21" s="2" t="s">
        <v>135</v>
      </c>
    </row>
    <row r="22" spans="1:6" ht="27" customHeight="1">
      <c r="A22" s="116"/>
      <c r="B22" s="117"/>
      <c r="C22" s="117"/>
      <c r="D22" s="117"/>
      <c r="E22" s="117"/>
      <c r="F22" s="117"/>
    </row>
    <row r="23" ht="12.75"/>
    <row r="24" spans="1:7" ht="34.5" customHeight="1">
      <c r="A24" s="135" t="s">
        <v>212</v>
      </c>
      <c r="B24" s="135"/>
      <c r="C24" s="135"/>
      <c r="D24" s="135"/>
      <c r="E24" s="135"/>
      <c r="F24" s="135"/>
      <c r="G24" s="135"/>
    </row>
    <row r="25" spans="1:7" ht="76.5">
      <c r="A25" s="6" t="s">
        <v>79</v>
      </c>
      <c r="B25" s="6" t="s">
        <v>65</v>
      </c>
      <c r="C25" s="6" t="s">
        <v>66</v>
      </c>
      <c r="D25" s="6" t="s">
        <v>300</v>
      </c>
      <c r="E25" s="6" t="s">
        <v>122</v>
      </c>
      <c r="F25" s="6" t="s">
        <v>80</v>
      </c>
      <c r="G25" s="6" t="s">
        <v>69</v>
      </c>
    </row>
    <row r="26" spans="1:7" ht="13.5">
      <c r="A26" s="2">
        <v>1</v>
      </c>
      <c r="B26" s="59"/>
      <c r="C26" s="61"/>
      <c r="D26" s="61"/>
      <c r="E26" s="51">
        <f>IF(D26*C26=0,"",D26*C26)</f>
      </c>
      <c r="F26" s="59"/>
      <c r="G26" s="60"/>
    </row>
    <row r="27" spans="1:7" ht="13.5">
      <c r="A27" s="2">
        <v>2</v>
      </c>
      <c r="B27" s="59"/>
      <c r="C27" s="61"/>
      <c r="D27" s="61"/>
      <c r="E27" s="51">
        <f aca="true" t="shared" si="1" ref="E27:E37">IF(D27*C27=0,"",D27*C27)</f>
      </c>
      <c r="F27" s="59"/>
      <c r="G27" s="60"/>
    </row>
    <row r="28" spans="1:7" ht="13.5">
      <c r="A28" s="2">
        <v>3</v>
      </c>
      <c r="B28" s="59"/>
      <c r="C28" s="61"/>
      <c r="D28" s="61"/>
      <c r="E28" s="51">
        <f t="shared" si="1"/>
      </c>
      <c r="F28" s="59"/>
      <c r="G28" s="60"/>
    </row>
    <row r="29" spans="1:7" ht="13.5">
      <c r="A29" s="2">
        <v>4</v>
      </c>
      <c r="B29" s="59"/>
      <c r="C29" s="61"/>
      <c r="D29" s="61"/>
      <c r="E29" s="51">
        <f t="shared" si="1"/>
      </c>
      <c r="F29" s="59"/>
      <c r="G29" s="60"/>
    </row>
    <row r="30" spans="1:7" ht="13.5">
      <c r="A30" s="2">
        <v>5</v>
      </c>
      <c r="B30" s="59"/>
      <c r="C30" s="61"/>
      <c r="D30" s="61"/>
      <c r="E30" s="51">
        <f t="shared" si="1"/>
      </c>
      <c r="F30" s="59"/>
      <c r="G30" s="60"/>
    </row>
    <row r="31" spans="1:7" ht="13.5">
      <c r="A31" s="2">
        <v>6</v>
      </c>
      <c r="B31" s="59"/>
      <c r="C31" s="61"/>
      <c r="D31" s="61"/>
      <c r="E31" s="51">
        <f t="shared" si="1"/>
      </c>
      <c r="F31" s="59"/>
      <c r="G31" s="60"/>
    </row>
    <row r="32" spans="1:7" ht="13.5">
      <c r="A32" s="2">
        <v>7</v>
      </c>
      <c r="B32" s="59"/>
      <c r="C32" s="61"/>
      <c r="D32" s="61"/>
      <c r="E32" s="51">
        <f t="shared" si="1"/>
      </c>
      <c r="F32" s="59"/>
      <c r="G32" s="60"/>
    </row>
    <row r="33" spans="1:7" ht="13.5">
      <c r="A33" s="2">
        <v>8</v>
      </c>
      <c r="B33" s="59"/>
      <c r="C33" s="61"/>
      <c r="D33" s="61"/>
      <c r="E33" s="51">
        <f t="shared" si="1"/>
      </c>
      <c r="F33" s="59"/>
      <c r="G33" s="60"/>
    </row>
    <row r="34" spans="1:7" ht="13.5">
      <c r="A34" s="2">
        <v>9</v>
      </c>
      <c r="B34" s="59"/>
      <c r="C34" s="61"/>
      <c r="D34" s="61"/>
      <c r="E34" s="51">
        <f t="shared" si="1"/>
      </c>
      <c r="F34" s="59"/>
      <c r="G34" s="60"/>
    </row>
    <row r="35" spans="1:7" ht="13.5">
      <c r="A35" s="2">
        <v>10</v>
      </c>
      <c r="B35" s="59"/>
      <c r="C35" s="61"/>
      <c r="D35" s="61"/>
      <c r="E35" s="51">
        <f t="shared" si="1"/>
      </c>
      <c r="F35" s="59"/>
      <c r="G35" s="60"/>
    </row>
    <row r="36" spans="1:7" ht="13.5">
      <c r="A36" s="2">
        <v>11</v>
      </c>
      <c r="B36" s="59"/>
      <c r="C36" s="61"/>
      <c r="D36" s="61"/>
      <c r="E36" s="51">
        <f t="shared" si="1"/>
      </c>
      <c r="F36" s="59"/>
      <c r="G36" s="60"/>
    </row>
    <row r="37" spans="1:7" ht="13.5">
      <c r="A37" s="2">
        <v>12</v>
      </c>
      <c r="B37" s="59"/>
      <c r="C37" s="61"/>
      <c r="D37" s="61"/>
      <c r="E37" s="51">
        <f t="shared" si="1"/>
      </c>
      <c r="F37" s="59"/>
      <c r="G37" s="60"/>
    </row>
    <row r="38" spans="4:5" ht="12.75">
      <c r="D38" s="8" t="s">
        <v>123</v>
      </c>
      <c r="E38" s="51">
        <f>IF(SUM(E26:E37)=0,"",SUM(E26:E37))</f>
      </c>
    </row>
    <row r="39" spans="5:6" ht="12.75">
      <c r="E39" s="8" t="s">
        <v>68</v>
      </c>
      <c r="F39" s="18">
        <f>IF(COUNTA(F26:F37)=0,"",MAX(F26:F37))</f>
      </c>
    </row>
    <row r="41" ht="12.75">
      <c r="A41" s="2" t="s">
        <v>135</v>
      </c>
    </row>
    <row r="42" spans="1:6" ht="27" customHeight="1">
      <c r="A42" s="118"/>
      <c r="B42" s="118"/>
      <c r="C42" s="118"/>
      <c r="D42" s="118"/>
      <c r="E42" s="118"/>
      <c r="F42" s="118"/>
    </row>
  </sheetData>
  <sheetProtection formatColumns="0" formatRows="0"/>
  <mergeCells count="3">
    <mergeCell ref="A22:F22"/>
    <mergeCell ref="A42:F42"/>
    <mergeCell ref="A24:G24"/>
  </mergeCells>
  <conditionalFormatting sqref="F40:F42 G38:G42 A26:A42 B38:D42 E39:E42 B25:G25">
    <cfRule type="expression" priority="1" dxfId="0" stopIfTrue="1">
      <formula>PlannedFutureUse&lt;&gt;"Yes"</formula>
    </cfRule>
  </conditionalFormatting>
  <conditionalFormatting sqref="F38">
    <cfRule type="expression" priority="2" dxfId="0" stopIfTrue="1">
      <formula>PlannedFutureUse&lt;&gt;"Yes"</formula>
    </cfRule>
  </conditionalFormatting>
  <conditionalFormatting sqref="A24:A25">
    <cfRule type="expression" priority="3" dxfId="0" stopIfTrue="1">
      <formula>PlannedFutureUse&lt;&gt;"Yes"</formula>
    </cfRule>
  </conditionalFormatting>
  <conditionalFormatting sqref="B26:D37 F26:F37">
    <cfRule type="expression" priority="4" dxfId="1" stopIfTrue="1">
      <formula>PlannedFutureUse&lt;&gt;"Yes"</formula>
    </cfRule>
  </conditionalFormatting>
  <conditionalFormatting sqref="G26:G37">
    <cfRule type="expression" priority="5" dxfId="3" stopIfTrue="1">
      <formula>PlannedFutureUse&lt;&gt;"Yes"</formula>
    </cfRule>
  </conditionalFormatting>
  <printOptions/>
  <pageMargins left="0.75" right="0.75" top="1" bottom="1" header="0.5" footer="0.5"/>
  <pageSetup horizontalDpi="600" verticalDpi="600" orientation="portrait" scale="74" r:id="rId4"/>
  <headerFooter alignWithMargins="0">
    <oddHeader>&amp;R&amp;"Tahoma,Regular"&amp;8MEC HA Workbook v1.0
November 2006</oddHeader>
    <oddFooter>&amp;L&amp;"Tahoma,Regular"&amp;8Current and Future Activities Worksheet&amp;R&amp;"Tahoma,Regular"&amp;8Public Review Draft - Do Not Cite or Quote</oddFooter>
  </headerFooter>
  <rowBreaks count="1" manualBreakCount="1">
    <brk id="23"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Sheet7"/>
  <dimension ref="A1:H33"/>
  <sheetViews>
    <sheetView workbookViewId="0" topLeftCell="A1">
      <selection activeCell="A1" sqref="A1"/>
    </sheetView>
  </sheetViews>
  <sheetFormatPr defaultColWidth="9.140625" defaultRowHeight="12.75"/>
  <cols>
    <col min="1" max="1" width="9.140625" style="2" customWidth="1"/>
    <col min="2" max="2" width="37.00390625" style="2" customWidth="1"/>
    <col min="3" max="3" width="14.28125" style="2" customWidth="1"/>
    <col min="4" max="4" width="18.421875" style="2" customWidth="1"/>
    <col min="5" max="5" width="19.7109375" style="2" customWidth="1"/>
    <col min="6" max="6" width="38.28125" style="2" customWidth="1"/>
    <col min="7" max="7" width="22.00390625" style="2" customWidth="1"/>
    <col min="8" max="16384" width="9.140625" style="2" customWidth="1"/>
  </cols>
  <sheetData>
    <row r="1" spans="1:2" ht="12.75">
      <c r="A1" s="2" t="s">
        <v>49</v>
      </c>
      <c r="B1" s="24">
        <f>IF('Summary Info'!B3="","",'Summary Info'!B3)</f>
      </c>
    </row>
    <row r="2" spans="1:2" ht="12.75">
      <c r="A2" s="2" t="s">
        <v>50</v>
      </c>
      <c r="B2" s="49">
        <f>IF('Summary Info'!B4="","",'Summary Info'!B4)</f>
      </c>
    </row>
    <row r="3" ht="12.75"/>
    <row r="4" ht="15">
      <c r="A4" s="1" t="s">
        <v>213</v>
      </c>
    </row>
    <row r="5" spans="1:7" s="6" customFormat="1" ht="51">
      <c r="A5" s="6" t="s">
        <v>74</v>
      </c>
      <c r="B5" s="6" t="s">
        <v>75</v>
      </c>
      <c r="C5" s="6" t="s">
        <v>76</v>
      </c>
      <c r="D5" s="6" t="s">
        <v>77</v>
      </c>
      <c r="E5" s="6" t="s">
        <v>78</v>
      </c>
      <c r="F5" s="6" t="s">
        <v>201</v>
      </c>
      <c r="G5" s="6" t="s">
        <v>69</v>
      </c>
    </row>
    <row r="6" spans="1:7" ht="13.5">
      <c r="A6" s="2">
        <v>1</v>
      </c>
      <c r="B6" s="59"/>
      <c r="C6" s="59"/>
      <c r="D6" s="59"/>
      <c r="E6" s="59"/>
      <c r="F6" s="62"/>
      <c r="G6" s="60"/>
    </row>
    <row r="7" spans="1:7" ht="13.5">
      <c r="A7" s="2">
        <v>2</v>
      </c>
      <c r="B7" s="59"/>
      <c r="C7" s="59"/>
      <c r="D7" s="59"/>
      <c r="E7" s="59"/>
      <c r="F7" s="62"/>
      <c r="G7" s="60"/>
    </row>
    <row r="8" spans="1:7" ht="13.5">
      <c r="A8" s="2">
        <v>3</v>
      </c>
      <c r="B8" s="59"/>
      <c r="C8" s="59"/>
      <c r="D8" s="59"/>
      <c r="E8" s="59"/>
      <c r="F8" s="62"/>
      <c r="G8" s="60"/>
    </row>
    <row r="9" spans="1:7" ht="13.5">
      <c r="A9" s="2">
        <v>4</v>
      </c>
      <c r="B9" s="59"/>
      <c r="C9" s="59"/>
      <c r="D9" s="59"/>
      <c r="E9" s="59"/>
      <c r="F9" s="62"/>
      <c r="G9" s="60"/>
    </row>
    <row r="10" spans="1:7" ht="13.5">
      <c r="A10" s="2">
        <v>5</v>
      </c>
      <c r="B10" s="59"/>
      <c r="C10" s="59"/>
      <c r="D10" s="59"/>
      <c r="E10" s="59"/>
      <c r="F10" s="62"/>
      <c r="G10" s="60"/>
    </row>
    <row r="11" spans="1:7" ht="13.5">
      <c r="A11" s="2">
        <v>6</v>
      </c>
      <c r="B11" s="59"/>
      <c r="C11" s="59"/>
      <c r="D11" s="59"/>
      <c r="E11" s="59"/>
      <c r="F11" s="62"/>
      <c r="G11" s="60"/>
    </row>
    <row r="12" ht="12.75"/>
    <row r="13" spans="1:7" ht="25.5" customHeight="1">
      <c r="A13" s="129" t="str">
        <f>IF(PlannedFutureUse&lt;&gt;"yes","According to the 'Summary Info' worksheet, no future land uses are planned.  ","")&amp;"For those alternatives where you answered 'No' in Column E, "&amp;IF(PlannedFutureUse&lt;&gt;"Yes","the land use activities will be assessed against current land uses.","are land-use activities to be assessed against current or future land uses?")</f>
        <v>According to the 'Summary Info' worksheet, no future land uses are planned.  For those alternatives where you answered 'No' in Column E, the land use activities will be assessed against current land uses.</v>
      </c>
      <c r="B13" s="129"/>
      <c r="C13" s="129"/>
      <c r="D13" s="129"/>
      <c r="E13" s="136"/>
      <c r="F13" s="59"/>
      <c r="G13" s="60"/>
    </row>
    <row r="14" ht="12.75"/>
    <row r="15" ht="12.75">
      <c r="A15" s="2" t="s">
        <v>135</v>
      </c>
    </row>
    <row r="16" spans="1:6" ht="27" customHeight="1">
      <c r="A16" s="118"/>
      <c r="B16" s="118"/>
      <c r="C16" s="118"/>
      <c r="D16" s="118"/>
      <c r="E16" s="118"/>
      <c r="F16" s="24"/>
    </row>
    <row r="19" spans="1:8" ht="12.75">
      <c r="A19" s="6"/>
      <c r="B19" s="6"/>
      <c r="C19" s="6"/>
      <c r="D19" s="6"/>
      <c r="E19" s="6"/>
      <c r="F19" s="6"/>
      <c r="G19" s="6"/>
      <c r="H19" s="6"/>
    </row>
    <row r="32" ht="12.75">
      <c r="D32" s="8"/>
    </row>
    <row r="33" spans="5:6" ht="12.75">
      <c r="E33" s="8"/>
      <c r="F33" s="8"/>
    </row>
  </sheetData>
  <sheetProtection formatColumns="0" formatRows="0"/>
  <mergeCells count="2">
    <mergeCell ref="A16:E16"/>
    <mergeCell ref="A13:E13"/>
  </mergeCells>
  <conditionalFormatting sqref="F13">
    <cfRule type="expression" priority="1" dxfId="1" stopIfTrue="1">
      <formula>COUNTIF($E$6:$E$11,"No")=0</formula>
    </cfRule>
    <cfRule type="expression" priority="2" dxfId="4" stopIfTrue="1">
      <formula>PlannedFutureUse&lt;&gt;"Yes"</formula>
    </cfRule>
  </conditionalFormatting>
  <conditionalFormatting sqref="A13:E13">
    <cfRule type="expression" priority="3" dxfId="0" stopIfTrue="1">
      <formula>COUNTIF($E$6:$E$11,"No")=0</formula>
    </cfRule>
    <cfRule type="expression" priority="4" dxfId="5" stopIfTrue="1">
      <formula>PlannedFutureUse&lt;&gt;"Yes"</formula>
    </cfRule>
  </conditionalFormatting>
  <conditionalFormatting sqref="G13">
    <cfRule type="expression" priority="5" dxfId="3" stopIfTrue="1">
      <formula>COUNTIF($E$6:$E$11,"No")=0</formula>
    </cfRule>
    <cfRule type="expression" priority="6" dxfId="6" stopIfTrue="1">
      <formula>PlannedFutureUse&lt;&gt;"Yes"</formula>
    </cfRule>
  </conditionalFormatting>
  <dataValidations count="5">
    <dataValidation type="list" allowBlank="1" showInputMessage="1" showErrorMessage="1" sqref="F13">
      <formula1>CurFutList</formula1>
    </dataValidation>
    <dataValidation type="decimal" allowBlank="1" showInputMessage="1" showErrorMessage="1" sqref="C6:C11">
      <formula1>0</formula1>
      <formula2>1E+30</formula2>
    </dataValidation>
    <dataValidation type="list" allowBlank="1" showInputMessage="1" showErrorMessage="1" sqref="D6:D11">
      <formula1>Accessibility</formula1>
    </dataValidation>
    <dataValidation type="list" allowBlank="1" showInputMessage="1" showErrorMessage="1" sqref="E6:E11">
      <formula1>YesNoList</formula1>
    </dataValidation>
    <dataValidation type="list" allowBlank="1" showInputMessage="1" showErrorMessage="1" sqref="F6:F11">
      <formula1>MECCleanupScope</formula1>
    </dataValidation>
  </dataValidations>
  <printOptions/>
  <pageMargins left="0.75" right="0.75" top="1" bottom="1" header="0.5" footer="0.5"/>
  <pageSetup horizontalDpi="600" verticalDpi="600" orientation="portrait" scale="74" r:id="rId4"/>
  <headerFooter alignWithMargins="0">
    <oddHeader>&amp;R&amp;"Tahoma,Regular"&amp;8MEC HA Workbook v1.0
November 2006</oddHeader>
    <oddFooter>&amp;L&amp;"Tahoma,Regular"&amp;8Remedial-Removal Action Worksheet&amp;R&amp;"Tahoma,Regular"&amp;8Public Review Draft - Do Not Cite or Quote</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J124"/>
  <sheetViews>
    <sheetView workbookViewId="0" topLeftCell="A1">
      <selection activeCell="A1" sqref="A1"/>
    </sheetView>
  </sheetViews>
  <sheetFormatPr defaultColWidth="9.140625" defaultRowHeight="12.75"/>
  <cols>
    <col min="1" max="1" width="9.140625" style="2" customWidth="1"/>
    <col min="2" max="2" width="24.57421875" style="2" customWidth="1"/>
    <col min="3" max="3" width="14.28125" style="2" customWidth="1"/>
    <col min="4" max="4" width="12.7109375" style="2" bestFit="1" customWidth="1"/>
    <col min="5" max="5" width="13.57421875" style="2" customWidth="1"/>
    <col min="6" max="6" width="9.140625" style="2" customWidth="1"/>
    <col min="7" max="7" width="18.7109375" style="2" customWidth="1"/>
    <col min="8" max="16384" width="9.140625" style="2" customWidth="1"/>
  </cols>
  <sheetData>
    <row r="1" spans="1:2" ht="12.75">
      <c r="A1" s="2" t="s">
        <v>49</v>
      </c>
      <c r="B1" s="24">
        <f>IF('Summary Info'!B3="","",'Summary Info'!B3)</f>
      </c>
    </row>
    <row r="2" spans="1:2" ht="12.75">
      <c r="A2" s="2" t="s">
        <v>50</v>
      </c>
      <c r="B2" s="49">
        <f>IF('Summary Info'!B4="","",'Summary Info'!B4)</f>
      </c>
    </row>
    <row r="3" ht="12.75"/>
    <row r="4" spans="1:7" ht="25.5" customHeight="1">
      <c r="A4" s="137" t="s">
        <v>214</v>
      </c>
      <c r="B4" s="137"/>
      <c r="C4" s="137"/>
      <c r="D4" s="137"/>
      <c r="E4" s="137"/>
      <c r="F4" s="137"/>
      <c r="G4" s="137"/>
    </row>
    <row r="5" ht="12.75"/>
    <row r="6" spans="1:7" ht="29.25" customHeight="1">
      <c r="A6" s="135" t="str">
        <f>"Land Use Activities Planned After Response Alternative #1: "&amp;'Remedial-Removal Action'!$B$6</f>
        <v>Land Use Activities Planned After Response Alternative #1: </v>
      </c>
      <c r="B6" s="135"/>
      <c r="C6" s="135"/>
      <c r="D6" s="135"/>
      <c r="E6" s="135"/>
      <c r="F6" s="135"/>
      <c r="G6" s="135"/>
    </row>
    <row r="7" spans="1:7" s="6" customFormat="1" ht="76.5">
      <c r="A7" s="6" t="s">
        <v>79</v>
      </c>
      <c r="B7" s="6" t="s">
        <v>65</v>
      </c>
      <c r="C7" s="6" t="s">
        <v>66</v>
      </c>
      <c r="D7" s="6" t="s">
        <v>67</v>
      </c>
      <c r="E7" s="6" t="s">
        <v>122</v>
      </c>
      <c r="F7" s="6" t="s">
        <v>80</v>
      </c>
      <c r="G7" s="6" t="s">
        <v>69</v>
      </c>
    </row>
    <row r="8" spans="1:7" ht="13.5">
      <c r="A8" s="2">
        <v>1</v>
      </c>
      <c r="B8" s="59"/>
      <c r="C8" s="61"/>
      <c r="D8" s="59"/>
      <c r="E8" s="51">
        <f>IF(D8*C8=0,"",D8*C8)</f>
      </c>
      <c r="F8" s="59"/>
      <c r="G8" s="60"/>
    </row>
    <row r="9" spans="1:7" ht="13.5">
      <c r="A9" s="2">
        <v>2</v>
      </c>
      <c r="B9" s="59"/>
      <c r="C9" s="61"/>
      <c r="D9" s="59"/>
      <c r="E9" s="51">
        <f aca="true" t="shared" si="0" ref="E9:E19">IF(D9*C9=0,"",D9*C9)</f>
      </c>
      <c r="F9" s="59"/>
      <c r="G9" s="60"/>
    </row>
    <row r="10" spans="1:7" ht="13.5">
      <c r="A10" s="2">
        <v>3</v>
      </c>
      <c r="B10" s="59"/>
      <c r="C10" s="61"/>
      <c r="D10" s="59"/>
      <c r="E10" s="51">
        <f t="shared" si="0"/>
      </c>
      <c r="F10" s="59"/>
      <c r="G10" s="60"/>
    </row>
    <row r="11" spans="1:7" ht="13.5">
      <c r="A11" s="2">
        <v>4</v>
      </c>
      <c r="B11" s="59"/>
      <c r="C11" s="61"/>
      <c r="D11" s="59"/>
      <c r="E11" s="51">
        <f t="shared" si="0"/>
      </c>
      <c r="F11" s="59"/>
      <c r="G11" s="60"/>
    </row>
    <row r="12" spans="1:7" ht="13.5">
      <c r="A12" s="2">
        <v>5</v>
      </c>
      <c r="B12" s="59"/>
      <c r="C12" s="61"/>
      <c r="D12" s="59"/>
      <c r="E12" s="51">
        <f t="shared" si="0"/>
      </c>
      <c r="F12" s="59"/>
      <c r="G12" s="60"/>
    </row>
    <row r="13" spans="1:7" ht="13.5">
      <c r="A13" s="2">
        <v>6</v>
      </c>
      <c r="B13" s="59"/>
      <c r="C13" s="61"/>
      <c r="D13" s="59"/>
      <c r="E13" s="51">
        <f t="shared" si="0"/>
      </c>
      <c r="F13" s="59"/>
      <c r="G13" s="60"/>
    </row>
    <row r="14" spans="1:7" ht="13.5">
      <c r="A14" s="2">
        <v>7</v>
      </c>
      <c r="B14" s="59"/>
      <c r="C14" s="61"/>
      <c r="D14" s="59"/>
      <c r="E14" s="51">
        <f t="shared" si="0"/>
      </c>
      <c r="F14" s="59"/>
      <c r="G14" s="60"/>
    </row>
    <row r="15" spans="1:7" ht="13.5">
      <c r="A15" s="2">
        <v>8</v>
      </c>
      <c r="B15" s="59"/>
      <c r="C15" s="61"/>
      <c r="D15" s="59"/>
      <c r="E15" s="51">
        <f t="shared" si="0"/>
      </c>
      <c r="F15" s="59"/>
      <c r="G15" s="60"/>
    </row>
    <row r="16" spans="1:7" ht="13.5">
      <c r="A16" s="2">
        <v>9</v>
      </c>
      <c r="B16" s="59"/>
      <c r="C16" s="61"/>
      <c r="D16" s="59"/>
      <c r="E16" s="51">
        <f t="shared" si="0"/>
      </c>
      <c r="F16" s="59"/>
      <c r="G16" s="60"/>
    </row>
    <row r="17" spans="1:7" ht="13.5">
      <c r="A17" s="2">
        <v>10</v>
      </c>
      <c r="B17" s="59"/>
      <c r="C17" s="61"/>
      <c r="D17" s="59"/>
      <c r="E17" s="51">
        <f t="shared" si="0"/>
      </c>
      <c r="F17" s="59"/>
      <c r="G17" s="60"/>
    </row>
    <row r="18" spans="1:7" ht="13.5">
      <c r="A18" s="2">
        <v>11</v>
      </c>
      <c r="B18" s="59"/>
      <c r="C18" s="61"/>
      <c r="D18" s="59"/>
      <c r="E18" s="51">
        <f t="shared" si="0"/>
      </c>
      <c r="F18" s="59"/>
      <c r="G18" s="60"/>
    </row>
    <row r="19" spans="1:7" ht="13.5">
      <c r="A19" s="2">
        <v>12</v>
      </c>
      <c r="B19" s="59"/>
      <c r="C19" s="61"/>
      <c r="D19" s="59"/>
      <c r="E19" s="51">
        <f t="shared" si="0"/>
      </c>
      <c r="F19" s="59"/>
      <c r="G19" s="60"/>
    </row>
    <row r="20" spans="4:5" ht="12.75">
      <c r="D20" s="8" t="s">
        <v>123</v>
      </c>
      <c r="E20" s="51">
        <f>IF(SUM(E8:E19)=0,"",SUM(E8:E19))</f>
      </c>
    </row>
    <row r="21" spans="5:6" ht="12.75">
      <c r="E21" s="8" t="s">
        <v>68</v>
      </c>
      <c r="F21" s="18">
        <f>IF(COUNTA(F8:F19)=0,"",MAX(F8:F19))</f>
      </c>
    </row>
    <row r="22" ht="12.75"/>
    <row r="23" ht="12.75">
      <c r="A23" s="2" t="s">
        <v>135</v>
      </c>
    </row>
    <row r="24" spans="1:6" ht="27" customHeight="1">
      <c r="A24" s="116"/>
      <c r="B24" s="117"/>
      <c r="C24" s="117"/>
      <c r="D24" s="117"/>
      <c r="E24" s="117"/>
      <c r="F24" s="117"/>
    </row>
    <row r="25" ht="12.75"/>
    <row r="26" spans="1:10" ht="33.75" customHeight="1">
      <c r="A26" s="135" t="str">
        <f>"Land Use Activities Planned After Response Alternative #2: "&amp;'Remedial-Removal Action'!B7</f>
        <v>Land Use Activities Planned After Response Alternative #2: </v>
      </c>
      <c r="B26" s="135"/>
      <c r="C26" s="135"/>
      <c r="D26" s="135"/>
      <c r="E26" s="135"/>
      <c r="F26" s="135"/>
      <c r="G26" s="135"/>
      <c r="J26" s="6"/>
    </row>
    <row r="27" spans="1:10" s="6" customFormat="1" ht="76.5">
      <c r="A27" s="6" t="s">
        <v>79</v>
      </c>
      <c r="B27" s="6" t="s">
        <v>65</v>
      </c>
      <c r="C27" s="6" t="s">
        <v>66</v>
      </c>
      <c r="D27" s="6" t="s">
        <v>67</v>
      </c>
      <c r="E27" s="6" t="s">
        <v>122</v>
      </c>
      <c r="F27" s="6" t="s">
        <v>80</v>
      </c>
      <c r="G27" s="6" t="s">
        <v>69</v>
      </c>
      <c r="J27" s="2"/>
    </row>
    <row r="28" spans="1:7" ht="13.5">
      <c r="A28" s="2">
        <v>1</v>
      </c>
      <c r="B28" s="59"/>
      <c r="C28" s="61"/>
      <c r="D28" s="59"/>
      <c r="E28" s="51">
        <f>IF(D28*C28=0,"",D28*C28)</f>
      </c>
      <c r="F28" s="59"/>
      <c r="G28" s="60"/>
    </row>
    <row r="29" spans="1:7" ht="13.5">
      <c r="A29" s="2">
        <v>2</v>
      </c>
      <c r="B29" s="59"/>
      <c r="C29" s="61"/>
      <c r="D29" s="59"/>
      <c r="E29" s="51">
        <f aca="true" t="shared" si="1" ref="E29:E39">IF(D29*C29=0,"",D29*C29)</f>
      </c>
      <c r="F29" s="59"/>
      <c r="G29" s="60"/>
    </row>
    <row r="30" spans="1:7" ht="13.5">
      <c r="A30" s="2">
        <v>3</v>
      </c>
      <c r="B30" s="59"/>
      <c r="C30" s="61"/>
      <c r="D30" s="59"/>
      <c r="E30" s="51">
        <f t="shared" si="1"/>
      </c>
      <c r="F30" s="59"/>
      <c r="G30" s="60"/>
    </row>
    <row r="31" spans="1:7" ht="13.5">
      <c r="A31" s="2">
        <v>4</v>
      </c>
      <c r="B31" s="59"/>
      <c r="C31" s="61"/>
      <c r="D31" s="59"/>
      <c r="E31" s="51">
        <f t="shared" si="1"/>
      </c>
      <c r="F31" s="59"/>
      <c r="G31" s="60"/>
    </row>
    <row r="32" spans="1:7" ht="13.5">
      <c r="A32" s="2">
        <v>5</v>
      </c>
      <c r="B32" s="59"/>
      <c r="C32" s="61"/>
      <c r="D32" s="59"/>
      <c r="E32" s="51">
        <f t="shared" si="1"/>
      </c>
      <c r="F32" s="59"/>
      <c r="G32" s="60"/>
    </row>
    <row r="33" spans="1:7" ht="13.5">
      <c r="A33" s="2">
        <v>6</v>
      </c>
      <c r="B33" s="59"/>
      <c r="C33" s="61"/>
      <c r="D33" s="59"/>
      <c r="E33" s="51">
        <f t="shared" si="1"/>
      </c>
      <c r="F33" s="59"/>
      <c r="G33" s="60"/>
    </row>
    <row r="34" spans="1:7" ht="13.5">
      <c r="A34" s="2">
        <v>7</v>
      </c>
      <c r="B34" s="59"/>
      <c r="C34" s="61"/>
      <c r="D34" s="59"/>
      <c r="E34" s="51">
        <f t="shared" si="1"/>
      </c>
      <c r="F34" s="59"/>
      <c r="G34" s="60"/>
    </row>
    <row r="35" spans="1:7" ht="13.5">
      <c r="A35" s="2">
        <v>8</v>
      </c>
      <c r="B35" s="59"/>
      <c r="C35" s="61"/>
      <c r="D35" s="59"/>
      <c r="E35" s="51">
        <f t="shared" si="1"/>
      </c>
      <c r="F35" s="59"/>
      <c r="G35" s="60"/>
    </row>
    <row r="36" spans="1:7" ht="13.5">
      <c r="A36" s="2">
        <v>9</v>
      </c>
      <c r="B36" s="59"/>
      <c r="C36" s="61"/>
      <c r="D36" s="59"/>
      <c r="E36" s="51">
        <f t="shared" si="1"/>
      </c>
      <c r="F36" s="59"/>
      <c r="G36" s="60"/>
    </row>
    <row r="37" spans="1:7" ht="13.5">
      <c r="A37" s="2">
        <v>10</v>
      </c>
      <c r="B37" s="59"/>
      <c r="C37" s="61"/>
      <c r="D37" s="59"/>
      <c r="E37" s="51">
        <f t="shared" si="1"/>
      </c>
      <c r="F37" s="59"/>
      <c r="G37" s="60"/>
    </row>
    <row r="38" spans="1:7" ht="13.5">
      <c r="A38" s="2">
        <v>11</v>
      </c>
      <c r="B38" s="59"/>
      <c r="C38" s="61"/>
      <c r="D38" s="59"/>
      <c r="E38" s="51">
        <f t="shared" si="1"/>
      </c>
      <c r="F38" s="59"/>
      <c r="G38" s="60"/>
    </row>
    <row r="39" spans="1:7" ht="13.5">
      <c r="A39" s="2">
        <v>12</v>
      </c>
      <c r="B39" s="59"/>
      <c r="C39" s="61"/>
      <c r="D39" s="59"/>
      <c r="E39" s="51">
        <f t="shared" si="1"/>
      </c>
      <c r="F39" s="59"/>
      <c r="G39" s="60"/>
    </row>
    <row r="40" spans="4:5" ht="12.75">
      <c r="D40" s="8" t="s">
        <v>123</v>
      </c>
      <c r="E40" s="51">
        <f>IF(SUM(E28:E39)=0,"",SUM(E28:E39))</f>
      </c>
    </row>
    <row r="41" spans="5:6" ht="12.75">
      <c r="E41" s="8" t="s">
        <v>68</v>
      </c>
      <c r="F41" s="18">
        <f>IF(COUNTA(F28:F39)=0,"",MAX(F28:F39))</f>
      </c>
    </row>
    <row r="42" ht="12.75"/>
    <row r="43" ht="12.75">
      <c r="A43" s="2" t="s">
        <v>135</v>
      </c>
    </row>
    <row r="44" spans="1:6" ht="27" customHeight="1">
      <c r="A44" s="116"/>
      <c r="B44" s="117"/>
      <c r="C44" s="117"/>
      <c r="D44" s="117"/>
      <c r="E44" s="117"/>
      <c r="F44" s="117"/>
    </row>
    <row r="45" ht="12.75"/>
    <row r="46" spans="1:10" ht="31.5" customHeight="1">
      <c r="A46" s="135" t="str">
        <f>"Land Use Activities Planned After Response Alternative #3: "&amp;'Remedial-Removal Action'!B8</f>
        <v>Land Use Activities Planned After Response Alternative #3: </v>
      </c>
      <c r="B46" s="135"/>
      <c r="C46" s="135"/>
      <c r="D46" s="135"/>
      <c r="E46" s="135"/>
      <c r="F46" s="135"/>
      <c r="G46" s="135"/>
      <c r="J46" s="6"/>
    </row>
    <row r="47" spans="1:10" s="6" customFormat="1" ht="76.5">
      <c r="A47" s="6" t="s">
        <v>79</v>
      </c>
      <c r="B47" s="6" t="s">
        <v>65</v>
      </c>
      <c r="C47" s="6" t="s">
        <v>66</v>
      </c>
      <c r="D47" s="6" t="s">
        <v>67</v>
      </c>
      <c r="E47" s="6" t="s">
        <v>122</v>
      </c>
      <c r="F47" s="6" t="s">
        <v>80</v>
      </c>
      <c r="G47" s="6" t="s">
        <v>69</v>
      </c>
      <c r="J47" s="2"/>
    </row>
    <row r="48" spans="1:7" ht="13.5">
      <c r="A48" s="2">
        <v>1</v>
      </c>
      <c r="B48" s="59"/>
      <c r="C48" s="61"/>
      <c r="D48" s="59"/>
      <c r="E48" s="51">
        <f>IF(D48*C48=0,"",D48*C48)</f>
      </c>
      <c r="F48" s="59"/>
      <c r="G48" s="60"/>
    </row>
    <row r="49" spans="1:7" ht="13.5">
      <c r="A49" s="2">
        <v>2</v>
      </c>
      <c r="B49" s="59"/>
      <c r="C49" s="61"/>
      <c r="D49" s="59"/>
      <c r="E49" s="51">
        <f aca="true" t="shared" si="2" ref="E49:E59">IF(D49*C49=0,"",D49*C49)</f>
      </c>
      <c r="F49" s="59"/>
      <c r="G49" s="60"/>
    </row>
    <row r="50" spans="1:7" ht="13.5">
      <c r="A50" s="2">
        <v>3</v>
      </c>
      <c r="B50" s="59"/>
      <c r="C50" s="61"/>
      <c r="D50" s="59"/>
      <c r="E50" s="51">
        <f t="shared" si="2"/>
      </c>
      <c r="F50" s="59"/>
      <c r="G50" s="60"/>
    </row>
    <row r="51" spans="1:7" ht="13.5">
      <c r="A51" s="2">
        <v>4</v>
      </c>
      <c r="B51" s="59"/>
      <c r="C51" s="61"/>
      <c r="D51" s="59"/>
      <c r="E51" s="51">
        <f t="shared" si="2"/>
      </c>
      <c r="F51" s="59"/>
      <c r="G51" s="60"/>
    </row>
    <row r="52" spans="1:7" ht="13.5">
      <c r="A52" s="2">
        <v>5</v>
      </c>
      <c r="B52" s="59"/>
      <c r="C52" s="61"/>
      <c r="D52" s="59"/>
      <c r="E52" s="51">
        <f t="shared" si="2"/>
      </c>
      <c r="F52" s="59"/>
      <c r="G52" s="60"/>
    </row>
    <row r="53" spans="1:7" ht="13.5">
      <c r="A53" s="2">
        <v>6</v>
      </c>
      <c r="B53" s="59"/>
      <c r="C53" s="61"/>
      <c r="D53" s="59"/>
      <c r="E53" s="51">
        <f t="shared" si="2"/>
      </c>
      <c r="F53" s="59"/>
      <c r="G53" s="60"/>
    </row>
    <row r="54" spans="1:7" ht="13.5">
      <c r="A54" s="2">
        <v>7</v>
      </c>
      <c r="B54" s="59"/>
      <c r="C54" s="61"/>
      <c r="D54" s="59"/>
      <c r="E54" s="51">
        <f t="shared" si="2"/>
      </c>
      <c r="F54" s="59"/>
      <c r="G54" s="60"/>
    </row>
    <row r="55" spans="1:7" ht="13.5">
      <c r="A55" s="2">
        <v>8</v>
      </c>
      <c r="B55" s="59"/>
      <c r="C55" s="61"/>
      <c r="D55" s="59"/>
      <c r="E55" s="51">
        <f t="shared" si="2"/>
      </c>
      <c r="F55" s="59"/>
      <c r="G55" s="60"/>
    </row>
    <row r="56" spans="1:7" ht="13.5">
      <c r="A56" s="2">
        <v>9</v>
      </c>
      <c r="B56" s="59"/>
      <c r="C56" s="61"/>
      <c r="D56" s="59"/>
      <c r="E56" s="51">
        <f t="shared" si="2"/>
      </c>
      <c r="F56" s="59"/>
      <c r="G56" s="60"/>
    </row>
    <row r="57" spans="1:7" ht="13.5">
      <c r="A57" s="2">
        <v>10</v>
      </c>
      <c r="B57" s="59"/>
      <c r="C57" s="61"/>
      <c r="D57" s="59"/>
      <c r="E57" s="51">
        <f t="shared" si="2"/>
      </c>
      <c r="F57" s="59"/>
      <c r="G57" s="60"/>
    </row>
    <row r="58" spans="1:7" ht="13.5">
      <c r="A58" s="2">
        <v>11</v>
      </c>
      <c r="B58" s="59"/>
      <c r="C58" s="61"/>
      <c r="D58" s="59"/>
      <c r="E58" s="51">
        <f t="shared" si="2"/>
      </c>
      <c r="F58" s="59"/>
      <c r="G58" s="60"/>
    </row>
    <row r="59" spans="1:7" ht="13.5">
      <c r="A59" s="2">
        <v>12</v>
      </c>
      <c r="B59" s="59"/>
      <c r="C59" s="61"/>
      <c r="D59" s="59"/>
      <c r="E59" s="51">
        <f t="shared" si="2"/>
      </c>
      <c r="F59" s="59"/>
      <c r="G59" s="60"/>
    </row>
    <row r="60" spans="4:5" ht="12.75">
      <c r="D60" s="8" t="s">
        <v>123</v>
      </c>
      <c r="E60" s="51">
        <f>IF(SUM(E48:E59)=0,"",SUM(E48:E59))</f>
      </c>
    </row>
    <row r="61" spans="5:6" ht="12.75">
      <c r="E61" s="8" t="s">
        <v>68</v>
      </c>
      <c r="F61" s="18">
        <f>IF(COUNTA(F48:F59)=0,"",MAX(F48:F59))</f>
      </c>
    </row>
    <row r="62" ht="12.75"/>
    <row r="63" ht="12.75">
      <c r="A63" s="2" t="s">
        <v>135</v>
      </c>
    </row>
    <row r="64" spans="1:6" ht="27" customHeight="1">
      <c r="A64" s="116"/>
      <c r="B64" s="117"/>
      <c r="C64" s="117"/>
      <c r="D64" s="117"/>
      <c r="E64" s="117"/>
      <c r="F64" s="117"/>
    </row>
    <row r="65" ht="12.75"/>
    <row r="66" spans="1:10" ht="31.5" customHeight="1">
      <c r="A66" s="135" t="str">
        <f>"Land Use Activities Planned After Response Alternative #4: "&amp;'Remedial-Removal Action'!B9</f>
        <v>Land Use Activities Planned After Response Alternative #4: </v>
      </c>
      <c r="B66" s="135"/>
      <c r="C66" s="135"/>
      <c r="D66" s="135"/>
      <c r="E66" s="135"/>
      <c r="F66" s="135"/>
      <c r="G66" s="135"/>
      <c r="J66" s="6"/>
    </row>
    <row r="67" spans="1:10" s="6" customFormat="1" ht="76.5">
      <c r="A67" s="6" t="s">
        <v>79</v>
      </c>
      <c r="B67" s="6" t="s">
        <v>65</v>
      </c>
      <c r="C67" s="6" t="s">
        <v>66</v>
      </c>
      <c r="D67" s="6" t="s">
        <v>67</v>
      </c>
      <c r="E67" s="6" t="s">
        <v>122</v>
      </c>
      <c r="F67" s="6" t="s">
        <v>80</v>
      </c>
      <c r="G67" s="6" t="s">
        <v>69</v>
      </c>
      <c r="J67" s="2"/>
    </row>
    <row r="68" spans="1:7" ht="13.5">
      <c r="A68" s="2">
        <v>1</v>
      </c>
      <c r="B68" s="59"/>
      <c r="C68" s="61"/>
      <c r="D68" s="59"/>
      <c r="E68" s="51">
        <f>IF(D68*C68=0,"",D68*C68)</f>
      </c>
      <c r="F68" s="59"/>
      <c r="G68" s="60"/>
    </row>
    <row r="69" spans="1:7" ht="13.5">
      <c r="A69" s="2">
        <v>2</v>
      </c>
      <c r="B69" s="59"/>
      <c r="C69" s="61"/>
      <c r="D69" s="59"/>
      <c r="E69" s="51">
        <f aca="true" t="shared" si="3" ref="E69:E79">IF(D69*C69=0,"",D69*C69)</f>
      </c>
      <c r="F69" s="59"/>
      <c r="G69" s="60"/>
    </row>
    <row r="70" spans="1:7" ht="13.5">
      <c r="A70" s="2">
        <v>3</v>
      </c>
      <c r="B70" s="59"/>
      <c r="C70" s="61"/>
      <c r="D70" s="59"/>
      <c r="E70" s="51">
        <f t="shared" si="3"/>
      </c>
      <c r="F70" s="59"/>
      <c r="G70" s="60"/>
    </row>
    <row r="71" spans="1:7" ht="13.5">
      <c r="A71" s="2">
        <v>4</v>
      </c>
      <c r="B71" s="59"/>
      <c r="C71" s="61"/>
      <c r="D71" s="59"/>
      <c r="E71" s="51">
        <f t="shared" si="3"/>
      </c>
      <c r="F71" s="59"/>
      <c r="G71" s="60"/>
    </row>
    <row r="72" spans="1:7" ht="13.5">
      <c r="A72" s="2">
        <v>5</v>
      </c>
      <c r="B72" s="59"/>
      <c r="C72" s="61"/>
      <c r="D72" s="59"/>
      <c r="E72" s="51">
        <f t="shared" si="3"/>
      </c>
      <c r="F72" s="59"/>
      <c r="G72" s="60"/>
    </row>
    <row r="73" spans="1:7" ht="13.5">
      <c r="A73" s="2">
        <v>6</v>
      </c>
      <c r="B73" s="59"/>
      <c r="C73" s="61"/>
      <c r="D73" s="59"/>
      <c r="E73" s="51">
        <f t="shared" si="3"/>
      </c>
      <c r="F73" s="59"/>
      <c r="G73" s="60"/>
    </row>
    <row r="74" spans="1:7" ht="13.5">
      <c r="A74" s="2">
        <v>7</v>
      </c>
      <c r="B74" s="59"/>
      <c r="C74" s="61"/>
      <c r="D74" s="59"/>
      <c r="E74" s="51">
        <f t="shared" si="3"/>
      </c>
      <c r="F74" s="59"/>
      <c r="G74" s="60"/>
    </row>
    <row r="75" spans="1:7" ht="13.5">
      <c r="A75" s="2">
        <v>8</v>
      </c>
      <c r="B75" s="59"/>
      <c r="C75" s="61"/>
      <c r="D75" s="59"/>
      <c r="E75" s="51">
        <f t="shared" si="3"/>
      </c>
      <c r="F75" s="59"/>
      <c r="G75" s="60"/>
    </row>
    <row r="76" spans="1:7" ht="13.5">
      <c r="A76" s="2">
        <v>9</v>
      </c>
      <c r="B76" s="59"/>
      <c r="C76" s="61"/>
      <c r="D76" s="59"/>
      <c r="E76" s="51">
        <f t="shared" si="3"/>
      </c>
      <c r="F76" s="59"/>
      <c r="G76" s="60"/>
    </row>
    <row r="77" spans="1:7" ht="13.5">
      <c r="A77" s="2">
        <v>10</v>
      </c>
      <c r="B77" s="59"/>
      <c r="C77" s="61"/>
      <c r="D77" s="59"/>
      <c r="E77" s="51">
        <f t="shared" si="3"/>
      </c>
      <c r="F77" s="59"/>
      <c r="G77" s="60"/>
    </row>
    <row r="78" spans="1:7" ht="13.5">
      <c r="A78" s="2">
        <v>11</v>
      </c>
      <c r="B78" s="59"/>
      <c r="C78" s="61"/>
      <c r="D78" s="59"/>
      <c r="E78" s="51">
        <f t="shared" si="3"/>
      </c>
      <c r="F78" s="59"/>
      <c r="G78" s="60"/>
    </row>
    <row r="79" spans="1:7" ht="13.5">
      <c r="A79" s="2">
        <v>12</v>
      </c>
      <c r="B79" s="59"/>
      <c r="C79" s="61"/>
      <c r="D79" s="59"/>
      <c r="E79" s="51">
        <f t="shared" si="3"/>
      </c>
      <c r="F79" s="59"/>
      <c r="G79" s="60"/>
    </row>
    <row r="80" spans="4:5" ht="12.75">
      <c r="D80" s="8" t="s">
        <v>123</v>
      </c>
      <c r="E80" s="51">
        <f>IF(SUM(E68:E79)=0,"",SUM(E68:E79))</f>
      </c>
    </row>
    <row r="81" spans="5:6" ht="12.75">
      <c r="E81" s="8" t="s">
        <v>68</v>
      </c>
      <c r="F81" s="18">
        <f>IF(COUNTA(F68:F79)=0,"",MAX(F68:F79))</f>
      </c>
    </row>
    <row r="82" ht="12.75"/>
    <row r="83" ht="12.75">
      <c r="A83" s="2" t="s">
        <v>135</v>
      </c>
    </row>
    <row r="84" spans="1:6" ht="27" customHeight="1">
      <c r="A84" s="116"/>
      <c r="B84" s="117"/>
      <c r="C84" s="117"/>
      <c r="D84" s="117"/>
      <c r="E84" s="117"/>
      <c r="F84" s="117"/>
    </row>
    <row r="85" ht="12.75"/>
    <row r="86" spans="1:10" ht="33.75" customHeight="1">
      <c r="A86" s="135" t="str">
        <f>"Land Use Activities Planned After Response Alternative #5: "&amp;'Remedial-Removal Action'!B10</f>
        <v>Land Use Activities Planned After Response Alternative #5: </v>
      </c>
      <c r="B86" s="135"/>
      <c r="C86" s="135"/>
      <c r="D86" s="135"/>
      <c r="E86" s="135"/>
      <c r="F86" s="135"/>
      <c r="G86" s="135"/>
      <c r="J86" s="6"/>
    </row>
    <row r="87" spans="1:10" s="6" customFormat="1" ht="76.5">
      <c r="A87" s="6" t="s">
        <v>79</v>
      </c>
      <c r="B87" s="6" t="s">
        <v>65</v>
      </c>
      <c r="C87" s="6" t="s">
        <v>66</v>
      </c>
      <c r="D87" s="6" t="s">
        <v>67</v>
      </c>
      <c r="E87" s="6" t="s">
        <v>122</v>
      </c>
      <c r="F87" s="6" t="s">
        <v>80</v>
      </c>
      <c r="G87" s="6" t="s">
        <v>69</v>
      </c>
      <c r="J87" s="2"/>
    </row>
    <row r="88" spans="1:7" ht="13.5">
      <c r="A88" s="2">
        <v>1</v>
      </c>
      <c r="B88" s="59"/>
      <c r="C88" s="61"/>
      <c r="D88" s="59"/>
      <c r="E88" s="51">
        <f>IF(D88*C88=0,"",D88*C88)</f>
      </c>
      <c r="F88" s="59"/>
      <c r="G88" s="60"/>
    </row>
    <row r="89" spans="1:7" ht="13.5">
      <c r="A89" s="2">
        <v>2</v>
      </c>
      <c r="B89" s="59"/>
      <c r="C89" s="61"/>
      <c r="D89" s="59"/>
      <c r="E89" s="51">
        <f aca="true" t="shared" si="4" ref="E89:E99">IF(D89*C89=0,"",D89*C89)</f>
      </c>
      <c r="F89" s="59"/>
      <c r="G89" s="60"/>
    </row>
    <row r="90" spans="1:7" ht="13.5">
      <c r="A90" s="2">
        <v>3</v>
      </c>
      <c r="B90" s="59"/>
      <c r="C90" s="61"/>
      <c r="D90" s="59"/>
      <c r="E90" s="51">
        <f t="shared" si="4"/>
      </c>
      <c r="F90" s="59"/>
      <c r="G90" s="60"/>
    </row>
    <row r="91" spans="1:7" ht="13.5">
      <c r="A91" s="2">
        <v>4</v>
      </c>
      <c r="B91" s="59"/>
      <c r="C91" s="61"/>
      <c r="D91" s="59"/>
      <c r="E91" s="51">
        <f t="shared" si="4"/>
      </c>
      <c r="F91" s="59"/>
      <c r="G91" s="60"/>
    </row>
    <row r="92" spans="1:7" ht="13.5">
      <c r="A92" s="2">
        <v>5</v>
      </c>
      <c r="B92" s="59"/>
      <c r="C92" s="61"/>
      <c r="D92" s="59"/>
      <c r="E92" s="51">
        <f t="shared" si="4"/>
      </c>
      <c r="F92" s="59"/>
      <c r="G92" s="60"/>
    </row>
    <row r="93" spans="1:7" ht="13.5">
      <c r="A93" s="2">
        <v>6</v>
      </c>
      <c r="B93" s="59"/>
      <c r="C93" s="61"/>
      <c r="D93" s="59"/>
      <c r="E93" s="51">
        <f t="shared" si="4"/>
      </c>
      <c r="F93" s="59"/>
      <c r="G93" s="60"/>
    </row>
    <row r="94" spans="1:7" ht="13.5">
      <c r="A94" s="2">
        <v>7</v>
      </c>
      <c r="B94" s="59"/>
      <c r="C94" s="61"/>
      <c r="D94" s="59"/>
      <c r="E94" s="51">
        <f t="shared" si="4"/>
      </c>
      <c r="F94" s="59"/>
      <c r="G94" s="60"/>
    </row>
    <row r="95" spans="1:7" ht="13.5">
      <c r="A95" s="2">
        <v>8</v>
      </c>
      <c r="B95" s="59"/>
      <c r="C95" s="61"/>
      <c r="D95" s="59"/>
      <c r="E95" s="51">
        <f t="shared" si="4"/>
      </c>
      <c r="F95" s="59"/>
      <c r="G95" s="60"/>
    </row>
    <row r="96" spans="1:7" ht="13.5">
      <c r="A96" s="2">
        <v>9</v>
      </c>
      <c r="B96" s="59"/>
      <c r="C96" s="61"/>
      <c r="D96" s="59"/>
      <c r="E96" s="51">
        <f t="shared" si="4"/>
      </c>
      <c r="F96" s="59"/>
      <c r="G96" s="60"/>
    </row>
    <row r="97" spans="1:7" ht="13.5">
      <c r="A97" s="2">
        <v>10</v>
      </c>
      <c r="B97" s="59"/>
      <c r="C97" s="61"/>
      <c r="D97" s="59"/>
      <c r="E97" s="51">
        <f t="shared" si="4"/>
      </c>
      <c r="F97" s="59"/>
      <c r="G97" s="60"/>
    </row>
    <row r="98" spans="1:7" ht="13.5">
      <c r="A98" s="2">
        <v>11</v>
      </c>
      <c r="B98" s="59"/>
      <c r="C98" s="61"/>
      <c r="D98" s="59"/>
      <c r="E98" s="51">
        <f t="shared" si="4"/>
      </c>
      <c r="F98" s="59"/>
      <c r="G98" s="60"/>
    </row>
    <row r="99" spans="1:7" ht="13.5">
      <c r="A99" s="2">
        <v>12</v>
      </c>
      <c r="B99" s="59"/>
      <c r="C99" s="61"/>
      <c r="D99" s="59"/>
      <c r="E99" s="51">
        <f t="shared" si="4"/>
      </c>
      <c r="F99" s="59"/>
      <c r="G99" s="60"/>
    </row>
    <row r="100" spans="4:5" ht="12.75">
      <c r="D100" s="8" t="s">
        <v>123</v>
      </c>
      <c r="E100" s="51">
        <f>IF(SUM(E88:E99)=0,"",SUM(E88:E99))</f>
      </c>
    </row>
    <row r="101" spans="5:6" ht="12.75">
      <c r="E101" s="8" t="s">
        <v>68</v>
      </c>
      <c r="F101" s="18">
        <f>IF(COUNTA(F88:F99)=0,"",MAX(F88:F99))</f>
      </c>
    </row>
    <row r="103" ht="12.75">
      <c r="A103" s="2" t="s">
        <v>135</v>
      </c>
    </row>
    <row r="104" spans="1:6" ht="27" customHeight="1">
      <c r="A104" s="116"/>
      <c r="B104" s="117"/>
      <c r="C104" s="117"/>
      <c r="D104" s="117"/>
      <c r="E104" s="117"/>
      <c r="F104" s="117"/>
    </row>
    <row r="106" spans="1:10" ht="33.75" customHeight="1">
      <c r="A106" s="135" t="str">
        <f>"Land Use Activities Planned After Response Alternative #6: "&amp;'Remedial-Removal Action'!B11</f>
        <v>Land Use Activities Planned After Response Alternative #6: </v>
      </c>
      <c r="B106" s="135"/>
      <c r="C106" s="135"/>
      <c r="D106" s="135"/>
      <c r="E106" s="135"/>
      <c r="F106" s="135"/>
      <c r="G106" s="135"/>
      <c r="J106" s="6"/>
    </row>
    <row r="107" spans="1:10" s="6" customFormat="1" ht="63.75">
      <c r="A107" s="6" t="s">
        <v>79</v>
      </c>
      <c r="B107" s="6" t="s">
        <v>65</v>
      </c>
      <c r="C107" s="6" t="s">
        <v>66</v>
      </c>
      <c r="D107" s="6" t="s">
        <v>67</v>
      </c>
      <c r="E107" s="6" t="s">
        <v>122</v>
      </c>
      <c r="F107" s="6" t="s">
        <v>80</v>
      </c>
      <c r="G107" s="6" t="s">
        <v>69</v>
      </c>
      <c r="J107" s="2"/>
    </row>
    <row r="108" spans="1:7" ht="13.5">
      <c r="A108" s="2">
        <v>1</v>
      </c>
      <c r="B108" s="59"/>
      <c r="C108" s="61"/>
      <c r="D108" s="59"/>
      <c r="E108" s="51">
        <f>IF(D108*C108=0,"",D108*C108)</f>
      </c>
      <c r="F108" s="59"/>
      <c r="G108" s="60"/>
    </row>
    <row r="109" spans="1:7" ht="13.5">
      <c r="A109" s="2">
        <v>2</v>
      </c>
      <c r="B109" s="59"/>
      <c r="C109" s="61"/>
      <c r="D109" s="59"/>
      <c r="E109" s="51">
        <f aca="true" t="shared" si="5" ref="E109:E119">IF(D109*C109=0,"",D109*C109)</f>
      </c>
      <c r="F109" s="59"/>
      <c r="G109" s="60"/>
    </row>
    <row r="110" spans="1:7" ht="13.5">
      <c r="A110" s="2">
        <v>3</v>
      </c>
      <c r="B110" s="59"/>
      <c r="C110" s="61"/>
      <c r="D110" s="59"/>
      <c r="E110" s="51">
        <f t="shared" si="5"/>
      </c>
      <c r="F110" s="59"/>
      <c r="G110" s="60"/>
    </row>
    <row r="111" spans="1:7" ht="13.5">
      <c r="A111" s="2">
        <v>4</v>
      </c>
      <c r="B111" s="59"/>
      <c r="C111" s="61"/>
      <c r="D111" s="59"/>
      <c r="E111" s="51">
        <f t="shared" si="5"/>
      </c>
      <c r="F111" s="59"/>
      <c r="G111" s="60"/>
    </row>
    <row r="112" spans="1:7" ht="13.5">
      <c r="A112" s="2">
        <v>5</v>
      </c>
      <c r="B112" s="59"/>
      <c r="C112" s="61"/>
      <c r="D112" s="59"/>
      <c r="E112" s="51">
        <f t="shared" si="5"/>
      </c>
      <c r="F112" s="59"/>
      <c r="G112" s="60"/>
    </row>
    <row r="113" spans="1:7" ht="13.5">
      <c r="A113" s="2">
        <v>6</v>
      </c>
      <c r="B113" s="59"/>
      <c r="C113" s="61"/>
      <c r="D113" s="59"/>
      <c r="E113" s="51">
        <f t="shared" si="5"/>
      </c>
      <c r="F113" s="59"/>
      <c r="G113" s="60"/>
    </row>
    <row r="114" spans="1:7" ht="13.5">
      <c r="A114" s="2">
        <v>7</v>
      </c>
      <c r="B114" s="59"/>
      <c r="C114" s="61"/>
      <c r="D114" s="59"/>
      <c r="E114" s="51">
        <f t="shared" si="5"/>
      </c>
      <c r="F114" s="59"/>
      <c r="G114" s="60"/>
    </row>
    <row r="115" spans="1:7" ht="13.5">
      <c r="A115" s="2">
        <v>8</v>
      </c>
      <c r="B115" s="59"/>
      <c r="C115" s="61"/>
      <c r="D115" s="59"/>
      <c r="E115" s="51">
        <f t="shared" si="5"/>
      </c>
      <c r="F115" s="59"/>
      <c r="G115" s="60"/>
    </row>
    <row r="116" spans="1:7" ht="13.5">
      <c r="A116" s="2">
        <v>9</v>
      </c>
      <c r="B116" s="59"/>
      <c r="C116" s="61"/>
      <c r="D116" s="59"/>
      <c r="E116" s="51">
        <f t="shared" si="5"/>
      </c>
      <c r="F116" s="59"/>
      <c r="G116" s="60"/>
    </row>
    <row r="117" spans="1:7" ht="13.5">
      <c r="A117" s="2">
        <v>10</v>
      </c>
      <c r="B117" s="59"/>
      <c r="C117" s="61"/>
      <c r="D117" s="59"/>
      <c r="E117" s="51">
        <f t="shared" si="5"/>
      </c>
      <c r="F117" s="59"/>
      <c r="G117" s="60"/>
    </row>
    <row r="118" spans="1:7" ht="13.5">
      <c r="A118" s="2">
        <v>11</v>
      </c>
      <c r="B118" s="59"/>
      <c r="C118" s="61"/>
      <c r="D118" s="59"/>
      <c r="E118" s="51">
        <f t="shared" si="5"/>
      </c>
      <c r="F118" s="59"/>
      <c r="G118" s="60"/>
    </row>
    <row r="119" spans="1:7" ht="13.5">
      <c r="A119" s="2">
        <v>12</v>
      </c>
      <c r="B119" s="59"/>
      <c r="C119" s="61"/>
      <c r="D119" s="59"/>
      <c r="E119" s="51">
        <f t="shared" si="5"/>
      </c>
      <c r="F119" s="59"/>
      <c r="G119" s="60"/>
    </row>
    <row r="120" spans="4:5" ht="12.75">
      <c r="D120" s="8" t="s">
        <v>123</v>
      </c>
      <c r="E120" s="51">
        <f>IF(SUM(E108:E119)=0,"",SUM(E108:E119))</f>
      </c>
    </row>
    <row r="121" spans="5:6" ht="12.75">
      <c r="E121" s="8" t="s">
        <v>68</v>
      </c>
      <c r="F121" s="18">
        <f>IF(COUNTA(F108:F119)=0,"",MAX(F108:F119))</f>
      </c>
    </row>
    <row r="123" ht="12.75">
      <c r="A123" s="2" t="s">
        <v>135</v>
      </c>
    </row>
    <row r="124" spans="1:6" ht="27" customHeight="1">
      <c r="A124" s="116"/>
      <c r="B124" s="117"/>
      <c r="C124" s="117"/>
      <c r="D124" s="117"/>
      <c r="E124" s="117"/>
      <c r="F124" s="117"/>
    </row>
  </sheetData>
  <sheetProtection formatColumns="0" formatRows="0"/>
  <mergeCells count="13">
    <mergeCell ref="A66:G66"/>
    <mergeCell ref="A86:G86"/>
    <mergeCell ref="A4:G4"/>
    <mergeCell ref="A24:F24"/>
    <mergeCell ref="A44:F44"/>
    <mergeCell ref="A64:F64"/>
    <mergeCell ref="A6:G6"/>
    <mergeCell ref="A26:G26"/>
    <mergeCell ref="A46:G46"/>
    <mergeCell ref="A106:G106"/>
    <mergeCell ref="A84:F84"/>
    <mergeCell ref="A104:F104"/>
    <mergeCell ref="A124:F124"/>
  </mergeCells>
  <conditionalFormatting sqref="A25:G25 F22 B20:D22 E21:E22 F20 B7:G7 A6:A24 G20:G24 B23:F23">
    <cfRule type="expression" priority="1" dxfId="0" stopIfTrue="1">
      <formula>OR(ISBLANK(Alt1Title),Alt1Change&lt;&gt;"Yes")</formula>
    </cfRule>
  </conditionalFormatting>
  <conditionalFormatting sqref="F8:F19 B8:D19">
    <cfRule type="expression" priority="2" dxfId="7" stopIfTrue="1">
      <formula>OR(ISBLANK(Alt1Title),Alt1Change&lt;&gt;"Yes")</formula>
    </cfRule>
  </conditionalFormatting>
  <conditionalFormatting sqref="G8:G19">
    <cfRule type="expression" priority="3" dxfId="3" stopIfTrue="1">
      <formula>OR(ISBLANK(Alt1Title),Alt1Change&lt;&gt;"Yes")</formula>
    </cfRule>
  </conditionalFormatting>
  <conditionalFormatting sqref="A26:A45 G40:G45 B45:F45 F42:F43 B40:D43 E41:E43 F40 B27:G27">
    <cfRule type="expression" priority="4" dxfId="8" stopIfTrue="1">
      <formula>OR(ISBLANK(Alt2Title),Alt2Change&lt;&gt;"Yes")</formula>
    </cfRule>
  </conditionalFormatting>
  <conditionalFormatting sqref="B28:D39 F28:F39">
    <cfRule type="expression" priority="5" dxfId="9" stopIfTrue="1">
      <formula>OR(ISBLANK(Alt2Title),Alt2Change&lt;&gt;"Yes")</formula>
    </cfRule>
  </conditionalFormatting>
  <conditionalFormatting sqref="G28:G39">
    <cfRule type="expression" priority="6" dxfId="3" stopIfTrue="1">
      <formula>OR(ISBLANK(Alt2Title),Alt2Change&lt;&gt;"Yes")</formula>
    </cfRule>
  </conditionalFormatting>
  <conditionalFormatting sqref="A46:A65 G60:G65 B65:F65 F62:F63 B60:D63 E61:E63 F60 B47:G47">
    <cfRule type="expression" priority="7" dxfId="0" stopIfTrue="1">
      <formula>OR(ISBLANK(Alt3Title),Alt3Change&lt;&gt;"Yes")</formula>
    </cfRule>
  </conditionalFormatting>
  <conditionalFormatting sqref="B48:D59 F48:F59">
    <cfRule type="expression" priority="8" dxfId="9" stopIfTrue="1">
      <formula>OR(ISBLANK(Alt3Title),Alt3Change&lt;&gt;"Yes")</formula>
    </cfRule>
  </conditionalFormatting>
  <conditionalFormatting sqref="G48:G59">
    <cfRule type="expression" priority="9" dxfId="3" stopIfTrue="1">
      <formula>OR(ISBLANK(Alt3Title),Alt3Change&lt;&gt;"Yes")</formula>
    </cfRule>
  </conditionalFormatting>
  <conditionalFormatting sqref="A66:A85 G80:G85 B85:F85 F82:F83 B80:D83 E81:E83 F80 B67:G67">
    <cfRule type="expression" priority="10" dxfId="0" stopIfTrue="1">
      <formula>OR(ISBLANK(Alt4Title),Alt4Change&lt;&gt;"Yes")</formula>
    </cfRule>
  </conditionalFormatting>
  <conditionalFormatting sqref="B68:D79 F68:F79">
    <cfRule type="expression" priority="11" dxfId="9" stopIfTrue="1">
      <formula>OR(ISBLANK(Alt4Title),Alt4Change&lt;&gt;"Yes")</formula>
    </cfRule>
  </conditionalFormatting>
  <conditionalFormatting sqref="G68:G79">
    <cfRule type="expression" priority="12" dxfId="3" stopIfTrue="1">
      <formula>OR(ISBLANK(Alt4Title),Alt4Change&lt;&gt;"Yes")</formula>
    </cfRule>
  </conditionalFormatting>
  <conditionalFormatting sqref="A86:A105 G100:G105 B105:F105 F102:F103 B100:D103 E101:E103 F100 B87:G87">
    <cfRule type="expression" priority="13" dxfId="0" stopIfTrue="1">
      <formula>OR(ISBLANK(Alt5Title),Alt5Change&lt;&gt;"Yes")</formula>
    </cfRule>
  </conditionalFormatting>
  <conditionalFormatting sqref="B88:D99 F88:F99">
    <cfRule type="expression" priority="14" dxfId="9" stopIfTrue="1">
      <formula>OR(ISBLANK(Alt5Title),Alt5Change&lt;&gt;"Yes")</formula>
    </cfRule>
  </conditionalFormatting>
  <conditionalFormatting sqref="G88:G99">
    <cfRule type="expression" priority="15" dxfId="3" stopIfTrue="1">
      <formula>OR(ISBLANK(Alt5Title),Alt5Change&lt;&gt;"Yes")</formula>
    </cfRule>
  </conditionalFormatting>
  <conditionalFormatting sqref="A106:A125 G120:G125 B125:F125 F122:F123 B120:D123 E121:E123 F120 B107:G107">
    <cfRule type="expression" priority="16" dxfId="0" stopIfTrue="1">
      <formula>OR(ISBLANK(Alt6Title),Alt6Change&lt;&gt;"Yes")</formula>
    </cfRule>
  </conditionalFormatting>
  <conditionalFormatting sqref="B108:D119 F108:F119">
    <cfRule type="expression" priority="17" dxfId="9" stopIfTrue="1">
      <formula>OR(ISBLANK(Alt6Title),Alt6Change&lt;&gt;"Yes")</formula>
    </cfRule>
  </conditionalFormatting>
  <conditionalFormatting sqref="G108:G119">
    <cfRule type="expression" priority="18" dxfId="3" stopIfTrue="1">
      <formula>OR(ISBLANK(Alt6Title),Alt6Change&lt;&gt;"Yes")</formula>
    </cfRule>
  </conditionalFormatting>
  <printOptions/>
  <pageMargins left="0.75" right="0.75" top="1" bottom="1" header="0.5" footer="0.5"/>
  <pageSetup horizontalDpi="600" verticalDpi="600" orientation="portrait" scale="74" r:id="rId4"/>
  <headerFooter alignWithMargins="0">
    <oddHeader>&amp;R&amp;"Tahoma,Regular"&amp;8MEC HA Workbook v1.0
November 2006</oddHeader>
    <oddFooter>&amp;L&amp;"Tahoma,Regular"&amp;8Post-Response Land Use Worksheet&amp;R&amp;"Tahoma,Regular"&amp;8Public Review Draft - Do Not Cite or Quote</oddFooter>
  </headerFooter>
  <rowBreaks count="5" manualBreakCount="5">
    <brk id="25" max="255" man="1"/>
    <brk id="45" max="255" man="1"/>
    <brk id="65" max="255" man="1"/>
    <brk id="85" max="255" man="1"/>
    <brk id="105"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Sheet2"/>
  <dimension ref="A1:P298"/>
  <sheetViews>
    <sheetView workbookViewId="0" topLeftCell="A1">
      <selection activeCell="A1" sqref="A1"/>
    </sheetView>
  </sheetViews>
  <sheetFormatPr defaultColWidth="9.140625" defaultRowHeight="12.75"/>
  <cols>
    <col min="1" max="1" width="19.140625" style="6" customWidth="1"/>
    <col min="2" max="2" width="12.00390625" style="6" customWidth="1"/>
    <col min="3" max="3" width="18.7109375" style="6" customWidth="1"/>
    <col min="4" max="4" width="10.421875" style="6" customWidth="1"/>
    <col min="5" max="5" width="9.140625" style="6" customWidth="1"/>
    <col min="6" max="6" width="12.00390625" style="6" customWidth="1"/>
    <col min="7" max="7" width="10.7109375" style="6" customWidth="1"/>
    <col min="8" max="8" width="9.140625" style="6" customWidth="1"/>
    <col min="9" max="9" width="40.7109375" style="6" customWidth="1"/>
    <col min="10" max="10" width="9.140625" style="6" customWidth="1"/>
    <col min="11" max="11" width="16.421875" style="19" hidden="1" customWidth="1"/>
    <col min="12" max="16384" width="9.140625" style="6" customWidth="1"/>
  </cols>
  <sheetData>
    <row r="1" spans="1:2" ht="12.75">
      <c r="A1" s="2" t="s">
        <v>49</v>
      </c>
      <c r="B1" s="13">
        <f>IF('Summary Info'!B3="","",'Summary Info'!B3)</f>
      </c>
    </row>
    <row r="2" spans="1:2" ht="16.5" customHeight="1">
      <c r="A2" s="2" t="s">
        <v>50</v>
      </c>
      <c r="B2" s="48">
        <f>IF('Summary Info'!B4="","",'Summary Info'!B4)</f>
      </c>
    </row>
    <row r="3" ht="12.75"/>
    <row r="4" spans="1:11" s="9" customFormat="1" ht="15">
      <c r="A4" s="17" t="s">
        <v>269</v>
      </c>
      <c r="I4" s="10" t="s">
        <v>69</v>
      </c>
      <c r="K4" s="53"/>
    </row>
    <row r="5" spans="1:9" ht="30" customHeight="1">
      <c r="A5" s="129" t="s">
        <v>124</v>
      </c>
      <c r="B5" s="129"/>
      <c r="C5" s="129"/>
      <c r="D5" s="129"/>
      <c r="E5" s="129"/>
      <c r="F5" s="129"/>
      <c r="I5" s="60"/>
    </row>
    <row r="6" spans="4:9" ht="25.5">
      <c r="D6" s="6" t="s">
        <v>81</v>
      </c>
      <c r="E6" s="6" t="s">
        <v>256</v>
      </c>
      <c r="F6" s="6" t="s">
        <v>257</v>
      </c>
      <c r="I6" s="60"/>
    </row>
    <row r="7" spans="1:9" ht="24.75" customHeight="1">
      <c r="A7" s="129" t="s">
        <v>215</v>
      </c>
      <c r="B7" s="129"/>
      <c r="C7" s="129"/>
      <c r="D7" s="4">
        <v>100</v>
      </c>
      <c r="E7" s="4">
        <v>100</v>
      </c>
      <c r="F7" s="4">
        <v>100</v>
      </c>
      <c r="I7" s="60"/>
    </row>
    <row r="8" spans="1:9" ht="13.5">
      <c r="A8" s="129" t="s">
        <v>2</v>
      </c>
      <c r="B8" s="129"/>
      <c r="C8" s="129"/>
      <c r="D8" s="4">
        <v>70</v>
      </c>
      <c r="E8" s="4">
        <v>70</v>
      </c>
      <c r="F8" s="4">
        <v>70</v>
      </c>
      <c r="I8" s="60"/>
    </row>
    <row r="9" spans="1:9" ht="13.5">
      <c r="A9" s="129" t="s">
        <v>252</v>
      </c>
      <c r="B9" s="129"/>
      <c r="C9" s="129"/>
      <c r="D9" s="4">
        <v>60</v>
      </c>
      <c r="E9" s="4">
        <v>60</v>
      </c>
      <c r="F9" s="4">
        <v>60</v>
      </c>
      <c r="I9" s="60"/>
    </row>
    <row r="10" spans="1:9" ht="13.5">
      <c r="A10" s="129" t="s">
        <v>3</v>
      </c>
      <c r="B10" s="129"/>
      <c r="C10" s="129"/>
      <c r="D10" s="4">
        <v>50</v>
      </c>
      <c r="E10" s="4">
        <v>50</v>
      </c>
      <c r="F10" s="4">
        <v>50</v>
      </c>
      <c r="I10" s="60"/>
    </row>
    <row r="11" spans="1:9" ht="13.5">
      <c r="A11" s="129" t="s">
        <v>4</v>
      </c>
      <c r="B11" s="129"/>
      <c r="C11" s="129"/>
      <c r="D11" s="4">
        <v>40</v>
      </c>
      <c r="E11" s="4">
        <v>40</v>
      </c>
      <c r="F11" s="4">
        <v>40</v>
      </c>
      <c r="I11" s="60"/>
    </row>
    <row r="12" spans="1:9" ht="13.5">
      <c r="A12" s="129" t="s">
        <v>5</v>
      </c>
      <c r="B12" s="129"/>
      <c r="C12" s="129"/>
      <c r="D12" s="4">
        <v>30</v>
      </c>
      <c r="E12" s="4">
        <v>30</v>
      </c>
      <c r="F12" s="4">
        <v>30</v>
      </c>
      <c r="I12" s="60"/>
    </row>
    <row r="13" spans="1:11" ht="55.5" customHeight="1">
      <c r="A13" s="144" t="str">
        <f>IF(IF1Cat="","Because no munitions have been listed in the 'Munitions, Bulk Explosive Info' Worksheet, no score has been assigned for this factor.","The most hazardous type of energetic material listed in the 'Munitions, Bulk Explosive Info' Worksheet falls under the category '"&amp;IF1Cat&amp;"'.")</f>
        <v>Because no munitions have been listed in the 'Munitions, Bulk Explosive Info' Worksheet, no score has been assigned for this factor.</v>
      </c>
      <c r="B13" s="144"/>
      <c r="C13" s="144"/>
      <c r="D13" s="144"/>
      <c r="E13" s="144"/>
      <c r="F13" s="144"/>
      <c r="G13" s="11" t="s">
        <v>0</v>
      </c>
      <c r="I13" s="60"/>
      <c r="K13" s="19">
        <f>IF('Munitions, Bulk Explosive Info'!R26="","",VLOOKUP('Munitions, Bulk Explosive Info'!R26,'Validation Tables'!F5:G10,2,FALSE))</f>
      </c>
    </row>
    <row r="14" spans="7:9" ht="13.5">
      <c r="G14" s="11"/>
      <c r="I14" s="60"/>
    </row>
    <row r="15" spans="1:9" ht="13.5" customHeight="1">
      <c r="A15" s="9" t="s">
        <v>56</v>
      </c>
      <c r="G15" s="12">
        <f>IF(ISNA(VLOOKUP(IF1Cat,$A$7:$F$12,4,FALSE)),"",VLOOKUP(IF1Cat,$A$7:$F$12,4,FALSE))</f>
      </c>
      <c r="I15" s="60"/>
    </row>
    <row r="16" spans="1:9" ht="13.5" customHeight="1">
      <c r="A16" s="9" t="s">
        <v>258</v>
      </c>
      <c r="G16" s="12">
        <f>IF(ISNA(VLOOKUP(IF1Cat,$A$7:$F$12,5,FALSE)),"",VLOOKUP(IF1Cat,$A$7:$F$12,5,FALSE))</f>
      </c>
      <c r="I16" s="60"/>
    </row>
    <row r="17" spans="1:9" ht="13.5">
      <c r="A17" s="9" t="s">
        <v>259</v>
      </c>
      <c r="G17" s="12">
        <f>IF(ISNA(VLOOKUP(IF1Cat,$A$7:$F$12,6,FALSE)),"",VLOOKUP(IF1Cat,$A$7:$F$12,6,FALSE))</f>
      </c>
      <c r="I17" s="60"/>
    </row>
    <row r="18" ht="13.5">
      <c r="I18" s="60"/>
    </row>
    <row r="19" spans="1:11" s="9" customFormat="1" ht="33" customHeight="1">
      <c r="A19" s="135" t="s">
        <v>270</v>
      </c>
      <c r="B19" s="135"/>
      <c r="C19" s="135"/>
      <c r="D19" s="135"/>
      <c r="E19" s="135"/>
      <c r="F19" s="135"/>
      <c r="G19" s="135"/>
      <c r="I19" s="60"/>
      <c r="K19" s="53"/>
    </row>
    <row r="20" spans="1:9" ht="27.75" customHeight="1">
      <c r="A20" s="129" t="s">
        <v>99</v>
      </c>
      <c r="B20" s="129"/>
      <c r="C20" s="129"/>
      <c r="D20" s="129"/>
      <c r="E20" s="129"/>
      <c r="F20" s="129"/>
      <c r="G20" s="64"/>
      <c r="H20" s="6" t="s">
        <v>57</v>
      </c>
      <c r="I20" s="60"/>
    </row>
    <row r="21" spans="1:9" ht="27.75" customHeight="1">
      <c r="A21" s="129" t="s">
        <v>216</v>
      </c>
      <c r="B21" s="129"/>
      <c r="C21" s="129"/>
      <c r="D21" s="129"/>
      <c r="E21" s="129"/>
      <c r="F21" s="129"/>
      <c r="G21" s="59"/>
      <c r="I21" s="60"/>
    </row>
    <row r="22" spans="1:9" ht="16.5" customHeight="1">
      <c r="A22" s="129" t="s">
        <v>120</v>
      </c>
      <c r="B22" s="129"/>
      <c r="C22" s="129"/>
      <c r="D22" s="129"/>
      <c r="E22" s="129"/>
      <c r="F22" s="129"/>
      <c r="I22" s="60"/>
    </row>
    <row r="23" spans="1:9" ht="13.5">
      <c r="A23" s="147"/>
      <c r="B23" s="148"/>
      <c r="C23" s="148"/>
      <c r="D23" s="148"/>
      <c r="E23" s="148"/>
      <c r="F23" s="148"/>
      <c r="G23" s="149"/>
      <c r="I23" s="60"/>
    </row>
    <row r="24" spans="1:11" ht="21.75" customHeight="1">
      <c r="A24" s="2" t="s">
        <v>217</v>
      </c>
      <c r="I24" s="60"/>
      <c r="K24" s="54"/>
    </row>
    <row r="25" spans="1:9" ht="27" customHeight="1">
      <c r="A25" s="116"/>
      <c r="B25" s="116"/>
      <c r="C25" s="116"/>
      <c r="D25" s="116"/>
      <c r="E25" s="116"/>
      <c r="F25" s="116"/>
      <c r="I25" s="60"/>
    </row>
    <row r="26" spans="1:9" ht="27.75" customHeight="1">
      <c r="A26" s="129" t="s">
        <v>222</v>
      </c>
      <c r="B26" s="129"/>
      <c r="C26" s="129"/>
      <c r="D26" s="129"/>
      <c r="E26" s="129"/>
      <c r="F26" s="129"/>
      <c r="I26" s="60"/>
    </row>
    <row r="27" spans="4:9" ht="26.25">
      <c r="D27" s="6" t="s">
        <v>81</v>
      </c>
      <c r="E27" s="6" t="s">
        <v>256</v>
      </c>
      <c r="F27" s="6" t="s">
        <v>257</v>
      </c>
      <c r="I27" s="60"/>
    </row>
    <row r="28" spans="1:9" ht="13.5">
      <c r="A28" s="139" t="s">
        <v>219</v>
      </c>
      <c r="B28" s="139"/>
      <c r="C28" s="139"/>
      <c r="D28" s="6">
        <v>30</v>
      </c>
      <c r="E28" s="6">
        <v>30</v>
      </c>
      <c r="F28" s="6">
        <v>30</v>
      </c>
      <c r="I28" s="60"/>
    </row>
    <row r="29" spans="1:9" ht="13.5">
      <c r="A29" s="139" t="s">
        <v>220</v>
      </c>
      <c r="B29" s="139"/>
      <c r="C29" s="139"/>
      <c r="D29" s="6">
        <v>0</v>
      </c>
      <c r="E29" s="6">
        <v>0</v>
      </c>
      <c r="F29" s="6">
        <v>0</v>
      </c>
      <c r="I29" s="60"/>
    </row>
    <row r="30" spans="1:11" ht="26.25" customHeight="1">
      <c r="A30" s="116" t="str">
        <f>"4. "&amp;IF(G21="No","Current use activities are 'Outside of the ESQD arc', based on Question 2.'",IF(G21="Yes","Current use activities are 'Inside the MRS or inside the ESQD arc', based on Question 2.'","Please answer Question 2 above to determine the scores."))</f>
        <v>4. Please answer Question 2 above to determine the scores.</v>
      </c>
      <c r="B30" s="116"/>
      <c r="C30" s="116"/>
      <c r="D30" s="116"/>
      <c r="E30" s="116"/>
      <c r="F30" s="116"/>
      <c r="G30" s="11" t="s">
        <v>0</v>
      </c>
      <c r="I30" s="60"/>
      <c r="K30" s="19">
        <f>IF(G21="No",$A$29,IF(G21="Yes",$A$28,""))</f>
      </c>
    </row>
    <row r="31" spans="1:9" ht="13.5">
      <c r="A31" s="121" t="s">
        <v>56</v>
      </c>
      <c r="B31" s="121"/>
      <c r="C31" s="121"/>
      <c r="D31" s="121"/>
      <c r="E31" s="121"/>
      <c r="F31" s="121"/>
      <c r="G31" s="12">
        <f>IF($G$21="Yes",$D$28,IF($G$21="No",$D$29,""))</f>
      </c>
      <c r="I31" s="60"/>
    </row>
    <row r="32" spans="1:9" ht="13.5">
      <c r="A32" s="121" t="s">
        <v>258</v>
      </c>
      <c r="B32" s="121"/>
      <c r="C32" s="121"/>
      <c r="D32" s="121"/>
      <c r="E32" s="121"/>
      <c r="F32" s="121"/>
      <c r="G32" s="12">
        <f>IF($G$21="Yes",$E$28,IF($G$21="No",$E$29,""))</f>
      </c>
      <c r="I32" s="60"/>
    </row>
    <row r="33" spans="1:9" ht="13.5">
      <c r="A33" s="121" t="s">
        <v>259</v>
      </c>
      <c r="B33" s="121"/>
      <c r="C33" s="121"/>
      <c r="D33" s="121"/>
      <c r="E33" s="121"/>
      <c r="F33" s="121"/>
      <c r="G33" s="12">
        <f>IF($G$21="Yes",$F$28,IF($G$21="No",$F$29,""))</f>
      </c>
      <c r="I33" s="60"/>
    </row>
    <row r="34" spans="1:9" ht="27.75" customHeight="1">
      <c r="A34" s="129" t="s">
        <v>262</v>
      </c>
      <c r="B34" s="129"/>
      <c r="C34" s="129"/>
      <c r="D34" s="129"/>
      <c r="E34" s="129"/>
      <c r="F34" s="129"/>
      <c r="G34" s="59"/>
      <c r="I34" s="60"/>
    </row>
    <row r="35" spans="1:9" ht="16.5" customHeight="1">
      <c r="A35" s="129" t="s">
        <v>121</v>
      </c>
      <c r="B35" s="129"/>
      <c r="C35" s="129"/>
      <c r="D35" s="129"/>
      <c r="E35" s="129"/>
      <c r="F35" s="129"/>
      <c r="I35" s="60"/>
    </row>
    <row r="36" spans="1:9" ht="16.5" customHeight="1">
      <c r="A36" s="147"/>
      <c r="B36" s="148"/>
      <c r="C36" s="148"/>
      <c r="D36" s="148"/>
      <c r="E36" s="148"/>
      <c r="F36" s="148"/>
      <c r="G36" s="149"/>
      <c r="I36" s="60"/>
    </row>
    <row r="37" spans="1:11" ht="21.75" customHeight="1">
      <c r="A37" s="2" t="s">
        <v>218</v>
      </c>
      <c r="I37" s="60"/>
      <c r="K37" s="54"/>
    </row>
    <row r="38" spans="1:9" ht="27" customHeight="1">
      <c r="A38" s="116"/>
      <c r="B38" s="116"/>
      <c r="C38" s="116"/>
      <c r="D38" s="116"/>
      <c r="E38" s="116"/>
      <c r="F38" s="116"/>
      <c r="I38" s="60"/>
    </row>
    <row r="39" spans="1:9" ht="27.75" customHeight="1">
      <c r="A39" s="129" t="s">
        <v>221</v>
      </c>
      <c r="B39" s="129"/>
      <c r="C39" s="129"/>
      <c r="D39" s="129"/>
      <c r="E39" s="129"/>
      <c r="F39" s="129"/>
      <c r="I39" s="60"/>
    </row>
    <row r="40" spans="4:9" ht="26.25">
      <c r="D40" s="6" t="s">
        <v>81</v>
      </c>
      <c r="E40" s="6" t="s">
        <v>256</v>
      </c>
      <c r="F40" s="6" t="s">
        <v>257</v>
      </c>
      <c r="I40" s="60"/>
    </row>
    <row r="41" spans="1:9" ht="38.25" customHeight="1">
      <c r="A41" s="139" t="s">
        <v>219</v>
      </c>
      <c r="B41" s="139"/>
      <c r="C41" s="139"/>
      <c r="D41" s="6">
        <v>30</v>
      </c>
      <c r="E41" s="6">
        <v>30</v>
      </c>
      <c r="F41" s="6">
        <v>30</v>
      </c>
      <c r="I41" s="60"/>
    </row>
    <row r="42" spans="1:9" ht="13.5">
      <c r="A42" s="139" t="s">
        <v>220</v>
      </c>
      <c r="B42" s="139"/>
      <c r="C42" s="139"/>
      <c r="D42" s="6">
        <v>0</v>
      </c>
      <c r="E42" s="6">
        <v>0</v>
      </c>
      <c r="F42" s="6">
        <v>0</v>
      </c>
      <c r="I42" s="60"/>
    </row>
    <row r="43" spans="1:11" ht="24.75" customHeight="1">
      <c r="A43" s="116" t="str">
        <f>"7. "&amp;IF(G34="No","Future use activities are 'Outside of the ESQD arc', based on Question 5.'",IF(G34="Yes","Future use activities are 'Inside the MRS or inside the ESQD arc', based on Question 5.'","Please answer Question 5 above to determine the scores."))</f>
        <v>7. Please answer Question 5 above to determine the scores.</v>
      </c>
      <c r="B43" s="116"/>
      <c r="C43" s="116"/>
      <c r="D43" s="116"/>
      <c r="E43" s="116"/>
      <c r="F43" s="116"/>
      <c r="G43" s="11" t="s">
        <v>0</v>
      </c>
      <c r="I43" s="60"/>
      <c r="K43" s="46">
        <f>IF(G34="No",A42,IF(G34="Yes",A41,""))</f>
      </c>
    </row>
    <row r="44" spans="1:9" ht="13.5">
      <c r="A44" s="121" t="s">
        <v>56</v>
      </c>
      <c r="B44" s="121"/>
      <c r="C44" s="121"/>
      <c r="D44" s="121"/>
      <c r="E44" s="121"/>
      <c r="F44" s="121"/>
      <c r="G44" s="12">
        <f>IF($G$34="Yes",$D$41,IF($G$34="No",$D$42,""))</f>
      </c>
      <c r="I44" s="60"/>
    </row>
    <row r="45" spans="1:9" ht="13.5">
      <c r="A45" s="121" t="s">
        <v>258</v>
      </c>
      <c r="B45" s="121"/>
      <c r="C45" s="121"/>
      <c r="D45" s="121"/>
      <c r="E45" s="121"/>
      <c r="F45" s="121"/>
      <c r="G45" s="12">
        <f>IF($G$34="Yes",$E$41,IF($G$34="No",$E$42,""))</f>
      </c>
      <c r="I45" s="60"/>
    </row>
    <row r="46" spans="1:9" ht="13.5">
      <c r="A46" s="121" t="s">
        <v>259</v>
      </c>
      <c r="B46" s="121"/>
      <c r="C46" s="121"/>
      <c r="D46" s="121"/>
      <c r="E46" s="121"/>
      <c r="F46" s="121"/>
      <c r="G46" s="12">
        <f>IF($G$34="Yes",$F$41,IF($G$34="No",$F$42,""))</f>
      </c>
      <c r="I46" s="60"/>
    </row>
    <row r="47" ht="13.5">
      <c r="I47" s="60"/>
    </row>
    <row r="48" spans="1:9" ht="16.5" customHeight="1">
      <c r="A48" s="17" t="s">
        <v>271</v>
      </c>
      <c r="B48" s="17"/>
      <c r="C48" s="17"/>
      <c r="D48" s="17"/>
      <c r="E48" s="17"/>
      <c r="F48" s="17"/>
      <c r="I48" s="60"/>
    </row>
    <row r="49" spans="1:9" ht="13.5">
      <c r="A49" s="129" t="s">
        <v>125</v>
      </c>
      <c r="B49" s="129"/>
      <c r="C49" s="129"/>
      <c r="D49" s="129"/>
      <c r="E49" s="129"/>
      <c r="F49" s="129"/>
      <c r="I49" s="60"/>
    </row>
    <row r="50" spans="2:9" ht="26.25">
      <c r="B50" s="139" t="s">
        <v>102</v>
      </c>
      <c r="C50" s="139"/>
      <c r="D50" s="6" t="s">
        <v>81</v>
      </c>
      <c r="E50" s="6" t="s">
        <v>256</v>
      </c>
      <c r="F50" s="6" t="s">
        <v>257</v>
      </c>
      <c r="I50" s="60"/>
    </row>
    <row r="51" spans="1:9" ht="27.75" customHeight="1">
      <c r="A51" s="6" t="s">
        <v>106</v>
      </c>
      <c r="B51" s="139" t="s">
        <v>223</v>
      </c>
      <c r="C51" s="139"/>
      <c r="D51" s="6">
        <v>80</v>
      </c>
      <c r="E51" s="6">
        <v>80</v>
      </c>
      <c r="F51" s="6">
        <v>80</v>
      </c>
      <c r="I51" s="60"/>
    </row>
    <row r="52" spans="1:9" ht="37.5" customHeight="1">
      <c r="A52" s="6" t="s">
        <v>7</v>
      </c>
      <c r="B52" s="139" t="s">
        <v>100</v>
      </c>
      <c r="C52" s="139"/>
      <c r="D52" s="6">
        <v>55</v>
      </c>
      <c r="E52" s="6">
        <v>55</v>
      </c>
      <c r="F52" s="6">
        <v>55</v>
      </c>
      <c r="I52" s="60"/>
    </row>
    <row r="53" spans="1:9" ht="54.75" customHeight="1">
      <c r="A53" s="6" t="s">
        <v>8</v>
      </c>
      <c r="B53" s="139" t="s">
        <v>101</v>
      </c>
      <c r="C53" s="139"/>
      <c r="D53" s="6">
        <v>15</v>
      </c>
      <c r="E53" s="6">
        <v>15</v>
      </c>
      <c r="F53" s="6">
        <v>15</v>
      </c>
      <c r="I53" s="60"/>
    </row>
    <row r="54" spans="1:9" ht="54.75" customHeight="1">
      <c r="A54" s="6" t="s">
        <v>9</v>
      </c>
      <c r="B54" s="139" t="s">
        <v>224</v>
      </c>
      <c r="C54" s="139"/>
      <c r="D54" s="6">
        <v>5</v>
      </c>
      <c r="E54" s="6">
        <v>5</v>
      </c>
      <c r="F54" s="6">
        <v>5</v>
      </c>
      <c r="I54" s="60"/>
    </row>
    <row r="55" spans="1:9" ht="29.25" customHeight="1">
      <c r="A55" s="143" t="s">
        <v>272</v>
      </c>
      <c r="B55" s="143"/>
      <c r="C55" s="143"/>
      <c r="D55" s="143"/>
      <c r="E55" s="143"/>
      <c r="F55" s="143"/>
      <c r="G55" s="11" t="s">
        <v>0</v>
      </c>
      <c r="I55" s="60"/>
    </row>
    <row r="56" spans="1:9" ht="13.5">
      <c r="A56" s="129" t="s">
        <v>273</v>
      </c>
      <c r="B56" s="129"/>
      <c r="C56" s="129"/>
      <c r="D56" s="129"/>
      <c r="E56" s="129"/>
      <c r="F56" s="129"/>
      <c r="I56" s="60"/>
    </row>
    <row r="57" spans="1:9" ht="13.5">
      <c r="A57" s="140"/>
      <c r="B57" s="141"/>
      <c r="C57" s="141"/>
      <c r="D57" s="141"/>
      <c r="E57" s="141"/>
      <c r="F57" s="142"/>
      <c r="I57" s="60"/>
    </row>
    <row r="58" spans="1:9" ht="13.5">
      <c r="A58" s="9" t="s">
        <v>56</v>
      </c>
      <c r="B58" s="12"/>
      <c r="C58" s="12"/>
      <c r="D58" s="12"/>
      <c r="E58" s="12"/>
      <c r="F58" s="12"/>
      <c r="G58" s="12">
        <f>IF(ISNA(VLOOKUP($A$57,$A$51:$F$54,4,FALSE)),"",VLOOKUP($A$57,$A$51:$F$54,4,FALSE))</f>
      </c>
      <c r="I58" s="60"/>
    </row>
    <row r="59" spans="1:9" ht="13.5">
      <c r="A59" s="9" t="s">
        <v>258</v>
      </c>
      <c r="B59" s="12"/>
      <c r="C59" s="12"/>
      <c r="D59" s="12"/>
      <c r="E59" s="12"/>
      <c r="F59" s="12"/>
      <c r="G59" s="12">
        <f>IF(ISNA(VLOOKUP(A57,$A$51:$F$54,5,FALSE)),"",VLOOKUP(A57,$A$51:$F$54,5,FALSE))</f>
      </c>
      <c r="I59" s="60"/>
    </row>
    <row r="60" spans="1:9" ht="13.5">
      <c r="A60" s="9" t="s">
        <v>259</v>
      </c>
      <c r="B60" s="12"/>
      <c r="C60" s="12"/>
      <c r="D60" s="12"/>
      <c r="E60" s="12"/>
      <c r="F60" s="12"/>
      <c r="G60" s="12">
        <f>IF(ISNA(VLOOKUP(A57,$A$51:$F$54,6,FALSE)),"",VLOOKUP(A57,$A$51:$F$54,6,FALSE))</f>
      </c>
      <c r="I60" s="60"/>
    </row>
    <row r="61" spans="1:9" ht="28.5" customHeight="1">
      <c r="A61" s="143" t="s">
        <v>274</v>
      </c>
      <c r="B61" s="143"/>
      <c r="C61" s="143"/>
      <c r="D61" s="143"/>
      <c r="E61" s="143"/>
      <c r="F61" s="143"/>
      <c r="I61" s="60"/>
    </row>
    <row r="62" spans="1:9" ht="13.5">
      <c r="A62" s="129" t="s">
        <v>275</v>
      </c>
      <c r="B62" s="129"/>
      <c r="C62" s="129"/>
      <c r="D62" s="129"/>
      <c r="E62" s="129"/>
      <c r="F62" s="129"/>
      <c r="G62" s="11"/>
      <c r="I62" s="60"/>
    </row>
    <row r="63" spans="1:9" ht="13.5">
      <c r="A63" s="140"/>
      <c r="B63" s="141"/>
      <c r="C63" s="141"/>
      <c r="D63" s="141"/>
      <c r="E63" s="141"/>
      <c r="F63" s="142"/>
      <c r="G63" s="11"/>
      <c r="I63" s="60"/>
    </row>
    <row r="64" spans="1:9" ht="13.5">
      <c r="A64" s="9" t="s">
        <v>56</v>
      </c>
      <c r="B64" s="12"/>
      <c r="C64" s="12"/>
      <c r="D64" s="12"/>
      <c r="E64" s="12"/>
      <c r="F64" s="12"/>
      <c r="G64" s="12">
        <f>IF(ISNA(VLOOKUP(A63,$A$51:$F$54,4,FALSE)),"",VLOOKUP(A63,$A$51:$F$54,4,FALSE))</f>
      </c>
      <c r="I64" s="60"/>
    </row>
    <row r="65" spans="1:9" ht="13.5">
      <c r="A65" s="9" t="s">
        <v>258</v>
      </c>
      <c r="B65" s="12"/>
      <c r="C65" s="12"/>
      <c r="D65" s="12"/>
      <c r="E65" s="12"/>
      <c r="F65" s="12"/>
      <c r="G65" s="12">
        <f>IF(ISNA(VLOOKUP(A63,$A$51:$F$54,5,FALSE)),"",VLOOKUP(A63,$A$51:$F$54,5,FALSE))</f>
      </c>
      <c r="I65" s="60"/>
    </row>
    <row r="66" spans="1:9" ht="13.5">
      <c r="A66" s="9" t="s">
        <v>259</v>
      </c>
      <c r="B66" s="12"/>
      <c r="C66" s="12"/>
      <c r="D66" s="12"/>
      <c r="E66" s="12"/>
      <c r="F66" s="12"/>
      <c r="G66" s="12">
        <f>IF(ISNA(VLOOKUP(A63,$A$51:$F$54,6,FALSE)),"",VLOOKUP(A63,$A$51:$F$54,6,FALSE))</f>
      </c>
      <c r="I66" s="60"/>
    </row>
    <row r="67" spans="1:11" ht="21.75" customHeight="1">
      <c r="A67" s="2" t="s">
        <v>184</v>
      </c>
      <c r="I67" s="60"/>
      <c r="K67" s="54"/>
    </row>
    <row r="68" spans="1:9" ht="27" customHeight="1">
      <c r="A68" s="116"/>
      <c r="B68" s="116"/>
      <c r="C68" s="116"/>
      <c r="D68" s="116"/>
      <c r="E68" s="116"/>
      <c r="F68" s="116"/>
      <c r="I68" s="60"/>
    </row>
    <row r="69" spans="1:9" ht="30" customHeight="1">
      <c r="A69" s="143" t="str">
        <f>"Response Alternative No. 1: "&amp;Alt1Title</f>
        <v>Response Alternative No. 1: </v>
      </c>
      <c r="B69" s="143"/>
      <c r="C69" s="143"/>
      <c r="D69" s="143"/>
      <c r="E69" s="143"/>
      <c r="F69" s="143"/>
      <c r="I69" s="60"/>
    </row>
    <row r="70" spans="1:11" ht="26.25" customHeight="1">
      <c r="A70" s="116" t="str">
        <f>IF(alt1SiteAccessibility&lt;&gt;"","Based on the 'Planned Remedial or Removal Actions' Worksheet, this alternative will lead to '"&amp;alt1SiteAccessibility&amp;"'.","Please enter site accessibility information in the 'Planned Remedial or Removal Actions' Worksheet to continue.")</f>
        <v>Please enter site accessibility information in the 'Planned Remedial or Removal Actions' Worksheet to continue.</v>
      </c>
      <c r="B70" s="116"/>
      <c r="C70" s="116"/>
      <c r="D70" s="116"/>
      <c r="E70" s="116"/>
      <c r="F70" s="116"/>
      <c r="G70" s="11"/>
      <c r="I70" s="60"/>
      <c r="K70" s="19">
        <f>IF(alt1SiteAccessibility&lt;&gt;"",alt1SiteAccessibility,"")</f>
      </c>
    </row>
    <row r="71" spans="1:9" ht="13.5">
      <c r="A71" s="9" t="s">
        <v>56</v>
      </c>
      <c r="B71" s="12"/>
      <c r="C71" s="12"/>
      <c r="D71" s="12"/>
      <c r="E71" s="12"/>
      <c r="F71" s="12"/>
      <c r="G71" s="12">
        <f>IF(ISNA(VLOOKUP(alt1SiteAccessibility,$A$51:$F$54,4,FALSE)),"",VLOOKUP(alt1SiteAccessibility,$A$51:$F$54,4,FALSE))</f>
      </c>
      <c r="I71" s="60"/>
    </row>
    <row r="72" spans="1:9" ht="13.5">
      <c r="A72" s="9" t="s">
        <v>258</v>
      </c>
      <c r="B72" s="12"/>
      <c r="C72" s="12"/>
      <c r="D72" s="12"/>
      <c r="E72" s="12"/>
      <c r="F72" s="12"/>
      <c r="G72" s="12">
        <f>IF(ISNA(VLOOKUP(alt1SiteAccessibility,$A$51:$F$54,5,FALSE)),"",VLOOKUP(alt1SiteAccessibility,$A$51:$F$54,5,FALSE))</f>
      </c>
      <c r="I72" s="60"/>
    </row>
    <row r="73" spans="1:9" ht="13.5">
      <c r="A73" s="9" t="s">
        <v>259</v>
      </c>
      <c r="B73" s="12"/>
      <c r="C73" s="12"/>
      <c r="D73" s="12"/>
      <c r="E73" s="12"/>
      <c r="F73" s="12"/>
      <c r="G73" s="12">
        <f>IF(ISNA(VLOOKUP(alt1SiteAccessibility,$A$51:$F$54,6,FALSE)),"",VLOOKUP(alt1SiteAccessibility,$A$51:$F$54,6,FALSE))</f>
      </c>
      <c r="I73" s="60"/>
    </row>
    <row r="74" spans="1:9" ht="30.75" customHeight="1">
      <c r="A74" s="143" t="str">
        <f>"Response Alternative No. 2: "&amp;Alt2Title</f>
        <v>Response Alternative No. 2: </v>
      </c>
      <c r="B74" s="143"/>
      <c r="C74" s="143"/>
      <c r="D74" s="143"/>
      <c r="E74" s="143"/>
      <c r="F74" s="143"/>
      <c r="I74" s="60"/>
    </row>
    <row r="75" spans="1:11" ht="26.25" customHeight="1">
      <c r="A75" s="116" t="str">
        <f>IF(alt2SiteAccessibility&lt;&gt;"","Based on the 'Planned Remedial or Removal Actions' Worksheet, this alternative will lead to '"&amp;alt2SiteAccessibility&amp;"'.","Please enter site accessibility information in the 'Planned Remedial or Removal Actions' Worksheet to continue.")</f>
        <v>Please enter site accessibility information in the 'Planned Remedial or Removal Actions' Worksheet to continue.</v>
      </c>
      <c r="B75" s="116"/>
      <c r="C75" s="116"/>
      <c r="D75" s="116"/>
      <c r="E75" s="116"/>
      <c r="F75" s="116"/>
      <c r="G75" s="11"/>
      <c r="I75" s="60"/>
      <c r="K75" s="19">
        <f>IF(alt2SiteAccessibility&lt;&gt;"",alt2SiteAccessibility,"")</f>
      </c>
    </row>
    <row r="76" spans="1:9" ht="13.5">
      <c r="A76" s="9" t="s">
        <v>56</v>
      </c>
      <c r="B76" s="12"/>
      <c r="C76" s="12"/>
      <c r="D76" s="12"/>
      <c r="E76" s="12"/>
      <c r="F76" s="12"/>
      <c r="G76" s="12">
        <f>IF(ISNA(VLOOKUP(alt2SiteAccessibility,$A$51:$F$54,4,FALSE)),"",VLOOKUP(alt2SiteAccessibility,$A$51:$F$54,4,FALSE))</f>
      </c>
      <c r="I76" s="60"/>
    </row>
    <row r="77" spans="1:9" ht="13.5">
      <c r="A77" s="9" t="s">
        <v>258</v>
      </c>
      <c r="B77" s="12"/>
      <c r="C77" s="12"/>
      <c r="D77" s="12"/>
      <c r="E77" s="12"/>
      <c r="F77" s="12"/>
      <c r="G77" s="12">
        <f>IF(ISNA(VLOOKUP(alt2SiteAccessibility,$A$51:$F$54,5,FALSE)),"",VLOOKUP(alt2SiteAccessibility,$A$51:$F$54,5,FALSE))</f>
      </c>
      <c r="I77" s="60"/>
    </row>
    <row r="78" spans="1:9" ht="13.5">
      <c r="A78" s="9" t="s">
        <v>259</v>
      </c>
      <c r="B78" s="12"/>
      <c r="C78" s="12"/>
      <c r="D78" s="12"/>
      <c r="E78" s="12"/>
      <c r="F78" s="12"/>
      <c r="G78" s="12">
        <f>IF(ISNA(VLOOKUP(alt2SiteAccessibility,$A$51:$F$54,6,FALSE)),"",VLOOKUP(alt2SiteAccessibility,$A$51:$F$54,6,FALSE))</f>
      </c>
      <c r="I78" s="60"/>
    </row>
    <row r="79" spans="1:9" ht="30" customHeight="1">
      <c r="A79" s="143" t="str">
        <f>"Response Alternative No. 3: "&amp;Alt3Title</f>
        <v>Response Alternative No. 3: </v>
      </c>
      <c r="B79" s="143"/>
      <c r="C79" s="143"/>
      <c r="D79" s="143"/>
      <c r="E79" s="143"/>
      <c r="F79" s="143"/>
      <c r="I79" s="60"/>
    </row>
    <row r="80" spans="1:11" ht="26.25" customHeight="1">
      <c r="A80" s="116" t="str">
        <f>IF(alt3SiteAccessibility&lt;&gt;"","Based on the 'Planned Remedial or Removal Actions' Worksheet, this alternative will lead to '"&amp;alt3SiteAccessibility&amp;"'.","Please enter site accessibility information in the 'Planned Remedial or Removal Actions' Worksheet to continue.")</f>
        <v>Please enter site accessibility information in the 'Planned Remedial or Removal Actions' Worksheet to continue.</v>
      </c>
      <c r="B80" s="116"/>
      <c r="C80" s="116"/>
      <c r="D80" s="116"/>
      <c r="E80" s="116"/>
      <c r="F80" s="116"/>
      <c r="G80" s="11"/>
      <c r="I80" s="60"/>
      <c r="K80" s="19">
        <f>IF(alt3SiteAccessibility&lt;&gt;"",alt3SiteAccessibility,"")</f>
      </c>
    </row>
    <row r="81" spans="1:9" ht="13.5">
      <c r="A81" s="9" t="s">
        <v>56</v>
      </c>
      <c r="B81" s="12"/>
      <c r="C81" s="12"/>
      <c r="D81" s="12"/>
      <c r="E81" s="12"/>
      <c r="F81" s="12"/>
      <c r="G81" s="12">
        <f>IF(ISNA(VLOOKUP(alt3SiteAccessibility,$A$51:$F$54,4,FALSE)),"",VLOOKUP(alt3SiteAccessibility,$A$51:$F$54,4,FALSE))</f>
      </c>
      <c r="I81" s="60"/>
    </row>
    <row r="82" spans="1:9" ht="13.5">
      <c r="A82" s="9" t="s">
        <v>258</v>
      </c>
      <c r="B82" s="12"/>
      <c r="C82" s="12"/>
      <c r="D82" s="12"/>
      <c r="E82" s="12"/>
      <c r="F82" s="12"/>
      <c r="G82" s="12">
        <f>IF(ISNA(VLOOKUP(alt3SiteAccessibility,$A$51:$F$54,5,FALSE)),"",VLOOKUP(alt3SiteAccessibility,$A$51:$F$54,5,FALSE))</f>
      </c>
      <c r="I82" s="60"/>
    </row>
    <row r="83" spans="1:9" ht="13.5">
      <c r="A83" s="9" t="s">
        <v>259</v>
      </c>
      <c r="B83" s="12"/>
      <c r="C83" s="12"/>
      <c r="D83" s="12"/>
      <c r="E83" s="12"/>
      <c r="F83" s="12"/>
      <c r="G83" s="12">
        <f>IF(ISNA(VLOOKUP(alt3SiteAccessibility,$A$51:$F$54,6,FALSE)),"",VLOOKUP(alt3SiteAccessibility,$A$51:$F$54,6,FALSE))</f>
      </c>
      <c r="I83" s="60"/>
    </row>
    <row r="84" spans="1:9" ht="30" customHeight="1">
      <c r="A84" s="143" t="str">
        <f>"Response Alternative No. 4: "&amp;Alt4Title</f>
        <v>Response Alternative No. 4: </v>
      </c>
      <c r="B84" s="143"/>
      <c r="C84" s="143"/>
      <c r="D84" s="143"/>
      <c r="E84" s="143"/>
      <c r="F84" s="143"/>
      <c r="I84" s="60"/>
    </row>
    <row r="85" spans="1:11" ht="26.25" customHeight="1">
      <c r="A85" s="116" t="str">
        <f>IF(alt4SiteAccessibility&lt;&gt;"","Based on the 'Planned Remedial or Removal Actions' Worksheet, this alternative will lead to '"&amp;alt4SiteAccessibility&amp;"'.","Please enter site accessibility information in the 'Planned Remedial or Removal Actions' Worksheet to continue.")</f>
        <v>Please enter site accessibility information in the 'Planned Remedial or Removal Actions' Worksheet to continue.</v>
      </c>
      <c r="B85" s="116"/>
      <c r="C85" s="116"/>
      <c r="D85" s="116"/>
      <c r="E85" s="116"/>
      <c r="F85" s="116"/>
      <c r="G85" s="11"/>
      <c r="I85" s="60"/>
      <c r="K85" s="19">
        <f>IF(alt4SiteAccessibility&lt;&gt;"",alt4SiteAccessibility,"")</f>
      </c>
    </row>
    <row r="86" spans="1:9" ht="13.5">
      <c r="A86" s="9" t="s">
        <v>56</v>
      </c>
      <c r="B86" s="12"/>
      <c r="C86" s="12"/>
      <c r="D86" s="12"/>
      <c r="E86" s="12"/>
      <c r="F86" s="12"/>
      <c r="G86" s="12">
        <f>IF(ISNA(VLOOKUP(alt4SiteAccessibility,$A$51:$F$54,4,FALSE)),"",VLOOKUP(alt4SiteAccessibility,$A$51:$F$54,4,FALSE))</f>
      </c>
      <c r="I86" s="60"/>
    </row>
    <row r="87" spans="1:9" ht="13.5">
      <c r="A87" s="9" t="s">
        <v>258</v>
      </c>
      <c r="B87" s="12"/>
      <c r="C87" s="12"/>
      <c r="D87" s="12"/>
      <c r="E87" s="12"/>
      <c r="F87" s="12"/>
      <c r="G87" s="12">
        <f>IF(ISNA(VLOOKUP(alt4SiteAccessibility,$A$51:$F$54,5,FALSE)),"",VLOOKUP(alt4SiteAccessibility,$A$51:$F$54,5,FALSE))</f>
      </c>
      <c r="I87" s="60"/>
    </row>
    <row r="88" spans="1:9" ht="13.5">
      <c r="A88" s="9" t="s">
        <v>259</v>
      </c>
      <c r="B88" s="12"/>
      <c r="C88" s="12"/>
      <c r="D88" s="12"/>
      <c r="E88" s="12"/>
      <c r="F88" s="12"/>
      <c r="G88" s="12">
        <f>IF(ISNA(VLOOKUP(alt4SiteAccessibility,$A$51:$F$54,6,FALSE)),"",VLOOKUP(alt4SiteAccessibility,$A$51:$F$54,6,FALSE))</f>
      </c>
      <c r="I88" s="60"/>
    </row>
    <row r="89" spans="1:9" ht="30" customHeight="1">
      <c r="A89" s="143" t="str">
        <f>"Response Alternative No. 5: "&amp;Alt5Title</f>
        <v>Response Alternative No. 5: </v>
      </c>
      <c r="B89" s="143"/>
      <c r="C89" s="143"/>
      <c r="D89" s="143"/>
      <c r="E89" s="143"/>
      <c r="F89" s="143"/>
      <c r="I89" s="60"/>
    </row>
    <row r="90" spans="1:11" ht="26.25" customHeight="1">
      <c r="A90" s="116" t="str">
        <f>IF(alt5SiteAccessibility&lt;&gt;"","Based on the 'Planned Remedial or Removal Actions' Worksheet, this alternative will lead to '"&amp;alt5SiteAccessibility&amp;"'.","Please enter site accessibility information in the 'Planned Remedial or Removal Actions' Worksheet to continue.")</f>
        <v>Please enter site accessibility information in the 'Planned Remedial or Removal Actions' Worksheet to continue.</v>
      </c>
      <c r="B90" s="116"/>
      <c r="C90" s="116"/>
      <c r="D90" s="116"/>
      <c r="E90" s="116"/>
      <c r="F90" s="116"/>
      <c r="G90" s="11"/>
      <c r="I90" s="60"/>
      <c r="K90" s="19">
        <f>IF(alt5SiteAccessibility&lt;&gt;"",alt5SiteAccessibility,"")</f>
      </c>
    </row>
    <row r="91" spans="1:9" ht="13.5">
      <c r="A91" s="9" t="s">
        <v>56</v>
      </c>
      <c r="B91" s="12"/>
      <c r="C91" s="12"/>
      <c r="D91" s="12"/>
      <c r="E91" s="12"/>
      <c r="F91" s="12"/>
      <c r="G91" s="12">
        <f>IF(ISNA(VLOOKUP(alt5SiteAccessibility,$A$51:$F$54,4,FALSE)),"",VLOOKUP(alt5SiteAccessibility,$A$51:$F$54,4,FALSE))</f>
      </c>
      <c r="I91" s="60"/>
    </row>
    <row r="92" spans="1:9" ht="13.5">
      <c r="A92" s="9" t="s">
        <v>258</v>
      </c>
      <c r="B92" s="12"/>
      <c r="C92" s="12"/>
      <c r="D92" s="12"/>
      <c r="E92" s="12"/>
      <c r="F92" s="12"/>
      <c r="G92" s="12">
        <f>IF(ISNA(VLOOKUP(alt5SiteAccessibility,$A$51:$F$54,5,FALSE)),"",VLOOKUP(alt5SiteAccessibility,$A$51:$F$54,5,FALSE))</f>
      </c>
      <c r="I92" s="60"/>
    </row>
    <row r="93" spans="1:9" ht="13.5">
      <c r="A93" s="9" t="s">
        <v>259</v>
      </c>
      <c r="B93" s="12"/>
      <c r="C93" s="12"/>
      <c r="D93" s="12"/>
      <c r="E93" s="12"/>
      <c r="F93" s="12"/>
      <c r="G93" s="12">
        <f>IF(ISNA(VLOOKUP(alt5SiteAccessibility,$A$51:$F$54,6,FALSE)),"",VLOOKUP(alt5SiteAccessibility,$A$51:$F$54,6,FALSE))</f>
      </c>
      <c r="I93" s="60"/>
    </row>
    <row r="94" spans="1:9" ht="30.75" customHeight="1">
      <c r="A94" s="143" t="str">
        <f>"Response Alternative No. 6: "&amp;Alt6Title</f>
        <v>Response Alternative No. 6: </v>
      </c>
      <c r="B94" s="143"/>
      <c r="C94" s="143"/>
      <c r="D94" s="143"/>
      <c r="E94" s="143"/>
      <c r="F94" s="143"/>
      <c r="I94" s="60"/>
    </row>
    <row r="95" spans="1:11" ht="26.25" customHeight="1">
      <c r="A95" s="116" t="str">
        <f>IF(alt6SiteAccessibility&lt;&gt;"","Based on the 'Planned Remedial or Removal Actions' Worksheet, this alternative will lead to '"&amp;alt6SiteAccessibility&amp;"'.","Please enter site accessibility information in the 'Planned Remedial or Removal Actions' Worksheet to continue.")</f>
        <v>Please enter site accessibility information in the 'Planned Remedial or Removal Actions' Worksheet to continue.</v>
      </c>
      <c r="B95" s="116"/>
      <c r="C95" s="116"/>
      <c r="D95" s="116"/>
      <c r="E95" s="116"/>
      <c r="F95" s="116"/>
      <c r="G95" s="11"/>
      <c r="I95" s="60"/>
      <c r="K95" s="19">
        <f>IF(alt6SiteAccessibility&lt;&gt;"",alt6SiteAccessibility,"")</f>
      </c>
    </row>
    <row r="96" spans="1:9" ht="13.5">
      <c r="A96" s="9" t="s">
        <v>56</v>
      </c>
      <c r="B96" s="12"/>
      <c r="C96" s="12"/>
      <c r="D96" s="12"/>
      <c r="E96" s="12"/>
      <c r="F96" s="12"/>
      <c r="G96" s="12">
        <f>IF(ISNA(VLOOKUP(alt6SiteAccessibility,$A$51:$F$54,4,FALSE)),"",VLOOKUP(alt6SiteAccessibility,$A$51:$F$54,4,FALSE))</f>
      </c>
      <c r="I96" s="60"/>
    </row>
    <row r="97" spans="1:9" ht="13.5">
      <c r="A97" s="9" t="s">
        <v>258</v>
      </c>
      <c r="B97" s="12"/>
      <c r="C97" s="12"/>
      <c r="D97" s="12"/>
      <c r="E97" s="12"/>
      <c r="F97" s="12"/>
      <c r="G97" s="12">
        <f>IF(ISNA(VLOOKUP(alt6SiteAccessibility,$A$51:$F$54,5,FALSE)),"",VLOOKUP(alt6SiteAccessibility,$A$51:$F$54,5,FALSE))</f>
      </c>
      <c r="I97" s="60"/>
    </row>
    <row r="98" spans="1:9" ht="13.5">
      <c r="A98" s="9" t="s">
        <v>259</v>
      </c>
      <c r="B98" s="12"/>
      <c r="C98" s="12"/>
      <c r="D98" s="12"/>
      <c r="E98" s="12"/>
      <c r="F98" s="12"/>
      <c r="G98" s="12">
        <f>IF(ISNA(VLOOKUP(alt6SiteAccessibility,$A$51:$F$54,6,FALSE)),"",VLOOKUP(alt6SiteAccessibility,$A$51:$F$54,6,FALSE))</f>
      </c>
      <c r="I98" s="60"/>
    </row>
    <row r="99" ht="13.5">
      <c r="I99" s="60"/>
    </row>
    <row r="100" spans="1:9" ht="17.25" customHeight="1">
      <c r="A100" s="17" t="s">
        <v>276</v>
      </c>
      <c r="B100" s="17"/>
      <c r="C100" s="17"/>
      <c r="D100" s="17"/>
      <c r="E100" s="17"/>
      <c r="F100" s="17"/>
      <c r="I100" s="60"/>
    </row>
    <row r="101" spans="1:9" ht="26.25" customHeight="1">
      <c r="A101" s="129" t="s">
        <v>126</v>
      </c>
      <c r="B101" s="129"/>
      <c r="C101" s="129"/>
      <c r="D101" s="129"/>
      <c r="E101" s="129"/>
      <c r="F101" s="129"/>
      <c r="I101" s="60"/>
    </row>
    <row r="102" spans="2:9" ht="26.25">
      <c r="B102" s="139" t="s">
        <v>102</v>
      </c>
      <c r="C102" s="139"/>
      <c r="D102" s="6" t="s">
        <v>81</v>
      </c>
      <c r="E102" s="6" t="s">
        <v>256</v>
      </c>
      <c r="F102" s="6" t="s">
        <v>257</v>
      </c>
      <c r="I102" s="60"/>
    </row>
    <row r="103" spans="1:9" ht="13.5">
      <c r="A103" s="6" t="s">
        <v>11</v>
      </c>
      <c r="B103" s="139" t="s">
        <v>103</v>
      </c>
      <c r="C103" s="139"/>
      <c r="D103" s="6">
        <v>120</v>
      </c>
      <c r="E103" s="6">
        <v>90</v>
      </c>
      <c r="F103" s="6">
        <v>30</v>
      </c>
      <c r="I103" s="60"/>
    </row>
    <row r="104" spans="1:9" ht="27" customHeight="1">
      <c r="A104" s="6" t="s">
        <v>12</v>
      </c>
      <c r="B104" s="139" t="s">
        <v>193</v>
      </c>
      <c r="C104" s="139"/>
      <c r="D104" s="6">
        <v>70</v>
      </c>
      <c r="E104" s="6">
        <v>50</v>
      </c>
      <c r="F104" s="6">
        <v>20</v>
      </c>
      <c r="I104" s="60"/>
    </row>
    <row r="105" spans="1:9" ht="27" customHeight="1">
      <c r="A105" s="6" t="s">
        <v>13</v>
      </c>
      <c r="B105" s="139" t="s">
        <v>104</v>
      </c>
      <c r="C105" s="139"/>
      <c r="D105" s="6">
        <v>40</v>
      </c>
      <c r="E105" s="6">
        <v>20</v>
      </c>
      <c r="F105" s="6">
        <v>10</v>
      </c>
      <c r="I105" s="60"/>
    </row>
    <row r="106" spans="1:9" ht="13.5">
      <c r="A106" s="6" t="s">
        <v>14</v>
      </c>
      <c r="B106" s="139" t="s">
        <v>105</v>
      </c>
      <c r="C106" s="139"/>
      <c r="D106" s="6">
        <v>15</v>
      </c>
      <c r="E106" s="6">
        <v>10</v>
      </c>
      <c r="F106" s="6">
        <v>5</v>
      </c>
      <c r="I106" s="60"/>
    </row>
    <row r="107" spans="1:9" ht="13.5">
      <c r="A107" s="14"/>
      <c r="B107" s="14"/>
      <c r="C107" s="14"/>
      <c r="D107" s="14"/>
      <c r="E107" s="14"/>
      <c r="F107" s="14"/>
      <c r="I107" s="60"/>
    </row>
    <row r="108" spans="1:9" ht="13.5">
      <c r="A108" s="14"/>
      <c r="B108" s="14"/>
      <c r="C108" s="14"/>
      <c r="D108" s="14"/>
      <c r="E108" s="14"/>
      <c r="F108" s="15"/>
      <c r="I108" s="60"/>
    </row>
    <row r="109" spans="1:9" ht="13.5">
      <c r="A109" s="137" t="s">
        <v>277</v>
      </c>
      <c r="B109" s="137"/>
      <c r="C109" s="137"/>
      <c r="D109" s="137"/>
      <c r="E109" s="137"/>
      <c r="I109" s="60"/>
    </row>
    <row r="110" spans="1:11" ht="39.75" customHeight="1">
      <c r="A110" s="129" t="s">
        <v>278</v>
      </c>
      <c r="B110" s="129"/>
      <c r="C110" s="129"/>
      <c r="D110" s="129"/>
      <c r="E110" s="129"/>
      <c r="F110" s="129"/>
      <c r="G110" s="47">
        <f>nz('Current and Future Activities'!E18)</f>
      </c>
      <c r="H110" s="6" t="s">
        <v>98</v>
      </c>
      <c r="I110" s="60"/>
      <c r="K110" s="28">
        <f>IF(G110="","",IF(G110&gt;=1000000,$B$103,IF(G110&gt;=100000,$B$104,IF(G110&gt;=10000,$B$105,$B$106))))</f>
      </c>
    </row>
    <row r="111" spans="1:9" ht="13.5">
      <c r="A111" s="121" t="s">
        <v>279</v>
      </c>
      <c r="B111" s="121"/>
      <c r="C111" s="121"/>
      <c r="D111" s="121"/>
      <c r="E111" s="121"/>
      <c r="F111" s="121"/>
      <c r="G111" s="12">
        <f>IF(G110="","",IF(G110&gt;=1000000,$D$103,IF(G110&gt;=100000,$D$104,IF(G110&gt;=10000,$D$105,$D$106))))</f>
      </c>
      <c r="H111" s="6" t="s">
        <v>0</v>
      </c>
      <c r="I111" s="60"/>
    </row>
    <row r="112" spans="1:9" ht="13.5">
      <c r="A112" s="137" t="s">
        <v>280</v>
      </c>
      <c r="B112" s="137"/>
      <c r="C112" s="137"/>
      <c r="D112" s="137"/>
      <c r="E112" s="137"/>
      <c r="I112" s="60"/>
    </row>
    <row r="113" spans="1:11" ht="39.75" customHeight="1">
      <c r="A113" s="129" t="s">
        <v>281</v>
      </c>
      <c r="B113" s="129"/>
      <c r="C113" s="129"/>
      <c r="D113" s="129"/>
      <c r="E113" s="129"/>
      <c r="F113" s="129"/>
      <c r="G113" s="47">
        <f>nz('Current and Future Activities'!E38)</f>
      </c>
      <c r="H113" s="6" t="s">
        <v>98</v>
      </c>
      <c r="I113" s="60"/>
      <c r="K113" s="28">
        <f>IF(G113="","",IF(G113&gt;=1000000,$B$103,IF(G113&gt;=100000,$B$104,IF(G113&gt;=10000,$B$105,$B$106))))</f>
      </c>
    </row>
    <row r="114" spans="1:9" ht="13.5">
      <c r="A114" s="121" t="s">
        <v>282</v>
      </c>
      <c r="B114" s="121"/>
      <c r="C114" s="121"/>
      <c r="D114" s="121"/>
      <c r="E114" s="121"/>
      <c r="F114" s="121"/>
      <c r="G114" s="12">
        <f>IF(G113="","",IF(G113&gt;=1000000,$D$103,IF(G113&gt;=100000,$D$104,IF(G113&gt;=10000,$D$105,$D$106))))</f>
      </c>
      <c r="H114" s="6" t="s">
        <v>0</v>
      </c>
      <c r="I114" s="60"/>
    </row>
    <row r="115" spans="1:9" ht="13.5">
      <c r="A115" s="137" t="str">
        <f>"Response Alternative No. 1: "&amp;Alt1Title</f>
        <v>Response Alternative No. 1: </v>
      </c>
      <c r="B115" s="137"/>
      <c r="C115" s="137"/>
      <c r="D115" s="137"/>
      <c r="E115" s="137"/>
      <c r="I115" s="60"/>
    </row>
    <row r="116" spans="1:11" ht="30.75" customHeight="1">
      <c r="A116" s="116" t="str">
        <f>IF(Alt1Change="Yes","Based on the 'Planned Remedial or Removal Actions' Worksheet, land use activities will change if this alternative is implemented.",IF(Alt1Change="No","Based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16" s="116"/>
      <c r="C116" s="116"/>
      <c r="D116" s="116"/>
      <c r="E116" s="116"/>
      <c r="F116" s="116"/>
      <c r="G116" s="12">
        <f>IF(Alt1Change="Yes",alt4ContactTime,IF(Alt1Change="No",IF(G115="Current",'Current and Future Activities'!$E$18,IF(G115="Future",'Current and Future Activities'!$E$38,"")),""))</f>
      </c>
      <c r="H116" s="12"/>
      <c r="I116" s="60"/>
      <c r="J116" s="12"/>
      <c r="K116" s="28"/>
    </row>
    <row r="117" spans="1:11" ht="27" customHeight="1">
      <c r="A117" s="116" t="str">
        <f>"Total Potential Contact Time"&amp;IF(Alt1Change="Yes",", based on the contact time listed for this alternative (see 'Post-Response Land Use' Worksheet)",IF(Alt1Change="No",IF(OR(altCurFut="Current",PlannedFutureUse="No"),",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v>
      </c>
      <c r="B117" s="116"/>
      <c r="C117" s="116"/>
      <c r="D117" s="116"/>
      <c r="E117" s="116"/>
      <c r="F117" s="116"/>
      <c r="G117" s="47">
        <f>IF(Alt1Change="Yes",alt1ContactTime,IF(Alt1Change="No",IF(OR(altCurFut="Current",PlannedFutureUse="No"),'Current and Future Activities'!$E$18,IF(altCurFut="Future",'Current and Future Activities'!$E$38,"")),""))</f>
      </c>
      <c r="H117" s="12"/>
      <c r="I117" s="60"/>
      <c r="J117" s="12"/>
      <c r="K117" s="28" t="e">
        <f>IF(G117="",NA(),IF(G117&gt;=1000000,$B$103,IF(G117&gt;=100000,$B$104,IF(G117&gt;=10000,$B$105,$B$106))))</f>
        <v>#N/A</v>
      </c>
    </row>
    <row r="118" spans="1:9" ht="13.5">
      <c r="A118" s="129" t="s">
        <v>283</v>
      </c>
      <c r="B118" s="129"/>
      <c r="C118" s="129"/>
      <c r="D118" s="129"/>
      <c r="E118" s="129"/>
      <c r="F118" s="129"/>
      <c r="G118" s="11" t="s">
        <v>0</v>
      </c>
      <c r="I118" s="60"/>
    </row>
    <row r="119" spans="1:9" ht="13.5">
      <c r="A119" s="9" t="s">
        <v>56</v>
      </c>
      <c r="B119" s="15"/>
      <c r="C119" s="15"/>
      <c r="D119" s="15"/>
      <c r="E119" s="15"/>
      <c r="G119" s="12">
        <f>IF(ISNA(VLOOKUP(K117,$B$103:$F$106,3,FALSE)),"",VLOOKUP(K117,$B$103:$F$106,3,FALSE))</f>
      </c>
      <c r="I119" s="60"/>
    </row>
    <row r="120" spans="1:9" ht="13.5">
      <c r="A120" s="9" t="s">
        <v>258</v>
      </c>
      <c r="B120" s="15"/>
      <c r="C120" s="15"/>
      <c r="D120" s="15"/>
      <c r="E120" s="15"/>
      <c r="G120" s="12">
        <f>IF(ISNA(VLOOKUP(K117,$B$103:$F$106,4,FALSE)),"",VLOOKUP(K117,$B$103:$F$106,4,FALSE))</f>
      </c>
      <c r="I120" s="60"/>
    </row>
    <row r="121" spans="1:9" ht="13.5">
      <c r="A121" s="9" t="s">
        <v>259</v>
      </c>
      <c r="B121" s="15"/>
      <c r="C121" s="15"/>
      <c r="D121" s="15"/>
      <c r="E121" s="15"/>
      <c r="G121" s="12">
        <f>IF(ISNA(VLOOKUP(K117,$B$103:$F$106,5,FALSE)),"",VLOOKUP(K117,$B$103:$F$106,5,FALSE))</f>
      </c>
      <c r="I121" s="60"/>
    </row>
    <row r="122" spans="1:9" ht="13.5">
      <c r="A122" s="137" t="str">
        <f>"Response Alternative No. 2: "&amp;Alt2Title</f>
        <v>Response Alternative No. 2: </v>
      </c>
      <c r="B122" s="137"/>
      <c r="C122" s="137"/>
      <c r="D122" s="137"/>
      <c r="E122" s="137"/>
      <c r="I122" s="60"/>
    </row>
    <row r="123" spans="1:11" ht="30.75" customHeight="1">
      <c r="A123" s="116" t="str">
        <f>IF(Alt2Change="Yes","Based on the 'Planned Remedial or Removal Actions' Worksheet, land use activities will change if this alternative is implemented.",IF(Alt2Change="No","Based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23" s="116"/>
      <c r="C123" s="116"/>
      <c r="D123" s="116"/>
      <c r="E123" s="116"/>
      <c r="F123" s="116"/>
      <c r="G123" s="47"/>
      <c r="H123" s="12"/>
      <c r="I123" s="60"/>
      <c r="J123" s="12"/>
      <c r="K123" s="28"/>
    </row>
    <row r="124" spans="1:11" ht="27" customHeight="1">
      <c r="A124" s="116" t="str">
        <f>"Total Potential Contact Time"&amp;IF(Alt2Change="Yes",", based on the contact time listed for this alternative (see 'Post-Response Land Use' Worksheet)",IF(Alt2Change="No",IF(OR(altCurFut="Current",PlannedFutureUse="No"),",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v>
      </c>
      <c r="B124" s="116"/>
      <c r="C124" s="116"/>
      <c r="D124" s="116"/>
      <c r="E124" s="116"/>
      <c r="F124" s="116"/>
      <c r="G124" s="47">
        <f>IF(Alt2Change="Yes",alt2ContactTime,IF(Alt2Change="No",IF(OR(altCurFut="Current",PlannedFutureUse="No"),'Current and Future Activities'!$E$18,IF(altCurFut="Future",'Current and Future Activities'!$E$38,"")),""))</f>
      </c>
      <c r="H124" s="12"/>
      <c r="I124" s="60"/>
      <c r="J124" s="12"/>
      <c r="K124" s="28" t="e">
        <f>IF(G124="",NA(),IF(G124&gt;=1000000,$B$103,IF(G124&gt;=100000,$B$104,IF(G124&gt;=10000,$B$105,$B$106))))</f>
        <v>#N/A</v>
      </c>
    </row>
    <row r="125" spans="1:9" ht="13.5">
      <c r="A125" s="129" t="s">
        <v>283</v>
      </c>
      <c r="B125" s="129"/>
      <c r="C125" s="129"/>
      <c r="D125" s="129"/>
      <c r="E125" s="129"/>
      <c r="F125" s="129"/>
      <c r="G125" s="11" t="s">
        <v>0</v>
      </c>
      <c r="I125" s="60"/>
    </row>
    <row r="126" spans="1:9" ht="13.5">
      <c r="A126" s="9" t="s">
        <v>56</v>
      </c>
      <c r="B126" s="15"/>
      <c r="C126" s="15"/>
      <c r="D126" s="15"/>
      <c r="E126" s="15"/>
      <c r="G126" s="12">
        <f>IF(ISNA(VLOOKUP(K124,$B$103:$F$106,3,FALSE)),"",VLOOKUP(K124,$B$103:$F$106,3,FALSE))</f>
      </c>
      <c r="I126" s="60"/>
    </row>
    <row r="127" spans="1:9" ht="13.5">
      <c r="A127" s="9" t="s">
        <v>258</v>
      </c>
      <c r="B127" s="15"/>
      <c r="C127" s="15"/>
      <c r="D127" s="15"/>
      <c r="E127" s="15"/>
      <c r="G127" s="12">
        <f>IF(ISNA(VLOOKUP(K124,$B$103:$F$106,4,FALSE)),"",VLOOKUP(K124,$B$103:$F$106,4,FALSE))</f>
      </c>
      <c r="I127" s="60"/>
    </row>
    <row r="128" spans="1:9" ht="13.5">
      <c r="A128" s="9" t="s">
        <v>259</v>
      </c>
      <c r="B128" s="15"/>
      <c r="C128" s="15"/>
      <c r="D128" s="15"/>
      <c r="E128" s="15"/>
      <c r="G128" s="12">
        <f>IF(ISNA(VLOOKUP(K124,$B$103:$F$106,5,FALSE)),"",VLOOKUP(K124,$B$103:$F$106,5,FALSE))</f>
      </c>
      <c r="I128" s="60"/>
    </row>
    <row r="129" spans="1:9" ht="13.5">
      <c r="A129" s="137" t="str">
        <f>"Response Alternative No. 3: "&amp;Alt3Title</f>
        <v>Response Alternative No. 3: </v>
      </c>
      <c r="B129" s="137"/>
      <c r="C129" s="137"/>
      <c r="D129" s="137"/>
      <c r="E129" s="137"/>
      <c r="I129" s="60"/>
    </row>
    <row r="130" spans="1:11" ht="30.75" customHeight="1">
      <c r="A130" s="116" t="str">
        <f>IF(Alt3Change="Yes","Based on the 'Planned Remedial or Removal Actions' Worksheet, land use activities will change if this alternative is implemented.",IF(Alt3Change="No","Based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30" s="116"/>
      <c r="C130" s="116"/>
      <c r="D130" s="116"/>
      <c r="E130" s="116"/>
      <c r="F130" s="116"/>
      <c r="G130" s="47"/>
      <c r="H130" s="12"/>
      <c r="I130" s="60"/>
      <c r="J130" s="12"/>
      <c r="K130" s="28"/>
    </row>
    <row r="131" spans="1:11" ht="27" customHeight="1">
      <c r="A131" s="116" t="str">
        <f>"Total Potential Contact Time"&amp;IF(Alt3Change="Yes",", based on the contact time listed for this alternative (see 'Post-Response Land Use' Worksheet)",IF(Alt3Change="No",IF(OR(altCurFut="Current",PlannedFutureUse="No"),",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v>
      </c>
      <c r="B131" s="116"/>
      <c r="C131" s="116"/>
      <c r="D131" s="116"/>
      <c r="E131" s="116"/>
      <c r="F131" s="116"/>
      <c r="G131" s="47">
        <f>IF(Alt3Change="Yes",alt3ContactTime,IF(Alt3Change="No",IF(OR(altCurFut="Current",PlannedFutureUse="No"),'Current and Future Activities'!$E$18,IF(altCurFut="Future",'Current and Future Activities'!$E$38,"")),""))</f>
      </c>
      <c r="H131" s="12"/>
      <c r="I131" s="60"/>
      <c r="J131" s="12"/>
      <c r="K131" s="28" t="e">
        <f>IF(G131="",NA(),IF(G131&gt;=1000000,$B$103,IF(G131&gt;=100000,$B$104,IF(G131&gt;=10000,$B$105,$B$106))))</f>
        <v>#N/A</v>
      </c>
    </row>
    <row r="132" spans="1:9" ht="13.5">
      <c r="A132" s="129" t="s">
        <v>283</v>
      </c>
      <c r="B132" s="129"/>
      <c r="C132" s="129"/>
      <c r="D132" s="129"/>
      <c r="E132" s="129"/>
      <c r="F132" s="129"/>
      <c r="G132" s="11" t="s">
        <v>0</v>
      </c>
      <c r="I132" s="60"/>
    </row>
    <row r="133" spans="1:9" ht="13.5">
      <c r="A133" s="9" t="s">
        <v>56</v>
      </c>
      <c r="B133" s="15"/>
      <c r="C133" s="15"/>
      <c r="D133" s="15"/>
      <c r="E133" s="15"/>
      <c r="G133" s="12">
        <f>IF(ISNA(VLOOKUP(K131,$B$103:$F$106,3,FALSE)),"",VLOOKUP(K131,$B$103:$F$106,3,FALSE))</f>
      </c>
      <c r="I133" s="60"/>
    </row>
    <row r="134" spans="1:9" ht="13.5">
      <c r="A134" s="9" t="s">
        <v>258</v>
      </c>
      <c r="B134" s="15"/>
      <c r="C134" s="15"/>
      <c r="D134" s="15"/>
      <c r="E134" s="15"/>
      <c r="G134" s="12">
        <f>IF(ISNA(VLOOKUP(K131,$B$103:$F$106,4,FALSE)),"",VLOOKUP(K131,$B$103:$F$106,4,FALSE))</f>
      </c>
      <c r="I134" s="60"/>
    </row>
    <row r="135" spans="1:9" ht="13.5">
      <c r="A135" s="9" t="s">
        <v>259</v>
      </c>
      <c r="B135" s="15"/>
      <c r="C135" s="15"/>
      <c r="D135" s="15"/>
      <c r="E135" s="15"/>
      <c r="G135" s="12">
        <f>IF(ISNA(VLOOKUP(K131,$B$103:$F$106,5,FALSE)),"",VLOOKUP(K131,$B$103:$F$106,5,FALSE))</f>
      </c>
      <c r="I135" s="60"/>
    </row>
    <row r="136" spans="1:9" ht="13.5">
      <c r="A136" s="137" t="str">
        <f>"Response Alternative No. 4: "&amp;Alt4Title</f>
        <v>Response Alternative No. 4: </v>
      </c>
      <c r="B136" s="137"/>
      <c r="C136" s="137"/>
      <c r="D136" s="137"/>
      <c r="E136" s="137"/>
      <c r="I136" s="60"/>
    </row>
    <row r="137" spans="1:11" ht="30.75" customHeight="1">
      <c r="A137" s="116" t="str">
        <f>IF(Alt4Change="Yes","Based on the 'Planned Remedial or Removal Actions' Worksheet, land use activities will change if this alternative is implemented.",IF(Alt4Change="No","Based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37" s="116"/>
      <c r="C137" s="116"/>
      <c r="D137" s="116"/>
      <c r="E137" s="116"/>
      <c r="F137" s="116"/>
      <c r="G137" s="47"/>
      <c r="H137" s="12"/>
      <c r="I137" s="60"/>
      <c r="J137" s="12"/>
      <c r="K137" s="28"/>
    </row>
    <row r="138" spans="1:11" ht="27" customHeight="1">
      <c r="A138" s="116" t="str">
        <f>"Total Potential Contact Time"&amp;IF(Alt4Change="Yes",", based on the contact time listed for this alternative (see 'Post-Response Land Use' Worksheet)",IF(Alt4Change="No",IF(OR(altCurFut="Current",PlannedFutureUse="No"),",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v>
      </c>
      <c r="B138" s="116"/>
      <c r="C138" s="116"/>
      <c r="D138" s="116"/>
      <c r="E138" s="116"/>
      <c r="F138" s="116"/>
      <c r="G138" s="47">
        <f>IF(Alt4Change="Yes",alt4ContactTime,IF(Alt4Change="No",IF(OR(altCurFut="Current",PlannedFutureUse="No"),'Current and Future Activities'!$E$18,IF(altCurFut="Future",'Current and Future Activities'!$E$38,"")),""))</f>
      </c>
      <c r="H138" s="12"/>
      <c r="I138" s="60"/>
      <c r="J138" s="12"/>
      <c r="K138" s="28" t="e">
        <f>IF(G138="",NA(),IF(G138&gt;=1000000,$B$103,IF(G138&gt;=100000,$B$104,IF(G138&gt;=10000,$B$105,$B$106))))</f>
        <v>#N/A</v>
      </c>
    </row>
    <row r="139" spans="1:9" ht="13.5">
      <c r="A139" s="129" t="s">
        <v>283</v>
      </c>
      <c r="B139" s="129"/>
      <c r="C139" s="129"/>
      <c r="D139" s="129"/>
      <c r="E139" s="129"/>
      <c r="F139" s="129"/>
      <c r="G139" s="11" t="s">
        <v>0</v>
      </c>
      <c r="I139" s="60"/>
    </row>
    <row r="140" spans="1:9" ht="13.5">
      <c r="A140" s="9" t="s">
        <v>56</v>
      </c>
      <c r="B140" s="15"/>
      <c r="C140" s="15"/>
      <c r="D140" s="15"/>
      <c r="E140" s="15"/>
      <c r="G140" s="12">
        <f>IF(ISNA(VLOOKUP(K138,$B$103:$F$106,3,FALSE)),"",VLOOKUP(K138,$B$103:$F$106,3,FALSE))</f>
      </c>
      <c r="I140" s="60"/>
    </row>
    <row r="141" spans="1:9" ht="13.5">
      <c r="A141" s="9" t="s">
        <v>258</v>
      </c>
      <c r="B141" s="15"/>
      <c r="C141" s="15"/>
      <c r="D141" s="15"/>
      <c r="E141" s="15"/>
      <c r="G141" s="12">
        <f>IF(ISNA(VLOOKUP(K138,$B$103:$F$106,4,FALSE)),"",VLOOKUP(K138,$B$103:$F$106,4,FALSE))</f>
      </c>
      <c r="I141" s="60"/>
    </row>
    <row r="142" spans="1:9" ht="13.5">
      <c r="A142" s="9" t="s">
        <v>259</v>
      </c>
      <c r="B142" s="15"/>
      <c r="C142" s="15"/>
      <c r="D142" s="15"/>
      <c r="E142" s="15"/>
      <c r="G142" s="12">
        <f>IF(ISNA(VLOOKUP(K138,$B$103:$F$106,5,FALSE)),"",VLOOKUP(K138,$B$103:$F$106,5,FALSE))</f>
      </c>
      <c r="I142" s="60"/>
    </row>
    <row r="143" spans="1:11" s="29" customFormat="1" ht="13.5">
      <c r="A143" s="137" t="str">
        <f>"Response Alternative No. 5: "&amp;Alt5Title</f>
        <v>Response Alternative No. 5: </v>
      </c>
      <c r="B143" s="137"/>
      <c r="C143" s="137"/>
      <c r="D143" s="137"/>
      <c r="E143" s="137"/>
      <c r="I143" s="63"/>
      <c r="K143" s="55"/>
    </row>
    <row r="144" spans="1:11" ht="30.75" customHeight="1">
      <c r="A144" s="116" t="str">
        <f>IF(Alt5Change="Yes","Based on the 'Planned Remedial or Removal Actions' Worksheet, land use activities will change if this alternative is implemented.",IF(Alt5Change="No","Based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44" s="116"/>
      <c r="C144" s="116"/>
      <c r="D144" s="116"/>
      <c r="E144" s="116"/>
      <c r="F144" s="116"/>
      <c r="G144" s="47"/>
      <c r="H144" s="12"/>
      <c r="I144" s="60"/>
      <c r="J144" s="12"/>
      <c r="K144" s="28"/>
    </row>
    <row r="145" spans="1:11" ht="27" customHeight="1">
      <c r="A145" s="116" t="str">
        <f>"Total Potential Contact Time"&amp;IF(Alt5Change="Yes",", based on the contact time listed for this alternative (see 'Post-Response Land Use' Worksheet)",IF(Alt5Change="No",IF(OR(altCurFut="Current",PlannedFutureUse="No"),",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v>
      </c>
      <c r="B145" s="116"/>
      <c r="C145" s="116"/>
      <c r="D145" s="116"/>
      <c r="E145" s="116"/>
      <c r="F145" s="116"/>
      <c r="G145" s="47">
        <f>IF(Alt5Change="Yes",alt5ContactTime,IF(Alt5Change="No",IF(OR(altCurFut="Current",PlannedFutureUse="No"),'Current and Future Activities'!$E$18,IF(altCurFut="Future",'Current and Future Activities'!$E$38,"")),""))</f>
      </c>
      <c r="H145" s="12"/>
      <c r="I145" s="60"/>
      <c r="J145" s="12"/>
      <c r="K145" s="28" t="e">
        <f>IF(G145="",NA(),IF(G145&gt;=1000000,$B$103,IF(G145&gt;=100000,$B$104,IF(G145&gt;=10000,$B$105,$B$106))))</f>
        <v>#N/A</v>
      </c>
    </row>
    <row r="146" spans="1:9" ht="13.5">
      <c r="A146" s="129" t="s">
        <v>283</v>
      </c>
      <c r="B146" s="129"/>
      <c r="C146" s="129"/>
      <c r="D146" s="129"/>
      <c r="E146" s="129"/>
      <c r="F146" s="129"/>
      <c r="G146" s="10" t="s">
        <v>0</v>
      </c>
      <c r="I146" s="60"/>
    </row>
    <row r="147" spans="1:9" ht="13.5">
      <c r="A147" s="9" t="s">
        <v>56</v>
      </c>
      <c r="B147" s="14"/>
      <c r="C147" s="14"/>
      <c r="D147" s="14"/>
      <c r="E147" s="14"/>
      <c r="G147" s="12">
        <f>IF(ISNA(VLOOKUP(K145,$B$103:$F$106,3,FALSE)),"",VLOOKUP(K145,$B$103:$F$106,3,FALSE))</f>
      </c>
      <c r="I147" s="60"/>
    </row>
    <row r="148" spans="1:9" ht="13.5">
      <c r="A148" s="9" t="s">
        <v>258</v>
      </c>
      <c r="B148" s="14"/>
      <c r="C148" s="14"/>
      <c r="D148" s="14"/>
      <c r="E148" s="14"/>
      <c r="G148" s="12">
        <f>IF(ISNA(VLOOKUP(K145,$B$103:$F$106,4,FALSE)),"",VLOOKUP(K145,$B$103:$F$106,4,FALSE))</f>
      </c>
      <c r="I148" s="60"/>
    </row>
    <row r="149" spans="1:9" ht="13.5">
      <c r="A149" s="9" t="s">
        <v>259</v>
      </c>
      <c r="B149" s="14"/>
      <c r="C149" s="14"/>
      <c r="D149" s="14"/>
      <c r="E149" s="14"/>
      <c r="G149" s="12">
        <f>IF(ISNA(VLOOKUP(K145,$B$103:$F$106,5,FALSE)),"",VLOOKUP(K145,$B$103:$F$106,5,FALSE))</f>
      </c>
      <c r="I149" s="60"/>
    </row>
    <row r="150" spans="1:11" s="29" customFormat="1" ht="13.5">
      <c r="A150" s="137" t="str">
        <f>"Response Alternative No. 6: "&amp;Alt6Title</f>
        <v>Response Alternative No. 6: </v>
      </c>
      <c r="B150" s="137"/>
      <c r="C150" s="137"/>
      <c r="D150" s="137"/>
      <c r="E150" s="137"/>
      <c r="I150" s="63"/>
      <c r="K150" s="55"/>
    </row>
    <row r="151" spans="1:11" ht="30.75" customHeight="1">
      <c r="A151" s="116" t="str">
        <f>IF(Alt6Change="Yes","Based on the 'Planned Remedial or Removal Actions' Worksheet, land use activities will change if this alternative is implemented.",IF(Alt6Change="No","Based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51" s="116"/>
      <c r="C151" s="116"/>
      <c r="D151" s="116"/>
      <c r="E151" s="116"/>
      <c r="F151" s="116"/>
      <c r="G151" s="47"/>
      <c r="H151" s="12"/>
      <c r="I151" s="60"/>
      <c r="J151" s="12"/>
      <c r="K151" s="28"/>
    </row>
    <row r="152" spans="1:11" ht="27" customHeight="1">
      <c r="A152" s="116" t="str">
        <f>"Total Potential Contact Time"&amp;IF(Alt6Change="Yes",", based on the contact time listed for this alternative (see 'Post-Response Land Use' Worksheet)",IF(Alt6Change="No",IF(OR(altCurFut="Current",PlannedFutureUse="No"),",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v>
      </c>
      <c r="B152" s="116"/>
      <c r="C152" s="116"/>
      <c r="D152" s="116"/>
      <c r="E152" s="116"/>
      <c r="F152" s="116"/>
      <c r="G152" s="47">
        <f>IF(Alt6Change="Yes",alt6ContactTime,IF(Alt6Change="No",IF(OR(altCurFut="Current",PlannedFutureUse="No"),'Current and Future Activities'!$E$18,IF(altCurFut="Future",'Current and Future Activities'!$E$38,"")),""))</f>
      </c>
      <c r="H152" s="12"/>
      <c r="I152" s="60"/>
      <c r="J152" s="12"/>
      <c r="K152" s="28" t="e">
        <f>IF(G152="",NA(),IF(G152&gt;=1000000,$B$103,IF(G152&gt;=100000,$B$104,IF(G152&gt;=10000,$B$105,$B$106))))</f>
        <v>#N/A</v>
      </c>
    </row>
    <row r="153" spans="1:9" ht="13.5">
      <c r="A153" s="129" t="s">
        <v>283</v>
      </c>
      <c r="B153" s="129"/>
      <c r="C153" s="129"/>
      <c r="D153" s="129"/>
      <c r="E153" s="129"/>
      <c r="F153" s="129"/>
      <c r="G153" s="10" t="s">
        <v>0</v>
      </c>
      <c r="I153" s="60"/>
    </row>
    <row r="154" spans="1:9" ht="13.5">
      <c r="A154" s="9" t="s">
        <v>56</v>
      </c>
      <c r="B154" s="14"/>
      <c r="C154" s="14"/>
      <c r="D154" s="14"/>
      <c r="E154" s="14"/>
      <c r="G154" s="12">
        <f>IF(ISNA(VLOOKUP(K152,$B$103:$F$106,3,FALSE)),"",VLOOKUP(K152,$B$103:$F$106,3,FALSE))</f>
      </c>
      <c r="I154" s="60"/>
    </row>
    <row r="155" spans="1:9" ht="13.5">
      <c r="A155" s="9" t="s">
        <v>258</v>
      </c>
      <c r="B155" s="14"/>
      <c r="C155" s="14"/>
      <c r="D155" s="14"/>
      <c r="E155" s="14"/>
      <c r="G155" s="12">
        <f>IF(ISNA(VLOOKUP(K152,$B$103:$F$106,4,FALSE)),"",VLOOKUP(K152,$B$103:$F$106,4,FALSE))</f>
      </c>
      <c r="I155" s="60"/>
    </row>
    <row r="156" spans="1:9" ht="13.5">
      <c r="A156" s="9" t="s">
        <v>259</v>
      </c>
      <c r="B156" s="14"/>
      <c r="C156" s="14"/>
      <c r="D156" s="14"/>
      <c r="E156" s="14"/>
      <c r="G156" s="12">
        <f>IF(ISNA(VLOOKUP(K152,$B$103:$F$106,5,FALSE)),"",VLOOKUP(K152,$B$103:$F$106,5,FALSE))</f>
      </c>
      <c r="I156" s="60"/>
    </row>
    <row r="157" spans="1:9" ht="13.5">
      <c r="A157" s="9"/>
      <c r="B157" s="15"/>
      <c r="C157" s="15"/>
      <c r="D157" s="15"/>
      <c r="E157" s="15"/>
      <c r="G157" s="12"/>
      <c r="I157" s="60"/>
    </row>
    <row r="158" ht="13.5">
      <c r="I158" s="60"/>
    </row>
    <row r="159" spans="1:9" ht="19.5" customHeight="1">
      <c r="A159" s="17" t="s">
        <v>284</v>
      </c>
      <c r="B159" s="17"/>
      <c r="C159" s="17"/>
      <c r="D159" s="17"/>
      <c r="E159" s="17"/>
      <c r="F159" s="17"/>
      <c r="I159" s="60"/>
    </row>
    <row r="160" spans="1:9" ht="29.25" customHeight="1">
      <c r="A160" s="129" t="s">
        <v>127</v>
      </c>
      <c r="B160" s="129"/>
      <c r="C160" s="129"/>
      <c r="D160" s="129"/>
      <c r="E160" s="129"/>
      <c r="F160" s="129"/>
      <c r="I160" s="60"/>
    </row>
    <row r="161" spans="2:9" ht="26.25">
      <c r="B161" s="139" t="s">
        <v>102</v>
      </c>
      <c r="C161" s="139"/>
      <c r="D161" s="6" t="s">
        <v>81</v>
      </c>
      <c r="E161" s="6" t="s">
        <v>256</v>
      </c>
      <c r="F161" s="6" t="s">
        <v>257</v>
      </c>
      <c r="I161" s="60"/>
    </row>
    <row r="162" spans="1:9" ht="26.25" customHeight="1">
      <c r="A162" s="111" t="s">
        <v>16</v>
      </c>
      <c r="B162" s="145" t="s">
        <v>108</v>
      </c>
      <c r="C162" s="145"/>
      <c r="D162" s="111">
        <v>180</v>
      </c>
      <c r="E162" s="111">
        <v>120</v>
      </c>
      <c r="F162" s="111">
        <v>30</v>
      </c>
      <c r="I162" s="60"/>
    </row>
    <row r="163" spans="1:9" ht="90.75" customHeight="1">
      <c r="A163" s="111" t="s">
        <v>17</v>
      </c>
      <c r="B163" s="145" t="s">
        <v>253</v>
      </c>
      <c r="C163" s="145"/>
      <c r="D163" s="111">
        <v>180</v>
      </c>
      <c r="E163" s="111">
        <v>110</v>
      </c>
      <c r="F163" s="111">
        <v>30</v>
      </c>
      <c r="I163" s="60"/>
    </row>
    <row r="164" spans="1:9" ht="91.5" customHeight="1">
      <c r="A164" s="111" t="s">
        <v>251</v>
      </c>
      <c r="B164" s="145" t="s">
        <v>263</v>
      </c>
      <c r="C164" s="145"/>
      <c r="D164" s="111">
        <v>165</v>
      </c>
      <c r="E164" s="111">
        <v>90</v>
      </c>
      <c r="F164" s="111">
        <v>25</v>
      </c>
      <c r="I164" s="60"/>
    </row>
    <row r="165" spans="1:9" ht="27.75" customHeight="1">
      <c r="A165" s="111" t="s">
        <v>18</v>
      </c>
      <c r="B165" s="145" t="s">
        <v>109</v>
      </c>
      <c r="C165" s="145"/>
      <c r="D165" s="111">
        <v>140</v>
      </c>
      <c r="E165" s="111">
        <v>140</v>
      </c>
      <c r="F165" s="111">
        <v>10</v>
      </c>
      <c r="I165" s="60"/>
    </row>
    <row r="166" spans="1:9" ht="39.75" customHeight="1">
      <c r="A166" s="111" t="s">
        <v>19</v>
      </c>
      <c r="B166" s="145" t="s">
        <v>110</v>
      </c>
      <c r="C166" s="145"/>
      <c r="D166" s="111">
        <v>115</v>
      </c>
      <c r="E166" s="111">
        <v>15</v>
      </c>
      <c r="F166" s="111">
        <v>5</v>
      </c>
      <c r="I166" s="60"/>
    </row>
    <row r="167" spans="1:9" ht="79.5" customHeight="1">
      <c r="A167" s="111" t="s">
        <v>20</v>
      </c>
      <c r="B167" s="145" t="s">
        <v>225</v>
      </c>
      <c r="C167" s="145"/>
      <c r="D167" s="111">
        <v>75</v>
      </c>
      <c r="E167" s="111">
        <v>10</v>
      </c>
      <c r="F167" s="111">
        <v>5</v>
      </c>
      <c r="I167" s="60"/>
    </row>
    <row r="168" spans="1:9" ht="81.75" customHeight="1">
      <c r="A168" s="111" t="s">
        <v>107</v>
      </c>
      <c r="B168" s="145" t="s">
        <v>111</v>
      </c>
      <c r="C168" s="145"/>
      <c r="D168" s="111">
        <v>30</v>
      </c>
      <c r="E168" s="111">
        <v>10</v>
      </c>
      <c r="F168" s="111">
        <v>5</v>
      </c>
      <c r="I168" s="60"/>
    </row>
    <row r="169" spans="1:9" ht="65.25" customHeight="1">
      <c r="A169" s="111" t="s">
        <v>21</v>
      </c>
      <c r="B169" s="145" t="s">
        <v>112</v>
      </c>
      <c r="C169" s="145"/>
      <c r="D169" s="111">
        <v>25</v>
      </c>
      <c r="E169" s="111">
        <v>10</v>
      </c>
      <c r="F169" s="111">
        <v>5</v>
      </c>
      <c r="I169" s="60"/>
    </row>
    <row r="170" spans="1:9" ht="36.75" customHeight="1">
      <c r="A170" s="111" t="s">
        <v>22</v>
      </c>
      <c r="B170" s="145" t="s">
        <v>226</v>
      </c>
      <c r="C170" s="145"/>
      <c r="D170" s="111">
        <v>20</v>
      </c>
      <c r="E170" s="111">
        <v>10</v>
      </c>
      <c r="F170" s="111">
        <v>5</v>
      </c>
      <c r="I170" s="60"/>
    </row>
    <row r="171" ht="13.5">
      <c r="I171" s="60"/>
    </row>
    <row r="172" spans="1:9" ht="13.5">
      <c r="A172" s="129" t="s">
        <v>285</v>
      </c>
      <c r="B172" s="129"/>
      <c r="C172" s="129"/>
      <c r="D172" s="129"/>
      <c r="E172" s="129"/>
      <c r="F172" s="129"/>
      <c r="G172" s="11" t="s">
        <v>0</v>
      </c>
      <c r="I172" s="60"/>
    </row>
    <row r="173" spans="1:9" ht="13.5">
      <c r="A173" s="140"/>
      <c r="B173" s="141"/>
      <c r="C173" s="141"/>
      <c r="D173" s="141"/>
      <c r="E173" s="141"/>
      <c r="F173" s="142"/>
      <c r="G173" s="11"/>
      <c r="I173" s="60"/>
    </row>
    <row r="174" spans="1:9" ht="13.5">
      <c r="A174" s="9" t="s">
        <v>56</v>
      </c>
      <c r="G174" s="12">
        <f>IF(ISNA(VLOOKUP(A173,$A$162:$F$170,4,FALSE)),"",VLOOKUP(A173,$A$162:$F$170,4,FALSE))</f>
      </c>
      <c r="I174" s="60"/>
    </row>
    <row r="175" spans="1:9" ht="13.5">
      <c r="A175" s="9" t="s">
        <v>258</v>
      </c>
      <c r="G175" s="12">
        <f>IF(ISNA(VLOOKUP(A173,$A$162:$F$170,5,FALSE)),"",VLOOKUP(A173,$A$162:$F$170,5,FALSE))</f>
      </c>
      <c r="I175" s="60"/>
    </row>
    <row r="176" spans="1:9" ht="13.5">
      <c r="A176" s="9" t="s">
        <v>259</v>
      </c>
      <c r="G176" s="12">
        <f>IF(ISNA(VLOOKUP(A173,$A$162:$F$170,6,FALSE)),"",VLOOKUP(A173,$A$162:$F$170,6,FALSE))</f>
      </c>
      <c r="I176" s="60"/>
    </row>
    <row r="177" ht="13.5">
      <c r="I177" s="60"/>
    </row>
    <row r="178" spans="1:9" ht="31.5" customHeight="1">
      <c r="A178" s="135" t="s">
        <v>286</v>
      </c>
      <c r="B178" s="135"/>
      <c r="C178" s="135"/>
      <c r="D178" s="135"/>
      <c r="E178" s="135"/>
      <c r="F178" s="135"/>
      <c r="I178" s="60"/>
    </row>
    <row r="179" spans="1:9" ht="13.5">
      <c r="A179" s="137" t="s">
        <v>272</v>
      </c>
      <c r="B179" s="137"/>
      <c r="C179" s="137"/>
      <c r="D179" s="137"/>
      <c r="E179" s="137"/>
      <c r="F179" s="137"/>
      <c r="I179" s="60"/>
    </row>
    <row r="180" spans="1:9" ht="27" customHeight="1">
      <c r="A180" s="129" t="s">
        <v>287</v>
      </c>
      <c r="B180" s="129"/>
      <c r="C180" s="129"/>
      <c r="D180" s="129"/>
      <c r="E180" s="129"/>
      <c r="F180" s="129"/>
      <c r="G180" s="23">
        <f>IF(COUNTA('Munitions, Bulk Explosive Info'!J$6:J$25)=0,"",MIN('Munitions, Bulk Explosive Info'!J$6:J$25))</f>
      </c>
      <c r="H180" s="6" t="s">
        <v>113</v>
      </c>
      <c r="I180" s="60"/>
    </row>
    <row r="181" spans="1:9" ht="13.5">
      <c r="A181" s="129" t="s">
        <v>288</v>
      </c>
      <c r="B181" s="129"/>
      <c r="C181" s="129"/>
      <c r="D181" s="129"/>
      <c r="E181" s="129"/>
      <c r="F181" s="129"/>
      <c r="G181" s="23">
        <f>IF(COUNTA('Current and Future Activities'!F6:F17)=0,"",MAX('Current and Future Activities'!F6:F17))</f>
      </c>
      <c r="H181" s="6" t="s">
        <v>113</v>
      </c>
      <c r="I181" s="60"/>
    </row>
    <row r="182" spans="1:9" ht="27.75" customHeight="1">
      <c r="A182" s="129" t="s">
        <v>227</v>
      </c>
      <c r="B182" s="129"/>
      <c r="C182" s="129"/>
      <c r="D182" s="129"/>
      <c r="E182" s="129"/>
      <c r="F182" s="129"/>
      <c r="I182" s="60"/>
    </row>
    <row r="183" spans="2:9" ht="26.25">
      <c r="B183" s="139"/>
      <c r="C183" s="139"/>
      <c r="D183" s="6" t="s">
        <v>81</v>
      </c>
      <c r="E183" s="6" t="s">
        <v>256</v>
      </c>
      <c r="F183" s="6" t="s">
        <v>257</v>
      </c>
      <c r="I183" s="60"/>
    </row>
    <row r="184" spans="1:9" ht="39.75" customHeight="1">
      <c r="A184" s="129" t="s">
        <v>299</v>
      </c>
      <c r="B184" s="129"/>
      <c r="C184" s="129"/>
      <c r="D184" s="6">
        <v>240</v>
      </c>
      <c r="E184" s="6">
        <v>150</v>
      </c>
      <c r="F184" s="6">
        <v>95</v>
      </c>
      <c r="I184" s="60"/>
    </row>
    <row r="185" spans="1:9" ht="41.25" customHeight="1">
      <c r="A185" s="129" t="s">
        <v>228</v>
      </c>
      <c r="B185" s="129"/>
      <c r="C185" s="129"/>
      <c r="D185" s="6">
        <v>240</v>
      </c>
      <c r="E185" s="6">
        <v>50</v>
      </c>
      <c r="F185" s="6">
        <v>25</v>
      </c>
      <c r="I185" s="60"/>
    </row>
    <row r="186" spans="1:9" ht="41.25" customHeight="1">
      <c r="A186" s="129" t="s">
        <v>265</v>
      </c>
      <c r="B186" s="129"/>
      <c r="C186" s="129"/>
      <c r="D186" s="6">
        <v>150</v>
      </c>
      <c r="E186" s="16" t="s">
        <v>114</v>
      </c>
      <c r="F186" s="6">
        <v>95</v>
      </c>
      <c r="I186" s="60"/>
    </row>
    <row r="187" spans="1:9" ht="42.75" customHeight="1">
      <c r="A187" s="129" t="s">
        <v>266</v>
      </c>
      <c r="B187" s="129"/>
      <c r="C187" s="129"/>
      <c r="D187" s="6">
        <v>50</v>
      </c>
      <c r="E187" s="16" t="s">
        <v>114</v>
      </c>
      <c r="F187" s="6">
        <v>25</v>
      </c>
      <c r="I187" s="60"/>
    </row>
    <row r="188" spans="7:9" ht="13.5">
      <c r="G188" s="11"/>
      <c r="I188" s="60"/>
    </row>
    <row r="189" spans="1:11" ht="81" customHeight="1">
      <c r="A189" s="116" t="str">
        <f>IF(IF6CurCat="","Not enough information has been entered to determine the input factor category.",IF($G$180&lt;=G181,"Because the shallowest minimum MEC depth is less than or equal to the deepest intrusive depth, the intrusive depth will overlap after cleanup.  ","Because the shallowest minimum MEC depth is greater than the deepest intrusive depth, the intrusive depth will not overlap after cleanup.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'"&amp;K189&amp;"'  For 'Current Use Activities', only Baseline Conditions are considered.")</f>
        <v>Not enough information has been entered to determine the input factor category.</v>
      </c>
      <c r="B189" s="116"/>
      <c r="C189" s="116"/>
      <c r="D189" s="116"/>
      <c r="E189" s="116"/>
      <c r="F189" s="116"/>
      <c r="G189" s="12">
        <f>IF(K189="","",VLOOKUP(K189,$A$183:$F$187,4,FALSE))</f>
      </c>
      <c r="H189" s="11" t="s">
        <v>0</v>
      </c>
      <c r="I189" s="60"/>
      <c r="K189" s="19">
        <f>IF(OR(G180="",G181=""),"",IF($G$180&lt;=G181,IF(MIN('Munitions, Bulk Explosive Info'!$J$6:$J$25)&gt;0,A186,A184),IF(MIN('Munitions, Bulk Explosive Info'!$J$6:$J$25)&gt;0,A187,A185)))</f>
      </c>
    </row>
    <row r="190" spans="1:9" ht="13.5">
      <c r="A190" s="137" t="s">
        <v>274</v>
      </c>
      <c r="B190" s="137"/>
      <c r="C190" s="137"/>
      <c r="D190" s="137"/>
      <c r="E190" s="137"/>
      <c r="F190" s="137"/>
      <c r="I190" s="60"/>
    </row>
    <row r="191" spans="1:9" ht="26.25">
      <c r="A191" s="6" t="s">
        <v>289</v>
      </c>
      <c r="G191" s="12">
        <f>'Current and Future Activities'!F39</f>
      </c>
      <c r="H191" s="6" t="s">
        <v>113</v>
      </c>
      <c r="I191" s="60"/>
    </row>
    <row r="192" spans="1:11" ht="77.25" customHeight="1">
      <c r="A192" s="116" t="str">
        <f>IF(IF6FutCat="","Not enough information has been entered to determine the input factor category.",IF($G$180&lt;=G191,"Because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'"&amp;IF6FutCat&amp;"'.  For 'Future Use Activities', only Baseline Conditions are considered.")</f>
        <v>Not enough information has been entered to determine the input factor category.</v>
      </c>
      <c r="B192" s="116"/>
      <c r="C192" s="116"/>
      <c r="D192" s="116"/>
      <c r="E192" s="116"/>
      <c r="F192" s="116"/>
      <c r="G192" s="12">
        <f>IF(IF6FutCat="","",VLOOKUP(K192,$A$183:$F$187,4,FALSE))</f>
      </c>
      <c r="H192" s="11" t="s">
        <v>0</v>
      </c>
      <c r="I192" s="60"/>
      <c r="K192" s="19">
        <f>IF(OR($G$180="",G191=""),"",IF($G$180&lt;=G191,IF(MIN('Munitions, Bulk Explosive Info'!$J$6:$J$25)&gt;0,A186,A184),IF(MIN('Munitions, Bulk Explosive Info'!$J$6:$J$25)&gt;0,A187,A185)))</f>
      </c>
    </row>
    <row r="193" spans="1:9" ht="13.5">
      <c r="A193" s="137" t="str">
        <f>"Response Alternative No. 1: "&amp;Alt1Title</f>
        <v>Response Alternative No. 1: </v>
      </c>
      <c r="B193" s="137"/>
      <c r="C193" s="137"/>
      <c r="D193" s="137"/>
      <c r="E193" s="137"/>
      <c r="F193" s="137"/>
      <c r="I193" s="60"/>
    </row>
    <row r="194" spans="1:9" ht="13.5">
      <c r="A194" s="129" t="s">
        <v>290</v>
      </c>
      <c r="B194" s="129"/>
      <c r="C194" s="129"/>
      <c r="D194" s="129"/>
      <c r="E194" s="129"/>
      <c r="F194" s="129"/>
      <c r="G194" s="12">
        <f>nz(alt1MinDepth)</f>
      </c>
      <c r="H194" s="6" t="s">
        <v>113</v>
      </c>
      <c r="I194" s="60"/>
    </row>
    <row r="195" spans="1:9" ht="26.25" customHeight="1">
      <c r="A195" s="116" t="str">
        <f>IF(Alt1Change="Yes","Based on the 'Planned Remedial or Removal Actions' Worksheet, land use activities will change if this alternative is implemented.",IF(Alt1Change="No","Based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95" s="116"/>
      <c r="C195" s="116"/>
      <c r="D195" s="116"/>
      <c r="E195" s="116"/>
      <c r="F195" s="116"/>
      <c r="I195" s="60"/>
    </row>
    <row r="196" spans="1:9" ht="25.5" customHeight="1">
      <c r="A196" s="116" t="str">
        <f>"Maximum Intrusive Depth"&amp;IF(Alt1Change="Yes",", based on the maximum intrusive depth listed for this alternative (see 'Post-Response Land Use' Worksheet)",IF(Alt1Change="No",IF(OR(altCurFut="Current",PlannedFutureUse="No"),",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v>
      </c>
      <c r="B196" s="116"/>
      <c r="C196" s="116"/>
      <c r="D196" s="116"/>
      <c r="E196" s="116"/>
      <c r="F196" s="116"/>
      <c r="G196" s="12">
        <f>IF(Alt1Change="yes",alt1MaxDepth,IF(Alt1Change="no",IF(OR(PlannedFutureUse="No",altCurFut="Current"),CurrentMaxDepth,IF(altCurFut="Future",FutureMaxDepth,"")),""))</f>
      </c>
      <c r="H196" s="6" t="s">
        <v>113</v>
      </c>
      <c r="I196" s="60"/>
    </row>
    <row r="197" spans="1:11" ht="66" customHeight="1">
      <c r="A197" s="116" t="str">
        <f>IF(OR(G194="",G196=""),"Not enough information has been entered to calculate this input factor.",IF(G194&lt;=G196,"Because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'"&amp;K197&amp;"'")</f>
        <v>Not enough information has been entered to calculate this input factor.</v>
      </c>
      <c r="B197" s="116"/>
      <c r="C197" s="116"/>
      <c r="D197" s="116"/>
      <c r="E197" s="116"/>
      <c r="F197" s="116"/>
      <c r="I197" s="60"/>
      <c r="K197" s="21">
        <f>IF(OR(G194="",G196=""),"",IF($G194&lt;=G196,IF(MIN('Munitions, Bulk Explosive Info'!$J$6:$J$25)&gt;0,$A$186,$A$184),IF(MIN('Munitions, Bulk Explosive Info'!$J$6:$J$25)&gt;0,$A$187,$A$185)))</f>
      </c>
    </row>
    <row r="198" spans="7:11" ht="13.5">
      <c r="G198" s="11" t="s">
        <v>0</v>
      </c>
      <c r="I198" s="60"/>
      <c r="K198" s="21"/>
    </row>
    <row r="199" spans="1:9" ht="13.5">
      <c r="A199" s="9" t="s">
        <v>56</v>
      </c>
      <c r="B199" s="9"/>
      <c r="C199" s="9"/>
      <c r="D199" s="9"/>
      <c r="E199" s="9"/>
      <c r="F199" s="9"/>
      <c r="G199" s="22">
        <f>IF('Remedial-Removal Action'!F6="No MEC Cleanup",VLOOKUP(K197,$A$183:$F$187,4,FALSE),"")</f>
      </c>
      <c r="I199" s="60"/>
    </row>
    <row r="200" spans="1:9" ht="13.5">
      <c r="A200" s="9" t="s">
        <v>258</v>
      </c>
      <c r="B200" s="9"/>
      <c r="C200" s="9"/>
      <c r="D200" s="9"/>
      <c r="E200" s="9"/>
      <c r="F200" s="9"/>
      <c r="G200" s="22">
        <f>IF('Remedial-Removal Action'!F6="Cleanup of MECs located on the surface only",VLOOKUP(K197,$A$183:$F$187,5,FALSE),"")</f>
      </c>
      <c r="I200" s="60"/>
    </row>
    <row r="201" spans="1:9" ht="13.5">
      <c r="A201" s="9" t="s">
        <v>259</v>
      </c>
      <c r="B201" s="9"/>
      <c r="C201" s="9"/>
      <c r="D201" s="9"/>
      <c r="E201" s="9"/>
      <c r="F201" s="9"/>
      <c r="G201" s="22">
        <f>IF('Remedial-Removal Action'!F6="Cleanup of MECs located both on the surface and subsurface",VLOOKUP(K197,$A$183:$F$187,6,FALSE),"")</f>
      </c>
      <c r="I201" s="60"/>
    </row>
    <row r="202" spans="1:9" ht="13.5">
      <c r="A202" s="137" t="str">
        <f>"Response Alternative No. 2: "&amp;Alt2Title</f>
        <v>Response Alternative No. 2: </v>
      </c>
      <c r="B202" s="137"/>
      <c r="C202" s="137"/>
      <c r="D202" s="137"/>
      <c r="E202" s="137"/>
      <c r="F202" s="137"/>
      <c r="I202" s="60"/>
    </row>
    <row r="203" spans="1:9" ht="13.5">
      <c r="A203" s="129" t="s">
        <v>290</v>
      </c>
      <c r="B203" s="129"/>
      <c r="C203" s="129"/>
      <c r="D203" s="129"/>
      <c r="E203" s="129"/>
      <c r="F203" s="129"/>
      <c r="G203" s="12">
        <f>nz(alt2MinDepth)</f>
      </c>
      <c r="H203" s="6" t="s">
        <v>113</v>
      </c>
      <c r="I203" s="60"/>
    </row>
    <row r="204" spans="1:9" ht="26.25" customHeight="1">
      <c r="A204" s="116" t="str">
        <f>IF(Alt2Change="Yes","Based on the 'Planned Remedial or Removal Actions' Worksheet, land use activities will change if this alternative is implemented.",IF(Alt2Change="No","Based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204" s="116"/>
      <c r="C204" s="116"/>
      <c r="D204" s="116"/>
      <c r="E204" s="116"/>
      <c r="F204" s="116"/>
      <c r="I204" s="60"/>
    </row>
    <row r="205" spans="1:9" ht="25.5" customHeight="1">
      <c r="A205" s="116" t="str">
        <f>"Maximum Intrusive Depth"&amp;IF(Alt2Change="Yes",", based on the maximum intrusive depth listed for this alternative (see 'Post-Response Land Use' Worksheet)",IF(Alt2Change="No",IF(OR(altCurFut="Current",PlannedFutureUse="No"),",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v>
      </c>
      <c r="B205" s="116"/>
      <c r="C205" s="116"/>
      <c r="D205" s="116"/>
      <c r="E205" s="116"/>
      <c r="F205" s="116"/>
      <c r="G205" s="12">
        <f>IF(Alt2Change="yes",alt2MaxDepth,IF(Alt2Change="no",IF(OR(PlannedFutureUse="No",altCurFut="Current"),CurrentMaxDepth,IF(altCurFut="Future",FutureMaxDepth,"")),""))</f>
      </c>
      <c r="H205" s="6" t="s">
        <v>113</v>
      </c>
      <c r="I205" s="60"/>
    </row>
    <row r="206" spans="1:11" ht="66" customHeight="1">
      <c r="A206" s="116" t="str">
        <f>IF(OR(G203="",G205=""),"Not enough information has been entered to calculate this input factor.",IF(G203&lt;=G205,"Because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'"&amp;K206&amp;"'")</f>
        <v>Not enough information has been entered to calculate this input factor.</v>
      </c>
      <c r="B206" s="116"/>
      <c r="C206" s="116"/>
      <c r="D206" s="116"/>
      <c r="E206" s="116"/>
      <c r="F206" s="116"/>
      <c r="I206" s="60"/>
      <c r="K206" s="21">
        <f>IF(OR(G203="",G205=""),"",IF($G203&lt;=G205,IF(MIN('Munitions, Bulk Explosive Info'!$J$6:$J$25)&gt;0,$A$186,$A$184),IF(MIN('Munitions, Bulk Explosive Info'!$J$6:$J$25)&gt;0,$A$187,$A$185)))</f>
      </c>
    </row>
    <row r="207" spans="7:11" ht="13.5">
      <c r="G207" s="11" t="s">
        <v>0</v>
      </c>
      <c r="I207" s="60"/>
      <c r="K207" s="21"/>
    </row>
    <row r="208" spans="1:9" ht="13.5">
      <c r="A208" s="9" t="s">
        <v>56</v>
      </c>
      <c r="B208" s="9"/>
      <c r="C208" s="9"/>
      <c r="D208" s="9"/>
      <c r="E208" s="9"/>
      <c r="F208" s="9"/>
      <c r="G208" s="22">
        <f>IF('Remedial-Removal Action'!F7="No MEC Cleanup",VLOOKUP(K206,$A$183:$F$187,4,FALSE),"")</f>
      </c>
      <c r="I208" s="60"/>
    </row>
    <row r="209" spans="1:9" ht="13.5">
      <c r="A209" s="9" t="s">
        <v>258</v>
      </c>
      <c r="B209" s="9"/>
      <c r="C209" s="9"/>
      <c r="D209" s="9"/>
      <c r="E209" s="9"/>
      <c r="F209" s="9"/>
      <c r="G209" s="22">
        <f>IF('Remedial-Removal Action'!F7="Cleanup of MECs located on the surface only",VLOOKUP(K206,$A$183:$F$187,5,FALSE),"")</f>
      </c>
      <c r="I209" s="60"/>
    </row>
    <row r="210" spans="1:9" ht="13.5">
      <c r="A210" s="9" t="s">
        <v>259</v>
      </c>
      <c r="B210" s="9"/>
      <c r="C210" s="9"/>
      <c r="D210" s="9"/>
      <c r="E210" s="9"/>
      <c r="F210" s="9"/>
      <c r="G210" s="22">
        <f>IF('Remedial-Removal Action'!F7="Cleanup of MECs located both on the surface and subsurface",VLOOKUP(K206,$A$183:$F$187,6,FALSE),"")</f>
      </c>
      <c r="I210" s="60"/>
    </row>
    <row r="211" spans="1:9" ht="13.5">
      <c r="A211" s="137" t="str">
        <f>"Response Alternative No. 3: "&amp;Alt3Title</f>
        <v>Response Alternative No. 3: </v>
      </c>
      <c r="B211" s="137"/>
      <c r="C211" s="137"/>
      <c r="D211" s="137"/>
      <c r="E211" s="137"/>
      <c r="F211" s="137"/>
      <c r="I211" s="60"/>
    </row>
    <row r="212" spans="1:9" ht="13.5">
      <c r="A212" s="129" t="s">
        <v>290</v>
      </c>
      <c r="B212" s="129"/>
      <c r="C212" s="129"/>
      <c r="D212" s="129"/>
      <c r="E212" s="129"/>
      <c r="F212" s="129"/>
      <c r="G212" s="12">
        <f>nz(alt3MinDepth)</f>
      </c>
      <c r="H212" s="6" t="s">
        <v>113</v>
      </c>
      <c r="I212" s="60"/>
    </row>
    <row r="213" spans="1:9" ht="26.25" customHeight="1">
      <c r="A213" s="116" t="str">
        <f>IF(Alt3Change="Yes","Based on the 'Planned Remedial or Removal Actions' Worksheet, land use activities will change if this alternative is implemented.",IF(Alt3Change="No","Based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213" s="116"/>
      <c r="C213" s="116"/>
      <c r="D213" s="116"/>
      <c r="E213" s="116"/>
      <c r="F213" s="116"/>
      <c r="I213" s="60"/>
    </row>
    <row r="214" spans="1:9" ht="25.5" customHeight="1">
      <c r="A214" s="116" t="str">
        <f>"Maximum Intrusive Depth"&amp;IF(Alt3Change="Yes",", based on the maximum intrusive depth listed for this alternative (see 'Post-Response Land Use' Worksheet)",IF(Alt3Change="No",IF(OR(altCurFut="Current",PlannedFutureUse="No"),",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v>
      </c>
      <c r="B214" s="116"/>
      <c r="C214" s="116"/>
      <c r="D214" s="116"/>
      <c r="E214" s="116"/>
      <c r="F214" s="116"/>
      <c r="G214" s="12">
        <f>IF(Alt3Change="yes",alt3MaxDepth,IF(Alt3Change="no",IF(OR(PlannedFutureUse="No",altCurFut="Current"),CurrentMaxDepth,IF(altCurFut="Future",FutureMaxDepth,"")),""))</f>
      </c>
      <c r="H214" s="6" t="s">
        <v>113</v>
      </c>
      <c r="I214" s="60"/>
    </row>
    <row r="215" spans="1:11" ht="66" customHeight="1">
      <c r="A215" s="116" t="str">
        <f>IF(OR(G212="",G214=""),"Not enough information has been entered to calculate this input factor.",IF(G212&lt;=G214,"Because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'"&amp;K215&amp;"'")</f>
        <v>Not enough information has been entered to calculate this input factor.</v>
      </c>
      <c r="B215" s="116"/>
      <c r="C215" s="116"/>
      <c r="D215" s="116"/>
      <c r="E215" s="116"/>
      <c r="F215" s="116"/>
      <c r="I215" s="60"/>
      <c r="K215" s="21">
        <f>IF(OR(G212="",G214=""),"",IF($G212&lt;=G214,IF(MIN('Munitions, Bulk Explosive Info'!$J$6:$J$25)&gt;0,$A$186,$A$184),IF(MIN('Munitions, Bulk Explosive Info'!$J$6:$J$25)&gt;0,$A$187,$A$185)))</f>
      </c>
    </row>
    <row r="216" spans="7:11" ht="13.5">
      <c r="G216" s="11" t="s">
        <v>0</v>
      </c>
      <c r="I216" s="60"/>
      <c r="K216" s="21"/>
    </row>
    <row r="217" spans="1:9" ht="13.5">
      <c r="A217" s="9" t="s">
        <v>56</v>
      </c>
      <c r="B217" s="9"/>
      <c r="C217" s="9"/>
      <c r="D217" s="9"/>
      <c r="E217" s="9"/>
      <c r="F217" s="9"/>
      <c r="G217" s="22">
        <f>IF('Remedial-Removal Action'!F8="No MEC Cleanup",VLOOKUP(K215,$A$183:$F$187,4,FALSE),"")</f>
      </c>
      <c r="I217" s="60"/>
    </row>
    <row r="218" spans="1:9" ht="13.5">
      <c r="A218" s="9" t="s">
        <v>258</v>
      </c>
      <c r="B218" s="9"/>
      <c r="C218" s="9"/>
      <c r="D218" s="9"/>
      <c r="E218" s="9"/>
      <c r="F218" s="9"/>
      <c r="G218" s="22">
        <f>IF('Remedial-Removal Action'!F8="Cleanup of MECs located on the surface only",VLOOKUP(K215,$A$183:$F$187,5,FALSE),"")</f>
      </c>
      <c r="I218" s="60"/>
    </row>
    <row r="219" spans="1:9" ht="13.5">
      <c r="A219" s="9" t="s">
        <v>259</v>
      </c>
      <c r="B219" s="9"/>
      <c r="C219" s="9"/>
      <c r="D219" s="9"/>
      <c r="E219" s="9"/>
      <c r="F219" s="9"/>
      <c r="G219" s="22">
        <f>IF('Remedial-Removal Action'!F8="Cleanup of MECs located both on the surface and subsurface",VLOOKUP(K215,$A$183:$F$187,6,FALSE),"")</f>
      </c>
      <c r="I219" s="60"/>
    </row>
    <row r="220" spans="1:9" ht="13.5">
      <c r="A220" s="137" t="str">
        <f>"Response Alternative No. 4: "&amp;Alt4Title</f>
        <v>Response Alternative No. 4: </v>
      </c>
      <c r="B220" s="137"/>
      <c r="C220" s="137"/>
      <c r="D220" s="137"/>
      <c r="E220" s="137"/>
      <c r="F220" s="137"/>
      <c r="I220" s="60"/>
    </row>
    <row r="221" spans="1:9" ht="13.5">
      <c r="A221" s="129" t="s">
        <v>290</v>
      </c>
      <c r="B221" s="129"/>
      <c r="C221" s="129"/>
      <c r="D221" s="129"/>
      <c r="E221" s="129"/>
      <c r="F221" s="129"/>
      <c r="G221" s="12">
        <f>nz(alt4MinDepth)</f>
      </c>
      <c r="H221" s="6" t="s">
        <v>113</v>
      </c>
      <c r="I221" s="60"/>
    </row>
    <row r="222" spans="1:9" ht="26.25" customHeight="1">
      <c r="A222" s="116" t="str">
        <f>IF(Alt4Change="Yes","Based on the 'Planned Remedial or Removal Actions' Worksheet, land use activities will change if this alternative is implemented.",IF(Alt4Change="No","Based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222" s="116"/>
      <c r="C222" s="116"/>
      <c r="D222" s="116"/>
      <c r="E222" s="116"/>
      <c r="F222" s="116"/>
      <c r="I222" s="60"/>
    </row>
    <row r="223" spans="1:9" ht="25.5" customHeight="1">
      <c r="A223" s="116" t="str">
        <f>"Maximum Intrusive Depth"&amp;IF(Alt4Change="Yes",", based on the maximum intrusive depth listed for this alternative (see 'Post-Response Land Use' Worksheet)",IF(Alt4Change="No",IF(OR(altCurFut="Current",PlannedFutureUse="No"),",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v>
      </c>
      <c r="B223" s="116"/>
      <c r="C223" s="116"/>
      <c r="D223" s="116"/>
      <c r="E223" s="116"/>
      <c r="F223" s="116"/>
      <c r="G223" s="12">
        <f>IF(Alt4Change="yes",alt4MaxDepth,IF(Alt4Change="no",IF(OR(PlannedFutureUse="No",altCurFut="Current"),CurrentMaxDepth,IF(altCurFut="Future",FutureMaxDepth,"")),""))</f>
      </c>
      <c r="H223" s="6" t="s">
        <v>113</v>
      </c>
      <c r="I223" s="60"/>
    </row>
    <row r="224" spans="1:11" ht="66" customHeight="1">
      <c r="A224" s="116" t="str">
        <f>IF(OR(G221="",G223=""),"Not enough information has been entered to calculate this input factor.",IF(G221&lt;=G223,"Because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'"&amp;K224&amp;"'")</f>
        <v>Not enough information has been entered to calculate this input factor.</v>
      </c>
      <c r="B224" s="116"/>
      <c r="C224" s="116"/>
      <c r="D224" s="116"/>
      <c r="E224" s="116"/>
      <c r="F224" s="116"/>
      <c r="I224" s="60"/>
      <c r="K224" s="21">
        <f>IF(OR(G221="",G223=""),"",IF($G221&lt;=G223,IF(MIN('Munitions, Bulk Explosive Info'!$J$6:$J$25)&gt;0,$A$186,$A$184),IF(MIN('Munitions, Bulk Explosive Info'!$J$6:$J$25)&gt;0,$A$187,$A$185)))</f>
      </c>
    </row>
    <row r="225" spans="7:11" ht="13.5">
      <c r="G225" s="11" t="s">
        <v>0</v>
      </c>
      <c r="I225" s="60"/>
      <c r="K225" s="21"/>
    </row>
    <row r="226" spans="1:9" ht="13.5">
      <c r="A226" s="9" t="s">
        <v>56</v>
      </c>
      <c r="B226" s="9"/>
      <c r="C226" s="9"/>
      <c r="D226" s="9"/>
      <c r="E226" s="9"/>
      <c r="F226" s="9"/>
      <c r="G226" s="22">
        <f>IF('Remedial-Removal Action'!F9="No MEC Cleanup",VLOOKUP(K224,$A$183:$F$187,4,FALSE),"")</f>
      </c>
      <c r="I226" s="60"/>
    </row>
    <row r="227" spans="1:9" ht="13.5">
      <c r="A227" s="9" t="s">
        <v>258</v>
      </c>
      <c r="B227" s="9"/>
      <c r="C227" s="9"/>
      <c r="D227" s="9"/>
      <c r="E227" s="9"/>
      <c r="F227" s="9"/>
      <c r="G227" s="22">
        <f>IF('Remedial-Removal Action'!F9="Cleanup of MECs located on the surface only",VLOOKUP(K224,$A$183:$F$187,5,FALSE),"")</f>
      </c>
      <c r="I227" s="60"/>
    </row>
    <row r="228" spans="1:9" ht="13.5">
      <c r="A228" s="9" t="s">
        <v>259</v>
      </c>
      <c r="B228" s="9"/>
      <c r="C228" s="9"/>
      <c r="D228" s="9"/>
      <c r="E228" s="9"/>
      <c r="F228" s="9"/>
      <c r="G228" s="22">
        <f>IF('Remedial-Removal Action'!F9="Cleanup of MECs located both on the surface and subsurface",VLOOKUP(K224,$A$183:$F$187,6,FALSE),"")</f>
      </c>
      <c r="I228" s="60"/>
    </row>
    <row r="229" spans="1:9" ht="13.5">
      <c r="A229" s="137" t="str">
        <f>"Response Alternative No. 5: "&amp;Alt5Title</f>
        <v>Response Alternative No. 5: </v>
      </c>
      <c r="B229" s="137"/>
      <c r="C229" s="137"/>
      <c r="D229" s="137"/>
      <c r="E229" s="137"/>
      <c r="F229" s="137"/>
      <c r="I229" s="60"/>
    </row>
    <row r="230" spans="1:9" ht="13.5">
      <c r="A230" s="129" t="s">
        <v>290</v>
      </c>
      <c r="B230" s="129"/>
      <c r="C230" s="129"/>
      <c r="D230" s="129"/>
      <c r="E230" s="129"/>
      <c r="F230" s="129"/>
      <c r="G230" s="12">
        <f>nz(alt5MinDepth)</f>
      </c>
      <c r="H230" s="6" t="s">
        <v>113</v>
      </c>
      <c r="I230" s="60"/>
    </row>
    <row r="231" spans="1:9" ht="26.25" customHeight="1">
      <c r="A231" s="116" t="str">
        <f>IF(Alt5Change="Yes","Based on the 'Planned Remedial or Removal Actions' Worksheet, land use activities will change if this alternative is implemented.",IF(Alt5Change="No","Based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231" s="116"/>
      <c r="C231" s="116"/>
      <c r="D231" s="116"/>
      <c r="E231" s="116"/>
      <c r="F231" s="116"/>
      <c r="I231" s="60"/>
    </row>
    <row r="232" spans="1:9" ht="25.5" customHeight="1">
      <c r="A232" s="116" t="str">
        <f>"Maximum Intrusive Depth"&amp;IF(Alt5Change="Yes",", based on the maximum intrusive depth listed for this alternative (see 'Post-Response Land Use' Worksheet)",IF(Alt5Change="No",IF(OR(altCurFut="Current",PlannedFutureUse="No"),",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v>
      </c>
      <c r="B232" s="116"/>
      <c r="C232" s="116"/>
      <c r="D232" s="116"/>
      <c r="E232" s="116"/>
      <c r="F232" s="116"/>
      <c r="G232" s="12">
        <f>IF(Alt5Change="yes",alt5MaxDepth,IF(Alt5Change="no",IF(OR(PlannedFutureUse="No",altCurFut="Current"),CurrentMaxDepth,IF(altCurFut="Future",FutureMaxDepth,"")),""))</f>
      </c>
      <c r="H232" s="6" t="s">
        <v>113</v>
      </c>
      <c r="I232" s="60"/>
    </row>
    <row r="233" spans="1:11" ht="66" customHeight="1">
      <c r="A233" s="116" t="str">
        <f>IF(OR(G230="",G232=""),"Not enough information has been entered to calculate this input factor.",IF(G230&lt;=G232,"Because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'"&amp;K233&amp;"'")</f>
        <v>Not enough information has been entered to calculate this input factor.</v>
      </c>
      <c r="B233" s="116"/>
      <c r="C233" s="116"/>
      <c r="D233" s="116"/>
      <c r="E233" s="116"/>
      <c r="F233" s="116"/>
      <c r="I233" s="60"/>
      <c r="K233" s="21">
        <f>IF(OR(G230="",G232=""),"",IF($G230&lt;=G232,IF(MIN('Munitions, Bulk Explosive Info'!$J$6:$J$25)&gt;0,$A$186,$A$184),IF(MIN('Munitions, Bulk Explosive Info'!$J$6:$J$25)&gt;0,$A$187,$A$185)))</f>
      </c>
    </row>
    <row r="234" spans="6:11" ht="13.5">
      <c r="F234" s="56"/>
      <c r="G234" s="11" t="s">
        <v>0</v>
      </c>
      <c r="I234" s="60"/>
      <c r="K234" s="21"/>
    </row>
    <row r="235" spans="1:9" ht="13.5">
      <c r="A235" s="9" t="s">
        <v>56</v>
      </c>
      <c r="B235" s="9"/>
      <c r="C235" s="9"/>
      <c r="D235" s="9"/>
      <c r="E235" s="9"/>
      <c r="F235" s="9"/>
      <c r="G235" s="22">
        <f>IF('Remedial-Removal Action'!F10="No MEC Cleanup",VLOOKUP(K233,$A$183:$F$187,4,FALSE),"")</f>
      </c>
      <c r="I235" s="60"/>
    </row>
    <row r="236" spans="1:9" ht="13.5">
      <c r="A236" s="9" t="s">
        <v>258</v>
      </c>
      <c r="B236" s="9"/>
      <c r="C236" s="9"/>
      <c r="D236" s="9"/>
      <c r="E236" s="9"/>
      <c r="F236" s="9"/>
      <c r="G236" s="22">
        <f>IF('Remedial-Removal Action'!F10="Cleanup of MECs located on the surface only",VLOOKUP(K233,$A$183:$F$187,5,FALSE),"")</f>
      </c>
      <c r="I236" s="60"/>
    </row>
    <row r="237" spans="1:9" ht="13.5">
      <c r="A237" s="9" t="s">
        <v>259</v>
      </c>
      <c r="B237" s="9"/>
      <c r="C237" s="9"/>
      <c r="D237" s="9"/>
      <c r="E237" s="9"/>
      <c r="F237" s="9"/>
      <c r="G237" s="22">
        <f>IF('Remedial-Removal Action'!F10="Cleanup of MECs located both on the surface and subsurface",VLOOKUP(K233,$A$183:$F$187,6,FALSE),"")</f>
      </c>
      <c r="I237" s="60"/>
    </row>
    <row r="238" spans="1:9" ht="13.5">
      <c r="A238" s="137" t="str">
        <f>"Response Alternative No. 6: "&amp;Alt6Title</f>
        <v>Response Alternative No. 6: </v>
      </c>
      <c r="B238" s="137"/>
      <c r="C238" s="137"/>
      <c r="D238" s="137"/>
      <c r="E238" s="137"/>
      <c r="F238" s="137"/>
      <c r="I238" s="60"/>
    </row>
    <row r="239" spans="1:9" ht="13.5">
      <c r="A239" s="129" t="s">
        <v>290</v>
      </c>
      <c r="B239" s="129"/>
      <c r="C239" s="129"/>
      <c r="D239" s="129"/>
      <c r="E239" s="129"/>
      <c r="F239" s="129"/>
      <c r="G239" s="12">
        <f>nz(alt6MinDepth)</f>
      </c>
      <c r="H239" s="6" t="s">
        <v>113</v>
      </c>
      <c r="I239" s="60"/>
    </row>
    <row r="240" spans="1:9" ht="26.25" customHeight="1">
      <c r="A240" s="116" t="str">
        <f>IF(Alt6Change="Yes","Based on the 'Planned Remedial or Removal Actions' Worksheet, land use activities will change if this alternative is implemented.",IF(Alt6Change="No","Based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240" s="116"/>
      <c r="C240" s="116"/>
      <c r="D240" s="116"/>
      <c r="E240" s="116"/>
      <c r="F240" s="116"/>
      <c r="I240" s="60"/>
    </row>
    <row r="241" spans="1:9" ht="25.5" customHeight="1">
      <c r="A241" s="116" t="str">
        <f>"Maximum Intrusive Depth"&amp;IF(Alt6Change="Yes",", based on the maximum intrusive depth listed for this alternative (see 'Post-Response Land Use' Worksheet)",IF(Alt6Change="No",IF(OR(altCurFut="Current",PlannedFutureUse="No"),",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v>
      </c>
      <c r="B241" s="116"/>
      <c r="C241" s="116"/>
      <c r="D241" s="116"/>
      <c r="E241" s="116"/>
      <c r="F241" s="116"/>
      <c r="G241" s="12">
        <f>IF(Alt6Change="yes",alt6MaxDepth,IF(Alt6Change="no",IF(OR(PlannedFutureUse="No",altCurFut="Current"),CurrentMaxDepth,IF(altCurFut="Future",FutureMaxDepth,"")),""))</f>
      </c>
      <c r="H241" s="6" t="s">
        <v>113</v>
      </c>
      <c r="I241" s="60"/>
    </row>
    <row r="242" spans="1:11" ht="66" customHeight="1">
      <c r="A242" s="116" t="str">
        <f>IF(OR(G239="",G241=""),"Not enough information has been entered to calculate this input factor.",IF(G239&lt;=G241,"Because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'"&amp;K242&amp;"'")</f>
        <v>Not enough information has been entered to calculate this input factor.</v>
      </c>
      <c r="B242" s="116"/>
      <c r="C242" s="116"/>
      <c r="D242" s="116"/>
      <c r="E242" s="116"/>
      <c r="F242" s="116"/>
      <c r="I242" s="60"/>
      <c r="K242" s="21">
        <f>IF(OR(G239="",G241=""),"",IF($G239&lt;=G241,IF(MIN('Munitions, Bulk Explosive Info'!$J$6:$J$25)&gt;0,$A$186,$A$184),IF(MIN('Munitions, Bulk Explosive Info'!$J$6:$J$25)&gt;0,$A$187,$A$185)))</f>
      </c>
    </row>
    <row r="243" spans="7:11" ht="13.5">
      <c r="G243" s="11" t="s">
        <v>0</v>
      </c>
      <c r="I243" s="60"/>
      <c r="K243" s="21"/>
    </row>
    <row r="244" spans="1:9" ht="13.5">
      <c r="A244" s="9" t="s">
        <v>56</v>
      </c>
      <c r="B244" s="9"/>
      <c r="C244" s="9"/>
      <c r="D244" s="9"/>
      <c r="E244" s="9"/>
      <c r="F244" s="9"/>
      <c r="G244" s="22">
        <f>IF('Remedial-Removal Action'!F11="No MEC Cleanup",VLOOKUP(K242,$A$183:$F$187,4,FALSE),"")</f>
      </c>
      <c r="I244" s="60"/>
    </row>
    <row r="245" spans="1:9" ht="13.5">
      <c r="A245" s="9" t="s">
        <v>258</v>
      </c>
      <c r="B245" s="9"/>
      <c r="C245" s="9"/>
      <c r="D245" s="9"/>
      <c r="E245" s="9"/>
      <c r="F245" s="9"/>
      <c r="G245" s="22">
        <f>IF('Remedial-Removal Action'!F11="Cleanup of MECs located on the surface only",VLOOKUP(K242,$A$183:$F$187,5,FALSE),"")</f>
      </c>
      <c r="I245" s="60"/>
    </row>
    <row r="246" spans="1:9" ht="13.5">
      <c r="A246" s="9" t="s">
        <v>259</v>
      </c>
      <c r="B246" s="9"/>
      <c r="C246" s="9"/>
      <c r="D246" s="9"/>
      <c r="E246" s="9"/>
      <c r="F246" s="9"/>
      <c r="G246" s="22">
        <f>IF('Remedial-Removal Action'!F11="Cleanup of MECs located both on the surface and subsurface",VLOOKUP(K242,$A$183:$F$187,6,FALSE),"")</f>
      </c>
      <c r="I246" s="60"/>
    </row>
    <row r="247" spans="1:9" ht="17.25" customHeight="1">
      <c r="A247" s="17" t="s">
        <v>291</v>
      </c>
      <c r="B247" s="17"/>
      <c r="C247" s="17"/>
      <c r="D247" s="17"/>
      <c r="E247" s="17"/>
      <c r="F247" s="17"/>
      <c r="I247" s="60"/>
    </row>
    <row r="248" spans="1:9" ht="39" customHeight="1">
      <c r="A248" s="129" t="s">
        <v>292</v>
      </c>
      <c r="B248" s="129"/>
      <c r="C248" s="129"/>
      <c r="D248" s="129"/>
      <c r="E248" s="129"/>
      <c r="F248" s="129"/>
      <c r="G248" s="59"/>
      <c r="I248" s="60"/>
    </row>
    <row r="249" spans="1:9" ht="38.25" customHeight="1">
      <c r="A249" s="129" t="s">
        <v>144</v>
      </c>
      <c r="B249" s="129"/>
      <c r="C249" s="129"/>
      <c r="D249" s="129"/>
      <c r="E249" s="129"/>
      <c r="F249" s="129"/>
      <c r="I249" s="60"/>
    </row>
    <row r="250" spans="1:9" ht="13.5">
      <c r="A250" s="131"/>
      <c r="B250" s="132"/>
      <c r="C250" s="132"/>
      <c r="D250" s="132"/>
      <c r="E250" s="132"/>
      <c r="F250" s="132"/>
      <c r="G250" s="133"/>
      <c r="I250" s="60"/>
    </row>
    <row r="251" spans="1:9" ht="13.5">
      <c r="A251" s="129" t="s">
        <v>128</v>
      </c>
      <c r="B251" s="129"/>
      <c r="C251" s="129"/>
      <c r="D251" s="129"/>
      <c r="E251" s="129"/>
      <c r="F251" s="129"/>
      <c r="I251" s="60"/>
    </row>
    <row r="252" spans="2:9" ht="26.25">
      <c r="B252" s="146">
        <f>IF(G248="Yes","Possible",IF(G248="No","Unlikely",""))</f>
      </c>
      <c r="C252" s="146"/>
      <c r="D252" s="6" t="s">
        <v>81</v>
      </c>
      <c r="E252" s="6" t="s">
        <v>256</v>
      </c>
      <c r="F252" s="6" t="s">
        <v>257</v>
      </c>
      <c r="I252" s="60"/>
    </row>
    <row r="253" spans="1:9" ht="13.5">
      <c r="A253" s="129" t="s">
        <v>25</v>
      </c>
      <c r="B253" s="129"/>
      <c r="C253" s="129"/>
      <c r="D253" s="6">
        <v>30</v>
      </c>
      <c r="E253" s="6">
        <v>30</v>
      </c>
      <c r="F253" s="6">
        <v>10</v>
      </c>
      <c r="I253" s="60"/>
    </row>
    <row r="254" spans="1:9" ht="13.5">
      <c r="A254" s="129" t="s">
        <v>26</v>
      </c>
      <c r="B254" s="129"/>
      <c r="C254" s="129"/>
      <c r="D254" s="6">
        <v>10</v>
      </c>
      <c r="E254" s="6">
        <v>10</v>
      </c>
      <c r="F254" s="6">
        <v>10</v>
      </c>
      <c r="I254" s="60"/>
    </row>
    <row r="255" spans="1:9" ht="26.25" customHeight="1">
      <c r="A255" s="116" t="str">
        <f>IF(B252&lt;&gt;"","Based on the question above, migration potential is '"&amp;B252&amp;".'","Please answer the question above to determine the migration potential input factors.")</f>
        <v>Please answer the question above to determine the migration potential input factors.</v>
      </c>
      <c r="B255" s="116"/>
      <c r="C255" s="116"/>
      <c r="D255" s="116"/>
      <c r="E255" s="116"/>
      <c r="F255" s="116"/>
      <c r="G255" s="11" t="s">
        <v>0</v>
      </c>
      <c r="I255" s="60"/>
    </row>
    <row r="256" spans="1:9" ht="13.5">
      <c r="A256" s="7" t="s">
        <v>56</v>
      </c>
      <c r="B256" s="13"/>
      <c r="C256" s="13"/>
      <c r="D256" s="13"/>
      <c r="E256" s="13"/>
      <c r="F256" s="13"/>
      <c r="G256" s="12">
        <f>IF(ISNA(VLOOKUP($B$252,$A$252:$F$254,4,FALSE)),"",VLOOKUP($B$252,$A$252:$F$254,4,FALSE))</f>
      </c>
      <c r="I256" s="60"/>
    </row>
    <row r="257" spans="1:9" ht="13.5">
      <c r="A257" s="7" t="s">
        <v>258</v>
      </c>
      <c r="B257" s="13"/>
      <c r="C257" s="13"/>
      <c r="D257" s="13"/>
      <c r="E257" s="13"/>
      <c r="F257" s="13"/>
      <c r="G257" s="12">
        <f>IF(ISNA(VLOOKUP($B$252,$A$252:$F$254,5,FALSE)),"",VLOOKUP($B$252,$A$252:$F$254,5,FALSE))</f>
      </c>
      <c r="I257" s="60"/>
    </row>
    <row r="258" spans="1:9" ht="13.5">
      <c r="A258" s="6" t="s">
        <v>259</v>
      </c>
      <c r="G258" s="12">
        <f>IF(ISNA(VLOOKUP($B$252,$A$252:$F$254,6,FALSE)),"",VLOOKUP($B$252,$A$252:$F$254,6,FALSE))</f>
      </c>
      <c r="I258" s="60"/>
    </row>
    <row r="259" spans="1:11" ht="21.75" customHeight="1">
      <c r="A259" s="2" t="s">
        <v>184</v>
      </c>
      <c r="I259" s="60"/>
      <c r="K259" s="54"/>
    </row>
    <row r="260" spans="1:9" ht="27" customHeight="1">
      <c r="A260" s="116"/>
      <c r="B260" s="116"/>
      <c r="C260" s="116"/>
      <c r="D260" s="116"/>
      <c r="E260" s="116"/>
      <c r="F260" s="116"/>
      <c r="I260" s="60"/>
    </row>
    <row r="261" ht="13.5">
      <c r="I261" s="60"/>
    </row>
    <row r="262" spans="1:11" ht="19.5" customHeight="1">
      <c r="A262" s="17" t="s">
        <v>293</v>
      </c>
      <c r="B262" s="17"/>
      <c r="C262" s="17"/>
      <c r="D262" s="17"/>
      <c r="E262" s="17"/>
      <c r="F262" s="17"/>
      <c r="I262" s="60"/>
      <c r="K262" s="6"/>
    </row>
    <row r="263" spans="1:16" ht="27.75" customHeight="1">
      <c r="A263" s="116" t="str">
        <f>IF(AND(COUNTA('Munitions, Bulk Explosive Info'!B6:L25)=0,COUNTA('Munitions, Bulk Explosive Info'!B32:B41)=0),"No munitions information has been entered in the 'Munitions, Bulk Explosive Info' Worksheet.  Please enter this information before continuing.",IF(COUNTA('Munitions, Bulk Explosive Info'!B6:L25)=0,"Because no cased munitions information has been inputed into the 'Munitions, Bulk Explosive Info' Worksheet, it is assumed that all munitions are bulk explosives.","Cased munitions information has been inputed into the 'Munitions, Bulk Explosive Info' Worksheet; therefore, bulk explosives do not comprise all MECs for this MRS."))</f>
        <v>No munitions information has been entered in the 'Munitions, Bulk Explosive Info' Worksheet.  Please enter this information before continuing.</v>
      </c>
      <c r="B263" s="116"/>
      <c r="C263" s="116"/>
      <c r="D263" s="116"/>
      <c r="E263" s="116"/>
      <c r="F263" s="116"/>
      <c r="I263" s="60"/>
      <c r="K263" s="6">
        <f>IF(AND(COUNTA('Munitions, Bulk Explosive Info'!B6:L25)=0,COUNTA('Munitions, Bulk Explosive Info'!B32:B41)=0),"",IF(COUNTA('Munitions, Bulk Explosive Info'!B6:L25)=0,"Yes","No"))</f>
      </c>
      <c r="L263" s="19"/>
      <c r="M263" s="19"/>
      <c r="N263" s="19"/>
      <c r="O263" s="19"/>
      <c r="P263" s="19"/>
    </row>
    <row r="264" spans="1:16" ht="51.75" customHeight="1">
      <c r="A264" s="116" t="str">
        <f>IF(ISNA(VLOOKUP(A173,'Validation Tables'!$B$21:$F$29,5,FALSE)),"Please complete the 'Amount of MEC Input Factor' section above before continuing.","The 'Amount of MEC' category is '"&amp;A173&amp;"'.  "&amp;IF(A173&lt;&gt;A163,IF(VLOOKUP(A173,'Validation Tables'!$B$21:$F$29,5,FALSE)="No","It cannot be automatically assumed that the MEC items from this category are DMM."&amp;IF(MIN('Munitions, Bulk Explosive Info'!N6:N25)=1,"  However, because all cased munitions are unarmed (see 'Munitions, Bulk Explosive Info' Worksheet), it is assumed that the MEC items are DMM.","  Therefore, the conservative assumption is that the MEC items in this MRS are UXO."),"It is assumed that the MEC items in this MRS are DMM."),""))</f>
        <v>Please complete the 'Amount of MEC Input Factor' section above before continuing.</v>
      </c>
      <c r="B264" s="116"/>
      <c r="C264" s="116"/>
      <c r="D264" s="116"/>
      <c r="E264" s="116"/>
      <c r="F264" s="116"/>
      <c r="I264" s="60"/>
      <c r="K264" s="7">
        <f>IF(ISNA(VLOOKUP(A173,'Validation Tables'!$B$21:$F$29,5,FALSE)),"",IF(A173&lt;&gt;A163,IF(VLOOKUP(A173,'Validation Tables'!$B$21:$F$29,5,FALSE)="No",IF(MIN('Munitions, Bulk Explosive Info'!N6:N25)=1,"Yes","No"),"Yes"),IF(G265="No",IF(MIN('Munitions, Bulk Explosive Info'!N6:N25)=1,"Yes","No"),"Yes")))</f>
      </c>
      <c r="L264" s="25"/>
      <c r="M264" s="25"/>
      <c r="N264" s="25"/>
      <c r="O264" s="25"/>
      <c r="P264" s="25"/>
    </row>
    <row r="265" spans="1:16" ht="13.5">
      <c r="A265" s="138" t="s">
        <v>301</v>
      </c>
      <c r="B265" s="138"/>
      <c r="C265" s="138"/>
      <c r="D265" s="138"/>
      <c r="E265" s="138"/>
      <c r="F265" s="138"/>
      <c r="G265" s="59"/>
      <c r="I265" s="60"/>
      <c r="K265" s="7"/>
      <c r="L265" s="25"/>
      <c r="M265" s="25"/>
      <c r="N265" s="25"/>
      <c r="O265" s="25"/>
      <c r="P265" s="25"/>
    </row>
    <row r="266" spans="1:11" ht="13.5">
      <c r="A266" s="150" t="s">
        <v>294</v>
      </c>
      <c r="B266" s="150"/>
      <c r="C266" s="150"/>
      <c r="D266" s="150"/>
      <c r="E266" s="150"/>
      <c r="F266" s="150"/>
      <c r="G266" s="59"/>
      <c r="I266" s="60"/>
      <c r="K266" s="6"/>
    </row>
    <row r="267" spans="2:11" ht="13.5">
      <c r="B267" s="129" t="s">
        <v>115</v>
      </c>
      <c r="C267" s="129"/>
      <c r="D267" s="129"/>
      <c r="E267" s="129"/>
      <c r="F267" s="129"/>
      <c r="I267" s="60"/>
      <c r="K267" s="6"/>
    </row>
    <row r="268" spans="2:9" ht="13.5">
      <c r="B268" s="129" t="s">
        <v>231</v>
      </c>
      <c r="C268" s="129"/>
      <c r="D268" s="129"/>
      <c r="E268" s="129"/>
      <c r="F268" s="129"/>
      <c r="I268" s="60"/>
    </row>
    <row r="269" spans="2:9" ht="13.5">
      <c r="B269" s="129" t="s">
        <v>116</v>
      </c>
      <c r="C269" s="129"/>
      <c r="D269" s="129"/>
      <c r="E269" s="129"/>
      <c r="F269" s="129"/>
      <c r="I269" s="60"/>
    </row>
    <row r="270" spans="2:9" ht="13.5">
      <c r="B270" s="129" t="s">
        <v>117</v>
      </c>
      <c r="C270" s="129"/>
      <c r="D270" s="129"/>
      <c r="E270" s="129"/>
      <c r="F270" s="129"/>
      <c r="I270" s="60"/>
    </row>
    <row r="271" spans="2:9" ht="13.5">
      <c r="B271" s="129" t="s">
        <v>118</v>
      </c>
      <c r="C271" s="129"/>
      <c r="D271" s="129"/>
      <c r="E271" s="129"/>
      <c r="F271" s="129"/>
      <c r="I271" s="60"/>
    </row>
    <row r="272" spans="2:9" ht="13.5">
      <c r="B272" s="129" t="s">
        <v>303</v>
      </c>
      <c r="C272" s="129"/>
      <c r="D272" s="129"/>
      <c r="E272" s="129"/>
      <c r="F272" s="129"/>
      <c r="I272" s="60"/>
    </row>
    <row r="273" spans="2:9" ht="13.5">
      <c r="B273" s="129" t="s">
        <v>119</v>
      </c>
      <c r="C273" s="129"/>
      <c r="D273" s="129"/>
      <c r="E273" s="129"/>
      <c r="F273" s="129"/>
      <c r="I273" s="60"/>
    </row>
    <row r="274" spans="1:16" ht="30" customHeight="1">
      <c r="A274" s="151" t="str">
        <f>IF(MAX('Munitions, Bulk Explosive Info'!O6:O25)=0,"None of the items listed in the 'Munitions, Bulk Explosive Info' Worksheet were identified as 'fuzed'.","At least one item listed in the 'Munitions, Bulk Explosive Info' Worksheet was identified as 'fuzed'.")</f>
        <v>None of the items listed in the 'Munitions, Bulk Explosive Info' Worksheet were identified as 'fuzed'.</v>
      </c>
      <c r="B274" s="151"/>
      <c r="C274" s="151"/>
      <c r="D274" s="151"/>
      <c r="E274" s="151"/>
      <c r="F274" s="151"/>
      <c r="I274" s="60"/>
      <c r="K274" s="27" t="str">
        <f>IF(MAX('Munitions, Bulk Explosive Info'!O6:O25)=0,"No","Yes")</f>
        <v>No</v>
      </c>
      <c r="L274" s="26"/>
      <c r="M274" s="26"/>
      <c r="N274" s="26"/>
      <c r="O274" s="26"/>
      <c r="P274" s="26"/>
    </row>
    <row r="275" spans="1:9" ht="13.5">
      <c r="A275" s="129" t="s">
        <v>129</v>
      </c>
      <c r="B275" s="129"/>
      <c r="C275" s="129"/>
      <c r="D275" s="129"/>
      <c r="E275" s="129"/>
      <c r="F275" s="129"/>
      <c r="I275" s="60"/>
    </row>
    <row r="276" spans="2:9" ht="26.25">
      <c r="B276" s="139">
        <f>IF(K263="Yes","Bulk Explosives",IF(K263="No",IF(K264="No",IF(G266="Yes","UXO Special Case","UXO"),IF(K264="Yes",IF(G266="Yes","Fuzed DMM Special Case",IF(K274="Yes","Fuzed DMM","Unfuzed DMM")),"")),""))</f>
      </c>
      <c r="C276" s="139"/>
      <c r="D276" s="6" t="s">
        <v>81</v>
      </c>
      <c r="E276" s="6" t="s">
        <v>256</v>
      </c>
      <c r="F276" s="6" t="s">
        <v>257</v>
      </c>
      <c r="I276" s="60"/>
    </row>
    <row r="277" spans="1:9" ht="13.5">
      <c r="A277" s="129" t="s">
        <v>232</v>
      </c>
      <c r="B277" s="129"/>
      <c r="C277" s="129"/>
      <c r="D277" s="6">
        <v>180</v>
      </c>
      <c r="E277" s="6">
        <v>180</v>
      </c>
      <c r="F277" s="6">
        <v>180</v>
      </c>
      <c r="I277" s="60"/>
    </row>
    <row r="278" spans="1:9" ht="13.5">
      <c r="A278" s="129" t="s">
        <v>29</v>
      </c>
      <c r="B278" s="129"/>
      <c r="C278" s="129"/>
      <c r="D278" s="6">
        <v>110</v>
      </c>
      <c r="E278" s="6">
        <v>110</v>
      </c>
      <c r="F278" s="6">
        <v>110</v>
      </c>
      <c r="I278" s="60"/>
    </row>
    <row r="279" spans="1:9" ht="13.5">
      <c r="A279" s="129" t="s">
        <v>233</v>
      </c>
      <c r="B279" s="129"/>
      <c r="C279" s="129"/>
      <c r="D279" s="6">
        <v>105</v>
      </c>
      <c r="E279" s="6">
        <v>105</v>
      </c>
      <c r="F279" s="6">
        <v>105</v>
      </c>
      <c r="I279" s="60"/>
    </row>
    <row r="280" spans="1:9" ht="13.5">
      <c r="A280" s="129" t="s">
        <v>234</v>
      </c>
      <c r="B280" s="129"/>
      <c r="C280" s="129"/>
      <c r="D280" s="6">
        <v>55</v>
      </c>
      <c r="E280" s="6">
        <v>55</v>
      </c>
      <c r="F280" s="6">
        <v>55</v>
      </c>
      <c r="I280" s="60"/>
    </row>
    <row r="281" spans="1:9" ht="13.5">
      <c r="A281" s="129" t="s">
        <v>32</v>
      </c>
      <c r="B281" s="129"/>
      <c r="C281" s="129"/>
      <c r="D281" s="6">
        <v>45</v>
      </c>
      <c r="E281" s="6">
        <v>45</v>
      </c>
      <c r="F281" s="6">
        <v>45</v>
      </c>
      <c r="I281" s="60"/>
    </row>
    <row r="282" spans="1:9" ht="13.5">
      <c r="A282" s="129" t="s">
        <v>33</v>
      </c>
      <c r="B282" s="129"/>
      <c r="C282" s="129"/>
      <c r="D282" s="6">
        <v>45</v>
      </c>
      <c r="E282" s="6">
        <v>45</v>
      </c>
      <c r="F282" s="6">
        <v>45</v>
      </c>
      <c r="I282" s="60"/>
    </row>
    <row r="283" spans="1:9" ht="27.75" customHeight="1">
      <c r="A283" s="116" t="str">
        <f>IF(B276="","Please answer the questions above in order to determine the MEC classification category.","Based on your answers above, the MEC classification is '"&amp;B276&amp;"'.")</f>
        <v>Please answer the questions above in order to determine the MEC classification category.</v>
      </c>
      <c r="B283" s="116"/>
      <c r="C283" s="116"/>
      <c r="D283" s="116"/>
      <c r="E283" s="116"/>
      <c r="F283" s="116"/>
      <c r="G283" s="11" t="s">
        <v>0</v>
      </c>
      <c r="I283" s="60"/>
    </row>
    <row r="284" spans="1:9" ht="13.5">
      <c r="A284" s="7" t="s">
        <v>56</v>
      </c>
      <c r="B284" s="7"/>
      <c r="C284" s="7"/>
      <c r="D284" s="7"/>
      <c r="E284" s="7"/>
      <c r="F284" s="7"/>
      <c r="G284" s="12">
        <f>IF(ISNA(VLOOKUP($B$276,$A$276:$F$282,4,FALSE)),"",VLOOKUP($B$276,$A$276:$F$282,4,FALSE))</f>
      </c>
      <c r="I284" s="60"/>
    </row>
    <row r="285" spans="1:9" ht="13.5">
      <c r="A285" s="7" t="s">
        <v>258</v>
      </c>
      <c r="B285" s="7"/>
      <c r="C285" s="7"/>
      <c r="D285" s="7"/>
      <c r="E285" s="7"/>
      <c r="F285" s="7"/>
      <c r="G285" s="12">
        <f>IF(ISNA(VLOOKUP($B$276,$A$276:$F$282,5,FALSE)),"",VLOOKUP($B$276,$A$276:$F$282,5,FALSE))</f>
      </c>
      <c r="I285" s="60"/>
    </row>
    <row r="286" spans="1:9" ht="13.5">
      <c r="A286" s="6" t="s">
        <v>259</v>
      </c>
      <c r="G286" s="12">
        <f>IF(ISNA(VLOOKUP($B$276,$A$276:$F$282,6,FALSE)),"",VLOOKUP($B$276,$A$276:$F$282,6,FALSE))</f>
      </c>
      <c r="I286" s="60"/>
    </row>
    <row r="287" spans="1:9" ht="20.25" customHeight="1">
      <c r="A287" s="17" t="s">
        <v>295</v>
      </c>
      <c r="B287" s="17"/>
      <c r="C287" s="17"/>
      <c r="D287" s="17"/>
      <c r="E287" s="17"/>
      <c r="F287" s="17"/>
      <c r="I287" s="60"/>
    </row>
    <row r="288" spans="1:9" ht="13.5">
      <c r="A288" s="129" t="s">
        <v>130</v>
      </c>
      <c r="B288" s="129"/>
      <c r="C288" s="129"/>
      <c r="D288" s="129"/>
      <c r="E288" s="129"/>
      <c r="F288" s="129"/>
      <c r="I288" s="60"/>
    </row>
    <row r="289" spans="2:9" ht="26.25">
      <c r="B289" s="139" t="s">
        <v>102</v>
      </c>
      <c r="C289" s="139"/>
      <c r="D289" s="6" t="s">
        <v>81</v>
      </c>
      <c r="E289" s="6" t="s">
        <v>256</v>
      </c>
      <c r="F289" s="6" t="s">
        <v>257</v>
      </c>
      <c r="I289" s="60"/>
    </row>
    <row r="290" spans="1:9" ht="78.75" customHeight="1">
      <c r="A290" s="6" t="s">
        <v>35</v>
      </c>
      <c r="B290" s="139" t="s">
        <v>255</v>
      </c>
      <c r="C290" s="139"/>
      <c r="D290" s="6">
        <v>40</v>
      </c>
      <c r="E290" s="6">
        <v>40</v>
      </c>
      <c r="F290" s="6">
        <v>40</v>
      </c>
      <c r="I290" s="60"/>
    </row>
    <row r="291" spans="1:9" ht="42.75" customHeight="1">
      <c r="A291" s="6" t="s">
        <v>36</v>
      </c>
      <c r="B291" s="139" t="s">
        <v>254</v>
      </c>
      <c r="C291" s="139"/>
      <c r="D291" s="6">
        <v>0</v>
      </c>
      <c r="E291" s="6">
        <v>0</v>
      </c>
      <c r="F291" s="6">
        <v>0</v>
      </c>
      <c r="I291" s="60"/>
    </row>
    <row r="292" spans="1:16" ht="27" customHeight="1">
      <c r="A292" s="129" t="s">
        <v>298</v>
      </c>
      <c r="B292" s="129"/>
      <c r="C292" s="129"/>
      <c r="D292" s="129"/>
      <c r="E292" s="129"/>
      <c r="F292" s="130"/>
      <c r="G292" s="59"/>
      <c r="I292" s="60"/>
      <c r="K292" s="25">
        <f>nz(G292)</f>
      </c>
      <c r="L292" s="7"/>
      <c r="M292" s="7"/>
      <c r="N292" s="7"/>
      <c r="O292" s="7"/>
      <c r="P292" s="7"/>
    </row>
    <row r="293" spans="1:16" ht="13.5">
      <c r="A293" s="7"/>
      <c r="B293" s="7"/>
      <c r="C293" s="7"/>
      <c r="D293" s="7"/>
      <c r="E293" s="7"/>
      <c r="G293" s="11" t="s">
        <v>0</v>
      </c>
      <c r="I293" s="60"/>
      <c r="K293" s="25"/>
      <c r="L293" s="7"/>
      <c r="M293" s="7"/>
      <c r="N293" s="7"/>
      <c r="O293" s="7"/>
      <c r="P293" s="7"/>
    </row>
    <row r="294" spans="1:9" ht="13.5">
      <c r="A294" s="9" t="s">
        <v>56</v>
      </c>
      <c r="G294" s="12">
        <f>IF(IF9Cat="","",VLOOKUP($K$292,$A$290:$F$291,4,FALSE))</f>
      </c>
      <c r="I294" s="60"/>
    </row>
    <row r="295" spans="1:9" ht="13.5">
      <c r="A295" s="9" t="s">
        <v>258</v>
      </c>
      <c r="G295" s="12">
        <f>IF(IF9Cat="","",VLOOKUP($K$292,$A$290:$F$291,5,FALSE))</f>
      </c>
      <c r="I295" s="60"/>
    </row>
    <row r="296" spans="1:9" ht="13.5">
      <c r="A296" s="9" t="s">
        <v>259</v>
      </c>
      <c r="G296" s="12">
        <f>IF(IF9Cat="","",VLOOKUP($K$292,$A$290:$F$291,6,FALSE))</f>
      </c>
      <c r="I296" s="60"/>
    </row>
    <row r="297" ht="13.5">
      <c r="I297" s="60"/>
    </row>
    <row r="298" ht="13.5">
      <c r="I298" s="60"/>
    </row>
  </sheetData>
  <sheetProtection formatColumns="0" formatRows="0"/>
  <mergeCells count="184">
    <mergeCell ref="B289:C289"/>
    <mergeCell ref="B290:C290"/>
    <mergeCell ref="B291:C291"/>
    <mergeCell ref="A118:F118"/>
    <mergeCell ref="A278:C278"/>
    <mergeCell ref="A279:C279"/>
    <mergeCell ref="A280:C280"/>
    <mergeCell ref="B267:F267"/>
    <mergeCell ref="B268:F268"/>
    <mergeCell ref="B269:F269"/>
    <mergeCell ref="B270:F270"/>
    <mergeCell ref="A281:C281"/>
    <mergeCell ref="A282:C282"/>
    <mergeCell ref="B271:F271"/>
    <mergeCell ref="B273:F273"/>
    <mergeCell ref="A274:F274"/>
    <mergeCell ref="A275:F275"/>
    <mergeCell ref="B276:C276"/>
    <mergeCell ref="A277:C277"/>
    <mergeCell ref="B272:F272"/>
    <mergeCell ref="A266:F266"/>
    <mergeCell ref="A264:F264"/>
    <mergeCell ref="A145:F145"/>
    <mergeCell ref="A146:F146"/>
    <mergeCell ref="A150:E150"/>
    <mergeCell ref="A151:F151"/>
    <mergeCell ref="A152:F152"/>
    <mergeCell ref="A153:F153"/>
    <mergeCell ref="A250:G250"/>
    <mergeCell ref="A214:F214"/>
    <mergeCell ref="A19:G19"/>
    <mergeCell ref="A189:F189"/>
    <mergeCell ref="A192:F192"/>
    <mergeCell ref="A249:F249"/>
    <mergeCell ref="A36:G36"/>
    <mergeCell ref="A39:F39"/>
    <mergeCell ref="A41:C41"/>
    <mergeCell ref="A23:G23"/>
    <mergeCell ref="A187:C187"/>
    <mergeCell ref="A193:F193"/>
    <mergeCell ref="A251:F251"/>
    <mergeCell ref="B252:C252"/>
    <mergeCell ref="A229:F229"/>
    <mergeCell ref="A230:F230"/>
    <mergeCell ref="A231:F231"/>
    <mergeCell ref="A248:F248"/>
    <mergeCell ref="A241:F241"/>
    <mergeCell ref="A233:F233"/>
    <mergeCell ref="A238:F238"/>
    <mergeCell ref="A190:F190"/>
    <mergeCell ref="B183:C183"/>
    <mergeCell ref="A205:F205"/>
    <mergeCell ref="A206:F206"/>
    <mergeCell ref="A184:C184"/>
    <mergeCell ref="A185:C185"/>
    <mergeCell ref="A186:C186"/>
    <mergeCell ref="A202:F202"/>
    <mergeCell ref="A203:F203"/>
    <mergeCell ref="A204:F204"/>
    <mergeCell ref="A224:F224"/>
    <mergeCell ref="A222:F222"/>
    <mergeCell ref="A211:F211"/>
    <mergeCell ref="A212:F212"/>
    <mergeCell ref="A213:F213"/>
    <mergeCell ref="A215:F215"/>
    <mergeCell ref="A221:F221"/>
    <mergeCell ref="A223:F223"/>
    <mergeCell ref="A220:F220"/>
    <mergeCell ref="A283:F283"/>
    <mergeCell ref="A288:F288"/>
    <mergeCell ref="A194:F194"/>
    <mergeCell ref="A195:F195"/>
    <mergeCell ref="A196:F196"/>
    <mergeCell ref="A197:F197"/>
    <mergeCell ref="A253:C253"/>
    <mergeCell ref="A254:C254"/>
    <mergeCell ref="A263:F263"/>
    <mergeCell ref="A255:F255"/>
    <mergeCell ref="A179:F179"/>
    <mergeCell ref="A180:F180"/>
    <mergeCell ref="A181:F181"/>
    <mergeCell ref="A182:F182"/>
    <mergeCell ref="B169:C169"/>
    <mergeCell ref="B170:C170"/>
    <mergeCell ref="A172:F172"/>
    <mergeCell ref="A178:F178"/>
    <mergeCell ref="A173:F173"/>
    <mergeCell ref="B165:C165"/>
    <mergeCell ref="B166:C166"/>
    <mergeCell ref="B167:C167"/>
    <mergeCell ref="B168:C168"/>
    <mergeCell ref="A116:F116"/>
    <mergeCell ref="A129:E129"/>
    <mergeCell ref="B164:C164"/>
    <mergeCell ref="B162:C162"/>
    <mergeCell ref="A132:F132"/>
    <mergeCell ref="A136:E136"/>
    <mergeCell ref="A137:F137"/>
    <mergeCell ref="A138:F138"/>
    <mergeCell ref="B163:C163"/>
    <mergeCell ref="A139:F139"/>
    <mergeCell ref="B106:C106"/>
    <mergeCell ref="A115:E115"/>
    <mergeCell ref="A112:E112"/>
    <mergeCell ref="A109:E109"/>
    <mergeCell ref="A111:F111"/>
    <mergeCell ref="A113:F113"/>
    <mergeCell ref="A114:F114"/>
    <mergeCell ref="A110:F110"/>
    <mergeCell ref="B103:C103"/>
    <mergeCell ref="B104:C104"/>
    <mergeCell ref="B105:C105"/>
    <mergeCell ref="A80:F80"/>
    <mergeCell ref="A84:F84"/>
    <mergeCell ref="A85:F85"/>
    <mergeCell ref="A89:F89"/>
    <mergeCell ref="B102:C102"/>
    <mergeCell ref="A90:F90"/>
    <mergeCell ref="A74:F74"/>
    <mergeCell ref="A79:F79"/>
    <mergeCell ref="A69:F69"/>
    <mergeCell ref="A70:F70"/>
    <mergeCell ref="A46:F46"/>
    <mergeCell ref="A49:F49"/>
    <mergeCell ref="B53:C53"/>
    <mergeCell ref="A56:F56"/>
    <mergeCell ref="B54:C54"/>
    <mergeCell ref="B52:C52"/>
    <mergeCell ref="B51:C51"/>
    <mergeCell ref="A5:F5"/>
    <mergeCell ref="A20:F20"/>
    <mergeCell ref="A21:F21"/>
    <mergeCell ref="A13:F13"/>
    <mergeCell ref="A7:C7"/>
    <mergeCell ref="A8:C8"/>
    <mergeCell ref="A9:C9"/>
    <mergeCell ref="A10:C10"/>
    <mergeCell ref="A11:C11"/>
    <mergeCell ref="A12:C12"/>
    <mergeCell ref="A22:F22"/>
    <mergeCell ref="A31:F31"/>
    <mergeCell ref="A32:F32"/>
    <mergeCell ref="A75:F75"/>
    <mergeCell ref="A26:F26"/>
    <mergeCell ref="A28:C28"/>
    <mergeCell ref="A29:C29"/>
    <mergeCell ref="A30:F30"/>
    <mergeCell ref="A34:F34"/>
    <mergeCell ref="B50:C50"/>
    <mergeCell ref="A33:F33"/>
    <mergeCell ref="A35:F35"/>
    <mergeCell ref="A42:C42"/>
    <mergeCell ref="A44:F44"/>
    <mergeCell ref="A43:F43"/>
    <mergeCell ref="A122:E122"/>
    <mergeCell ref="A123:F123"/>
    <mergeCell ref="A124:F124"/>
    <mergeCell ref="A232:F232"/>
    <mergeCell ref="A125:F125"/>
    <mergeCell ref="A144:F144"/>
    <mergeCell ref="A160:F160"/>
    <mergeCell ref="A130:F130"/>
    <mergeCell ref="A131:F131"/>
    <mergeCell ref="A143:E143"/>
    <mergeCell ref="B161:C161"/>
    <mergeCell ref="A57:F57"/>
    <mergeCell ref="A63:F63"/>
    <mergeCell ref="A45:F45"/>
    <mergeCell ref="A117:F117"/>
    <mergeCell ref="A55:F55"/>
    <mergeCell ref="A101:F101"/>
    <mergeCell ref="A61:F61"/>
    <mergeCell ref="A94:F94"/>
    <mergeCell ref="A95:F95"/>
    <mergeCell ref="A62:F62"/>
    <mergeCell ref="A292:F292"/>
    <mergeCell ref="A265:F265"/>
    <mergeCell ref="A25:F25"/>
    <mergeCell ref="A38:F38"/>
    <mergeCell ref="A68:F68"/>
    <mergeCell ref="A260:F260"/>
    <mergeCell ref="A242:F242"/>
    <mergeCell ref="A239:F239"/>
    <mergeCell ref="A240:F240"/>
  </mergeCells>
  <conditionalFormatting sqref="G292 G266">
    <cfRule type="expression" priority="1" dxfId="1" stopIfTrue="1">
      <formula>$K$263&lt;&gt;"No"</formula>
    </cfRule>
  </conditionalFormatting>
  <conditionalFormatting sqref="A249:G249">
    <cfRule type="expression" priority="2" dxfId="10" stopIfTrue="1">
      <formula>$G$248&lt;&gt;"Yes"</formula>
    </cfRule>
  </conditionalFormatting>
  <conditionalFormatting sqref="G267:G274 G264">
    <cfRule type="expression" priority="3" dxfId="0" stopIfTrue="1">
      <formula>$K$263="Yes"</formula>
    </cfRule>
  </conditionalFormatting>
  <conditionalFormatting sqref="G244:G246 G235:G237 G226:G228 G217:G219 G208:G210 A199:F201 B198:F198 A197:F197 G197:G201 A196:G196 H196:H201 A193:H195 A115:G121">
    <cfRule type="expression" priority="4" dxfId="0" stopIfTrue="1">
      <formula>Alt1Title=""</formula>
    </cfRule>
  </conditionalFormatting>
  <conditionalFormatting sqref="A244:F246 G243 A241:G242 H241:H246 A238:H240 A150:G156">
    <cfRule type="expression" priority="5" dxfId="0" stopIfTrue="1">
      <formula>Alt6Title=""</formula>
    </cfRule>
  </conditionalFormatting>
  <conditionalFormatting sqref="A264:F264 A266:F273">
    <cfRule type="expression" priority="6" dxfId="0" stopIfTrue="1">
      <formula>$K$263&lt;&gt;"No"</formula>
    </cfRule>
  </conditionalFormatting>
  <conditionalFormatting sqref="A274:F274">
    <cfRule type="expression" priority="7" dxfId="0" stopIfTrue="1">
      <formula>OR($K$263&lt;&gt;"No",$K$264&lt;&gt;"Yes")</formula>
    </cfRule>
  </conditionalFormatting>
  <conditionalFormatting sqref="A250:G250">
    <cfRule type="expression" priority="8" dxfId="1" stopIfTrue="1">
      <formula>$G$248&lt;&gt;"Yes"</formula>
    </cfRule>
  </conditionalFormatting>
  <conditionalFormatting sqref="A235:F237 G234 A232:G233 H232:H237 A229:H231 A143:G149">
    <cfRule type="expression" priority="9" dxfId="0" stopIfTrue="1">
      <formula>Alt5Title=""</formula>
    </cfRule>
  </conditionalFormatting>
  <conditionalFormatting sqref="A226:F228 H223:H228 A220:H222 A136:G142 A223:G225">
    <cfRule type="expression" priority="10" dxfId="0" stopIfTrue="1">
      <formula>Alt4Title=""</formula>
    </cfRule>
  </conditionalFormatting>
  <conditionalFormatting sqref="A217:F219 H214:H219 A211:H213 A129:G135 A214:G216">
    <cfRule type="expression" priority="11" dxfId="0" stopIfTrue="1">
      <formula>Alt3Title=""</formula>
    </cfRule>
  </conditionalFormatting>
  <conditionalFormatting sqref="A208:F210 H205:H210 A202:H204 A122:G128 A205:G207">
    <cfRule type="expression" priority="12" dxfId="0" stopIfTrue="1">
      <formula>Alt2Title=""</formula>
    </cfRule>
  </conditionalFormatting>
  <conditionalFormatting sqref="A69:A73 G69:G73 B69:F70">
    <cfRule type="expression" priority="13" dxfId="0" stopIfTrue="1">
      <formula>ISBLANK(Alt1Title)</formula>
    </cfRule>
  </conditionalFormatting>
  <conditionalFormatting sqref="A74:G78">
    <cfRule type="expression" priority="14" dxfId="0" stopIfTrue="1">
      <formula>ISBLANK(Alt2Title)</formula>
    </cfRule>
  </conditionalFormatting>
  <conditionalFormatting sqref="A79:G83">
    <cfRule type="expression" priority="15" dxfId="0" stopIfTrue="1">
      <formula>ISBLANK(Alt3Title)</formula>
    </cfRule>
  </conditionalFormatting>
  <conditionalFormatting sqref="A84:G88">
    <cfRule type="expression" priority="16" dxfId="0" stopIfTrue="1">
      <formula>ISBLANK(Alt4Title)</formula>
    </cfRule>
  </conditionalFormatting>
  <conditionalFormatting sqref="A89:G93">
    <cfRule type="expression" priority="17" dxfId="0" stopIfTrue="1">
      <formula>ISBLANK(Alt5Title)</formula>
    </cfRule>
  </conditionalFormatting>
  <conditionalFormatting sqref="A94:G98">
    <cfRule type="expression" priority="18" dxfId="0" stopIfTrue="1">
      <formula>ISBLANK(Alt6Title)</formula>
    </cfRule>
  </conditionalFormatting>
  <conditionalFormatting sqref="A22:F22">
    <cfRule type="expression" priority="19" dxfId="0" stopIfTrue="1">
      <formula>$G$21&lt;&gt;"Yes"</formula>
    </cfRule>
  </conditionalFormatting>
  <conditionalFormatting sqref="A112:H114 G61:G68 A61:F62 A64:F68">
    <cfRule type="expression" priority="20" dxfId="0" stopIfTrue="1">
      <formula>PlannedFutureUse&lt;&gt;"Yes"</formula>
    </cfRule>
  </conditionalFormatting>
  <conditionalFormatting sqref="A23:G23">
    <cfRule type="expression" priority="21" dxfId="1" stopIfTrue="1">
      <formula>$G$21&lt;&gt;"Yes"</formula>
    </cfRule>
  </conditionalFormatting>
  <conditionalFormatting sqref="A63:F63">
    <cfRule type="expression" priority="22" dxfId="1" stopIfTrue="1">
      <formula>PlannedFutureUse&lt;&gt;"Yes"</formula>
    </cfRule>
  </conditionalFormatting>
  <conditionalFormatting sqref="A35:G35 A34:F34 A37:G46">
    <cfRule type="expression" priority="23" dxfId="0" stopIfTrue="1">
      <formula>PlannedFutureUse&lt;&gt;"Yes"</formula>
    </cfRule>
  </conditionalFormatting>
  <conditionalFormatting sqref="G34">
    <cfRule type="expression" priority="24" dxfId="1" stopIfTrue="1">
      <formula>PlannedFutureUse&lt;&gt;"Yes"</formula>
    </cfRule>
  </conditionalFormatting>
  <conditionalFormatting sqref="A36:G36">
    <cfRule type="expression" priority="25" dxfId="1" stopIfTrue="1">
      <formula>$G$34&lt;&gt;"Yes"</formula>
    </cfRule>
    <cfRule type="expression" priority="26" dxfId="1" stopIfTrue="1">
      <formula>PlannedFutureUse&lt;&gt;"Yes"</formula>
    </cfRule>
  </conditionalFormatting>
  <conditionalFormatting sqref="A265:F265">
    <cfRule type="expression" priority="27" dxfId="0" stopIfTrue="1">
      <formula>$A$173&lt;&gt;$A$163</formula>
    </cfRule>
  </conditionalFormatting>
  <conditionalFormatting sqref="G265">
    <cfRule type="expression" priority="28" dxfId="1" stopIfTrue="1">
      <formula>$A$173&lt;&gt;$A$163</formula>
    </cfRule>
  </conditionalFormatting>
  <dataValidations count="5">
    <dataValidation type="list" allowBlank="1" showInputMessage="1" showErrorMessage="1" sqref="G292">
      <formula1>$A$290:$A$291</formula1>
    </dataValidation>
    <dataValidation type="list" allowBlank="1" showInputMessage="1" showErrorMessage="1" sqref="G265:G266 G248 G34 G21">
      <formula1>YesNoList</formula1>
    </dataValidation>
    <dataValidation type="list" allowBlank="1" showInputMessage="1" showErrorMessage="1" sqref="A173:F173">
      <formula1>$A$162:$A$170</formula1>
    </dataValidation>
    <dataValidation type="list" allowBlank="1" showInputMessage="1" showErrorMessage="1" sqref="A57:F57 A63:F63">
      <formula1>$A$51:$A$54</formula1>
    </dataValidation>
    <dataValidation type="decimal" allowBlank="1" showInputMessage="1" showErrorMessage="1" sqref="G20">
      <formula1>0</formula1>
      <formula2>1E+30</formula2>
    </dataValidation>
  </dataValidations>
  <printOptions/>
  <pageMargins left="0.75" right="0.75" top="1" bottom="1" header="0.5" footer="0.5"/>
  <pageSetup horizontalDpi="600" verticalDpi="600" orientation="portrait" scale="74" r:id="rId4"/>
  <headerFooter alignWithMargins="0">
    <oddHeader>&amp;R&amp;"Tahoma,Regular"&amp;8MEC HA Workbook v1.0
November 2006</oddHeader>
    <oddFooter>&amp;L&amp;"Tahoma,Regular"&amp;8Input Factors Worksheet&amp;R&amp;"Tahoma,Regular"&amp;8Public Review Draft - Do Not Cite or Quote</oddFooter>
  </headerFooter>
  <rowBreaks count="5" manualBreakCount="5">
    <brk id="47" max="255" man="1"/>
    <brk id="99" max="255" man="1"/>
    <brk id="158" max="255" man="1"/>
    <brk id="189" max="255" man="1"/>
    <brk id="237" max="255" man="1"/>
  </rowBreaks>
  <ignoredErrors>
    <ignoredError sqref="G120" formula="1"/>
  </ignoredErrors>
  <drawing r:id="rId3"/>
  <legacyDrawing r:id="rId2"/>
</worksheet>
</file>

<file path=xl/worksheets/sheet8.xml><?xml version="1.0" encoding="utf-8"?>
<worksheet xmlns="http://schemas.openxmlformats.org/spreadsheetml/2006/main" xmlns:r="http://schemas.openxmlformats.org/officeDocument/2006/relationships">
  <dimension ref="A1:A9"/>
  <sheetViews>
    <sheetView workbookViewId="0" topLeftCell="A1">
      <selection activeCell="C26" sqref="C26"/>
    </sheetView>
  </sheetViews>
  <sheetFormatPr defaultColWidth="9.140625" defaultRowHeight="12.75"/>
  <cols>
    <col min="1" max="1" width="48.140625" style="0" customWidth="1"/>
  </cols>
  <sheetData>
    <row r="1" ht="12.75">
      <c r="A1" t="s">
        <v>313</v>
      </c>
    </row>
    <row r="2" ht="12.75">
      <c r="A2" t="s">
        <v>306</v>
      </c>
    </row>
    <row r="3" ht="12.75">
      <c r="A3" t="s">
        <v>307</v>
      </c>
    </row>
    <row r="4" ht="12.75">
      <c r="A4" t="s">
        <v>308</v>
      </c>
    </row>
    <row r="5" ht="12.75">
      <c r="A5" t="s">
        <v>309</v>
      </c>
    </row>
    <row r="6" ht="12.75">
      <c r="A6" t="s">
        <v>310</v>
      </c>
    </row>
    <row r="7" ht="12.75">
      <c r="A7" t="s">
        <v>311</v>
      </c>
    </row>
    <row r="8" ht="12.75">
      <c r="A8" t="s">
        <v>312</v>
      </c>
    </row>
    <row r="9" ht="12.75">
      <c r="A9" t="s">
        <v>314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G114"/>
  <sheetViews>
    <sheetView workbookViewId="0" topLeftCell="A64">
      <selection activeCell="B73" sqref="B73"/>
    </sheetView>
  </sheetViews>
  <sheetFormatPr defaultColWidth="9.140625" defaultRowHeight="12.75"/>
  <cols>
    <col min="1" max="1" width="24.140625" style="6" customWidth="1"/>
    <col min="2" max="2" width="32.8515625" style="2" customWidth="1"/>
    <col min="3" max="3" width="12.00390625" style="2" customWidth="1"/>
    <col min="4" max="4" width="10.8515625" style="2" customWidth="1"/>
    <col min="5" max="5" width="10.28125" style="2" customWidth="1"/>
    <col min="6" max="16384" width="9.140625" style="2" customWidth="1"/>
  </cols>
  <sheetData>
    <row r="1" spans="1:7" ht="15">
      <c r="A1" s="152" t="s">
        <v>145</v>
      </c>
      <c r="B1" s="152"/>
      <c r="C1" s="152"/>
      <c r="D1" s="152"/>
      <c r="E1" s="152"/>
      <c r="F1" s="152"/>
      <c r="G1" s="152"/>
    </row>
    <row r="2" spans="1:5" ht="12.75">
      <c r="A2" s="156" t="s">
        <v>46</v>
      </c>
      <c r="B2" s="156"/>
      <c r="C2" s="156"/>
      <c r="D2" s="156"/>
      <c r="E2" s="156"/>
    </row>
    <row r="3" spans="1:6" ht="12.75">
      <c r="A3" s="154" t="s">
        <v>38</v>
      </c>
      <c r="B3" s="159" t="s">
        <v>39</v>
      </c>
      <c r="C3" s="159" t="s">
        <v>0</v>
      </c>
      <c r="D3" s="159"/>
      <c r="E3" s="159"/>
      <c r="F3" s="2" t="s">
        <v>200</v>
      </c>
    </row>
    <row r="4" spans="1:7" ht="25.5">
      <c r="A4" s="154"/>
      <c r="B4" s="159"/>
      <c r="C4" s="31" t="s">
        <v>241</v>
      </c>
      <c r="D4" s="32" t="s">
        <v>242</v>
      </c>
      <c r="E4" s="32" t="s">
        <v>243</v>
      </c>
      <c r="F4" s="2" t="s">
        <v>196</v>
      </c>
      <c r="G4" s="2" t="s">
        <v>197</v>
      </c>
    </row>
    <row r="5" spans="1:7" ht="25.5">
      <c r="A5" s="153" t="s">
        <v>6</v>
      </c>
      <c r="B5" s="33" t="s">
        <v>215</v>
      </c>
      <c r="C5" s="34">
        <v>100</v>
      </c>
      <c r="D5" s="34">
        <v>100</v>
      </c>
      <c r="E5" s="34">
        <v>100</v>
      </c>
      <c r="F5" s="2">
        <v>5</v>
      </c>
      <c r="G5" s="2" t="str">
        <f aca="true" t="shared" si="0" ref="G5:G10">B5</f>
        <v>High Explosive and Low Explosive Filler in Fragmenting Rounds</v>
      </c>
    </row>
    <row r="6" spans="1:7" ht="12.75">
      <c r="A6" s="153"/>
      <c r="B6" s="33" t="s">
        <v>2</v>
      </c>
      <c r="C6" s="34">
        <v>70</v>
      </c>
      <c r="D6" s="34">
        <v>70</v>
      </c>
      <c r="E6" s="34">
        <v>70</v>
      </c>
      <c r="F6" s="2">
        <v>4</v>
      </c>
      <c r="G6" s="2" t="str">
        <f t="shared" si="0"/>
        <v>White Phosphorus</v>
      </c>
    </row>
    <row r="7" spans="1:7" ht="12.75">
      <c r="A7" s="153"/>
      <c r="B7" s="33" t="s">
        <v>252</v>
      </c>
      <c r="C7" s="34">
        <v>60</v>
      </c>
      <c r="D7" s="34">
        <v>60</v>
      </c>
      <c r="E7" s="34">
        <v>60</v>
      </c>
      <c r="F7" s="2">
        <v>3</v>
      </c>
      <c r="G7" s="2" t="str">
        <f t="shared" si="0"/>
        <v>Pyrotechnic</v>
      </c>
    </row>
    <row r="8" spans="1:7" ht="12.75">
      <c r="A8" s="153"/>
      <c r="B8" s="33" t="s">
        <v>3</v>
      </c>
      <c r="C8" s="34">
        <v>50</v>
      </c>
      <c r="D8" s="34">
        <v>50</v>
      </c>
      <c r="E8" s="34">
        <v>50</v>
      </c>
      <c r="F8" s="2">
        <v>2</v>
      </c>
      <c r="G8" s="2" t="str">
        <f t="shared" si="0"/>
        <v>Propellant</v>
      </c>
    </row>
    <row r="9" spans="1:7" ht="12.75">
      <c r="A9" s="153"/>
      <c r="B9" s="33" t="s">
        <v>4</v>
      </c>
      <c r="C9" s="34">
        <v>40</v>
      </c>
      <c r="D9" s="34">
        <v>40</v>
      </c>
      <c r="E9" s="34">
        <v>40</v>
      </c>
      <c r="F9" s="2">
        <v>1</v>
      </c>
      <c r="G9" s="2" t="str">
        <f t="shared" si="0"/>
        <v>Spotting Charge</v>
      </c>
    </row>
    <row r="10" spans="1:7" ht="12.75">
      <c r="A10" s="153"/>
      <c r="B10" s="33" t="s">
        <v>5</v>
      </c>
      <c r="C10" s="34">
        <v>30</v>
      </c>
      <c r="D10" s="34">
        <v>30</v>
      </c>
      <c r="E10" s="34">
        <v>30</v>
      </c>
      <c r="F10" s="2">
        <v>0</v>
      </c>
      <c r="G10" s="2" t="str">
        <f t="shared" si="0"/>
        <v>Incendiary</v>
      </c>
    </row>
    <row r="11" spans="1:5" ht="12.75" customHeight="1">
      <c r="A11" s="155" t="s">
        <v>1</v>
      </c>
      <c r="B11" s="33" t="s">
        <v>219</v>
      </c>
      <c r="C11" s="34">
        <v>30</v>
      </c>
      <c r="D11" s="34">
        <v>30</v>
      </c>
      <c r="E11" s="34">
        <v>30</v>
      </c>
    </row>
    <row r="12" spans="1:5" ht="12.75">
      <c r="A12" s="155"/>
      <c r="B12" s="33" t="s">
        <v>220</v>
      </c>
      <c r="C12" s="34">
        <v>0</v>
      </c>
      <c r="D12" s="34">
        <v>0</v>
      </c>
      <c r="E12" s="34">
        <v>0</v>
      </c>
    </row>
    <row r="13" spans="1:5" ht="12.75">
      <c r="A13" s="153" t="s">
        <v>10</v>
      </c>
      <c r="B13" s="33" t="s">
        <v>106</v>
      </c>
      <c r="C13" s="35">
        <v>80</v>
      </c>
      <c r="D13" s="35">
        <v>80</v>
      </c>
      <c r="E13" s="35">
        <v>80</v>
      </c>
    </row>
    <row r="14" spans="1:5" ht="12.75">
      <c r="A14" s="153"/>
      <c r="B14" s="33" t="s">
        <v>7</v>
      </c>
      <c r="C14" s="35">
        <v>55</v>
      </c>
      <c r="D14" s="35">
        <v>55</v>
      </c>
      <c r="E14" s="35">
        <v>55</v>
      </c>
    </row>
    <row r="15" spans="1:5" ht="12.75">
      <c r="A15" s="153"/>
      <c r="B15" s="33" t="s">
        <v>8</v>
      </c>
      <c r="C15" s="35">
        <v>15</v>
      </c>
      <c r="D15" s="35">
        <v>15</v>
      </c>
      <c r="E15" s="35">
        <v>15</v>
      </c>
    </row>
    <row r="16" spans="1:5" ht="12.75">
      <c r="A16" s="153"/>
      <c r="B16" s="33" t="s">
        <v>9</v>
      </c>
      <c r="C16" s="35">
        <v>5</v>
      </c>
      <c r="D16" s="35">
        <v>5</v>
      </c>
      <c r="E16" s="35">
        <v>5</v>
      </c>
    </row>
    <row r="17" spans="1:5" ht="12.75">
      <c r="A17" s="153" t="s">
        <v>15</v>
      </c>
      <c r="B17" s="36" t="s">
        <v>11</v>
      </c>
      <c r="C17" s="37">
        <v>120</v>
      </c>
      <c r="D17" s="38">
        <v>90</v>
      </c>
      <c r="E17" s="38">
        <v>30</v>
      </c>
    </row>
    <row r="18" spans="1:5" ht="12.75">
      <c r="A18" s="153"/>
      <c r="B18" s="33" t="s">
        <v>12</v>
      </c>
      <c r="C18" s="38">
        <v>70</v>
      </c>
      <c r="D18" s="38">
        <v>50</v>
      </c>
      <c r="E18" s="38">
        <v>20</v>
      </c>
    </row>
    <row r="19" spans="1:5" ht="12.75">
      <c r="A19" s="153"/>
      <c r="B19" s="33" t="s">
        <v>13</v>
      </c>
      <c r="C19" s="38">
        <v>40</v>
      </c>
      <c r="D19" s="38">
        <v>20</v>
      </c>
      <c r="E19" s="38">
        <v>10</v>
      </c>
    </row>
    <row r="20" spans="1:6" ht="12.75">
      <c r="A20" s="153"/>
      <c r="B20" s="33" t="s">
        <v>14</v>
      </c>
      <c r="C20" s="38">
        <v>15</v>
      </c>
      <c r="D20" s="38">
        <v>10</v>
      </c>
      <c r="E20" s="38">
        <v>5</v>
      </c>
      <c r="F20" s="3" t="s">
        <v>179</v>
      </c>
    </row>
    <row r="21" spans="1:6" ht="12.75">
      <c r="A21" s="153" t="s">
        <v>23</v>
      </c>
      <c r="B21" s="33" t="s">
        <v>16</v>
      </c>
      <c r="C21" s="39">
        <v>180</v>
      </c>
      <c r="D21" s="39">
        <v>120</v>
      </c>
      <c r="E21" s="39">
        <v>30</v>
      </c>
      <c r="F21" s="40" t="s">
        <v>54</v>
      </c>
    </row>
    <row r="22" spans="1:6" ht="12.75">
      <c r="A22" s="153"/>
      <c r="B22" s="33" t="s">
        <v>17</v>
      </c>
      <c r="C22" s="39">
        <v>180</v>
      </c>
      <c r="D22" s="39">
        <v>110</v>
      </c>
      <c r="E22" s="39">
        <v>30</v>
      </c>
      <c r="F22" s="40" t="s">
        <v>54</v>
      </c>
    </row>
    <row r="23" spans="1:6" ht="12.75">
      <c r="A23" s="153"/>
      <c r="B23" s="33" t="s">
        <v>251</v>
      </c>
      <c r="C23" s="39">
        <v>165</v>
      </c>
      <c r="D23" s="39">
        <v>90</v>
      </c>
      <c r="E23" s="39">
        <v>25</v>
      </c>
      <c r="F23" s="40" t="s">
        <v>54</v>
      </c>
    </row>
    <row r="24" spans="1:6" ht="12.75">
      <c r="A24" s="153"/>
      <c r="B24" s="33" t="s">
        <v>18</v>
      </c>
      <c r="C24" s="39">
        <v>140</v>
      </c>
      <c r="D24" s="39">
        <v>140</v>
      </c>
      <c r="E24" s="39">
        <v>10</v>
      </c>
      <c r="F24" s="41" t="s">
        <v>53</v>
      </c>
    </row>
    <row r="25" spans="1:6" ht="12.75">
      <c r="A25" s="153"/>
      <c r="B25" s="33" t="s">
        <v>19</v>
      </c>
      <c r="C25" s="39">
        <v>115</v>
      </c>
      <c r="D25" s="39">
        <v>15</v>
      </c>
      <c r="E25" s="39">
        <v>5</v>
      </c>
      <c r="F25" s="41" t="s">
        <v>53</v>
      </c>
    </row>
    <row r="26" spans="1:6" ht="12.75">
      <c r="A26" s="153"/>
      <c r="B26" s="33" t="s">
        <v>20</v>
      </c>
      <c r="C26" s="42">
        <v>75</v>
      </c>
      <c r="D26" s="42">
        <v>10</v>
      </c>
      <c r="E26" s="42">
        <v>5</v>
      </c>
      <c r="F26" s="41" t="s">
        <v>53</v>
      </c>
    </row>
    <row r="27" spans="1:6" ht="12.75">
      <c r="A27" s="153"/>
      <c r="B27" s="33" t="s">
        <v>107</v>
      </c>
      <c r="C27" s="42">
        <v>30</v>
      </c>
      <c r="D27" s="42">
        <v>10</v>
      </c>
      <c r="E27" s="42">
        <v>5</v>
      </c>
      <c r="F27" s="40" t="s">
        <v>54</v>
      </c>
    </row>
    <row r="28" spans="1:6" ht="12.75">
      <c r="A28" s="153"/>
      <c r="B28" s="33" t="s">
        <v>21</v>
      </c>
      <c r="C28" s="42">
        <v>25</v>
      </c>
      <c r="D28" s="42">
        <v>10</v>
      </c>
      <c r="E28" s="42">
        <v>5</v>
      </c>
      <c r="F28" s="41" t="s">
        <v>53</v>
      </c>
    </row>
    <row r="29" spans="1:6" ht="12.75">
      <c r="A29" s="153"/>
      <c r="B29" s="33" t="s">
        <v>22</v>
      </c>
      <c r="C29" s="42">
        <v>20</v>
      </c>
      <c r="D29" s="42">
        <v>10</v>
      </c>
      <c r="E29" s="42">
        <v>5</v>
      </c>
      <c r="F29" s="41" t="s">
        <v>53</v>
      </c>
    </row>
    <row r="30" spans="1:5" ht="51">
      <c r="A30" s="155" t="s">
        <v>24</v>
      </c>
      <c r="B30" s="6" t="s">
        <v>299</v>
      </c>
      <c r="C30" s="38">
        <v>240</v>
      </c>
      <c r="D30" s="38">
        <v>150</v>
      </c>
      <c r="E30" s="38">
        <v>95</v>
      </c>
    </row>
    <row r="31" spans="1:5" ht="51">
      <c r="A31" s="155"/>
      <c r="B31" s="6" t="s">
        <v>228</v>
      </c>
      <c r="C31" s="38">
        <v>240</v>
      </c>
      <c r="D31" s="38">
        <v>50</v>
      </c>
      <c r="E31" s="38">
        <v>25</v>
      </c>
    </row>
    <row r="32" spans="1:5" ht="51">
      <c r="A32" s="155"/>
      <c r="B32" s="6" t="s">
        <v>229</v>
      </c>
      <c r="C32" s="38">
        <v>150</v>
      </c>
      <c r="D32" s="38"/>
      <c r="E32" s="38">
        <v>95</v>
      </c>
    </row>
    <row r="33" spans="1:5" ht="51">
      <c r="A33" s="155"/>
      <c r="B33" s="6" t="s">
        <v>230</v>
      </c>
      <c r="C33" s="38">
        <v>50</v>
      </c>
      <c r="D33" s="38"/>
      <c r="E33" s="38">
        <v>25</v>
      </c>
    </row>
    <row r="34" spans="1:5" ht="12.75">
      <c r="A34" s="153" t="s">
        <v>27</v>
      </c>
      <c r="B34" s="43" t="s">
        <v>25</v>
      </c>
      <c r="C34" s="34">
        <v>30</v>
      </c>
      <c r="D34" s="34">
        <v>30</v>
      </c>
      <c r="E34" s="34">
        <v>10</v>
      </c>
    </row>
    <row r="35" spans="1:5" ht="12.75">
      <c r="A35" s="153"/>
      <c r="B35" s="43" t="s">
        <v>26</v>
      </c>
      <c r="C35" s="34">
        <v>10</v>
      </c>
      <c r="D35" s="34">
        <v>10</v>
      </c>
      <c r="E35" s="34">
        <v>10</v>
      </c>
    </row>
    <row r="36" spans="1:5" ht="12.75">
      <c r="A36" s="153" t="s">
        <v>34</v>
      </c>
      <c r="B36" s="33" t="s">
        <v>28</v>
      </c>
      <c r="C36" s="34">
        <v>180</v>
      </c>
      <c r="D36" s="34">
        <v>180</v>
      </c>
      <c r="E36" s="34">
        <v>180</v>
      </c>
    </row>
    <row r="37" spans="1:5" ht="12.75">
      <c r="A37" s="153"/>
      <c r="B37" s="33" t="s">
        <v>29</v>
      </c>
      <c r="C37" s="34">
        <v>110</v>
      </c>
      <c r="D37" s="34">
        <v>110</v>
      </c>
      <c r="E37" s="34">
        <v>110</v>
      </c>
    </row>
    <row r="38" spans="1:5" ht="12.75">
      <c r="A38" s="153"/>
      <c r="B38" s="33" t="s">
        <v>30</v>
      </c>
      <c r="C38" s="34">
        <v>105</v>
      </c>
      <c r="D38" s="34">
        <v>105</v>
      </c>
      <c r="E38" s="34">
        <v>105</v>
      </c>
    </row>
    <row r="39" spans="1:5" ht="12.75">
      <c r="A39" s="153"/>
      <c r="B39" s="33" t="s">
        <v>31</v>
      </c>
      <c r="C39" s="34">
        <v>55</v>
      </c>
      <c r="D39" s="34">
        <v>55</v>
      </c>
      <c r="E39" s="34">
        <v>55</v>
      </c>
    </row>
    <row r="40" spans="1:5" ht="12.75">
      <c r="A40" s="153"/>
      <c r="B40" s="33" t="s">
        <v>32</v>
      </c>
      <c r="C40" s="34">
        <v>45</v>
      </c>
      <c r="D40" s="34">
        <v>45</v>
      </c>
      <c r="E40" s="34">
        <v>45</v>
      </c>
    </row>
    <row r="41" spans="1:5" ht="12.75">
      <c r="A41" s="153"/>
      <c r="B41" s="33" t="s">
        <v>33</v>
      </c>
      <c r="C41" s="34">
        <v>45</v>
      </c>
      <c r="D41" s="34">
        <v>45</v>
      </c>
      <c r="E41" s="34">
        <v>45</v>
      </c>
    </row>
    <row r="42" spans="1:5" ht="12.75">
      <c r="A42" s="153" t="s">
        <v>37</v>
      </c>
      <c r="B42" s="33" t="s">
        <v>35</v>
      </c>
      <c r="C42" s="34">
        <v>40</v>
      </c>
      <c r="D42" s="34">
        <v>40</v>
      </c>
      <c r="E42" s="34">
        <v>40</v>
      </c>
    </row>
    <row r="43" spans="1:5" ht="12.75">
      <c r="A43" s="153"/>
      <c r="B43" s="33" t="s">
        <v>36</v>
      </c>
      <c r="C43" s="34">
        <v>0</v>
      </c>
      <c r="D43" s="34">
        <v>0</v>
      </c>
      <c r="E43" s="34">
        <v>0</v>
      </c>
    </row>
    <row r="45" spans="3:5" ht="12.75">
      <c r="C45" s="2">
        <f>SUM(MAX(C$5:C$10),MAX(C$11:C$12),MAX(C$13:C$16),MAX(C$17:C$20),MAX(C$21:C$29),MAX(C$30:C$33),MAX(C$34:C$35),MAX(C$36:C$41),MAX(C$42:C$43))</f>
        <v>1000</v>
      </c>
      <c r="D45" s="2">
        <f>SUM(MAX(D$5:D$10),MAX(D$11:D$12),MAX(D$13:D$16),MAX(D$17:D$20),MAX(D$21:D$29),MAX(D$30:D$33),MAX(D$34:D$35),MAX(D$36:D$41),MAX(D$42:D$43))</f>
        <v>840</v>
      </c>
      <c r="E45" s="2">
        <f>SUM(MAX(E$5:E$10),MAX(E$11:E$12),MAX(E$13:E$16),MAX(E$17:E$20),MAX(E$21:E$29),MAX(E$30:E$33),MAX(E$34:E$35),MAX(E$36:E$41),MAX(E$42:E$43))</f>
        <v>595</v>
      </c>
    </row>
    <row r="46" spans="3:5" ht="12.75">
      <c r="C46" s="2">
        <f>SUM(MIN(C$5:C$10),MIN(C$11:C$12),MIN(C$13:C$16),MIN(C$17:C$20),MIN(C$21:C$29),MIN(C$30:C$33),MIN(C$34:C$35),MIN(C$36:C$41),MIN(C$42:C$43))</f>
        <v>175</v>
      </c>
      <c r="D46" s="2">
        <f>SUM(MIN(D$5:D$10),MIN(D$11:D$12),MIN(D$13:D$16),MIN(D$17:D$20),MIN(D$21:D$29),MIN(D$30:D$33),MIN(D$34:D$35),MIN(D$36:D$41),MIN(D$42:D$43))</f>
        <v>160</v>
      </c>
      <c r="E46" s="2">
        <f>SUM(MIN(E$5:E$10),MIN(E$11:E$12),MIN(E$13:E$16),MIN(E$17:E$20),MIN(E$21:E$29),MIN(E$30:E$33),MIN(E$34:E$35),MIN(E$36:E$41),MIN(E$42:E$43))</f>
        <v>125</v>
      </c>
    </row>
    <row r="51" spans="2:4" ht="12.75">
      <c r="B51" s="157" t="s">
        <v>47</v>
      </c>
      <c r="C51" s="157"/>
      <c r="D51" s="157"/>
    </row>
    <row r="52" spans="2:4" ht="12.75">
      <c r="B52" s="30" t="s">
        <v>42</v>
      </c>
      <c r="C52" s="31" t="s">
        <v>43</v>
      </c>
      <c r="D52" s="31" t="s">
        <v>44</v>
      </c>
    </row>
    <row r="53" spans="2:4" ht="12.75">
      <c r="B53" s="33">
        <v>1</v>
      </c>
      <c r="C53" s="44">
        <v>1000</v>
      </c>
      <c r="D53" s="44">
        <v>840</v>
      </c>
    </row>
    <row r="54" spans="2:4" ht="12.75">
      <c r="B54" s="33">
        <v>2</v>
      </c>
      <c r="C54" s="44">
        <v>835</v>
      </c>
      <c r="D54" s="44">
        <v>735</v>
      </c>
    </row>
    <row r="55" spans="2:4" ht="12.75">
      <c r="B55" s="33">
        <v>3</v>
      </c>
      <c r="C55" s="44">
        <v>730</v>
      </c>
      <c r="D55" s="44">
        <v>530</v>
      </c>
    </row>
    <row r="56" spans="2:4" ht="12.75">
      <c r="B56" s="33">
        <v>4</v>
      </c>
      <c r="C56" s="44">
        <v>525</v>
      </c>
      <c r="D56" s="44">
        <v>125</v>
      </c>
    </row>
    <row r="59" spans="2:3" ht="12.75">
      <c r="B59" s="158" t="s">
        <v>244</v>
      </c>
      <c r="C59" s="158"/>
    </row>
    <row r="60" spans="2:3" ht="12.75">
      <c r="B60" s="2" t="s">
        <v>48</v>
      </c>
      <c r="C60" s="2">
        <v>2</v>
      </c>
    </row>
    <row r="61" spans="2:3" ht="12.75">
      <c r="B61" s="2" t="s">
        <v>241</v>
      </c>
      <c r="C61" s="2">
        <v>2</v>
      </c>
    </row>
    <row r="62" spans="2:3" ht="12.75">
      <c r="B62" s="2" t="s">
        <v>245</v>
      </c>
      <c r="C62" s="2">
        <v>3</v>
      </c>
    </row>
    <row r="63" spans="2:3" ht="12.75">
      <c r="B63" s="2" t="s">
        <v>243</v>
      </c>
      <c r="C63" s="2">
        <v>4</v>
      </c>
    </row>
    <row r="66" spans="1:4" ht="12.75">
      <c r="A66" s="6" t="s">
        <v>182</v>
      </c>
      <c r="B66" s="2" t="s">
        <v>53</v>
      </c>
      <c r="C66" s="2" t="s">
        <v>53</v>
      </c>
      <c r="D66" s="2" t="s">
        <v>267</v>
      </c>
    </row>
    <row r="67" spans="1:4" ht="12.75">
      <c r="A67" s="6" t="s">
        <v>183</v>
      </c>
      <c r="B67" s="2" t="s">
        <v>54</v>
      </c>
      <c r="C67" s="2" t="s">
        <v>54</v>
      </c>
      <c r="D67" s="2" t="s">
        <v>268</v>
      </c>
    </row>
    <row r="68" ht="12.75">
      <c r="C68" s="2" t="s">
        <v>168</v>
      </c>
    </row>
    <row r="69" spans="2:3" ht="12.75">
      <c r="B69" s="3" t="s">
        <v>133</v>
      </c>
      <c r="C69" s="3" t="s">
        <v>141</v>
      </c>
    </row>
    <row r="70" spans="2:3" ht="12.75">
      <c r="B70" s="2" t="s">
        <v>305</v>
      </c>
      <c r="C70" s="2">
        <v>25.4</v>
      </c>
    </row>
    <row r="71" spans="2:3" ht="12.75">
      <c r="B71" s="2" t="s">
        <v>131</v>
      </c>
      <c r="C71" s="2">
        <v>1</v>
      </c>
    </row>
    <row r="72" ht="12.75">
      <c r="B72" s="2" t="s">
        <v>134</v>
      </c>
    </row>
    <row r="73" spans="2:3" ht="12.75">
      <c r="B73" s="2" t="s">
        <v>132</v>
      </c>
      <c r="C73" s="45">
        <v>1E+30</v>
      </c>
    </row>
    <row r="75" ht="12.75">
      <c r="B75" s="3" t="s">
        <v>246</v>
      </c>
    </row>
    <row r="76" ht="12.75">
      <c r="B76" s="2" t="s">
        <v>247</v>
      </c>
    </row>
    <row r="77" ht="12.75">
      <c r="B77" s="2" t="s">
        <v>248</v>
      </c>
    </row>
    <row r="78" ht="12.75">
      <c r="B78" s="2" t="s">
        <v>249</v>
      </c>
    </row>
    <row r="80" ht="12.75">
      <c r="B80" s="3" t="s">
        <v>146</v>
      </c>
    </row>
    <row r="81" ht="12.75">
      <c r="B81" s="2" t="s">
        <v>147</v>
      </c>
    </row>
    <row r="82" ht="12.75">
      <c r="B82" s="2" t="s">
        <v>148</v>
      </c>
    </row>
    <row r="83" ht="12.75">
      <c r="B83" s="2" t="s">
        <v>149</v>
      </c>
    </row>
    <row r="86" ht="12.75">
      <c r="A86" s="10" t="s">
        <v>150</v>
      </c>
    </row>
    <row r="87" spans="1:5" ht="12.75">
      <c r="A87" s="10" t="s">
        <v>151</v>
      </c>
      <c r="C87" s="3" t="s">
        <v>71</v>
      </c>
      <c r="D87" s="3" t="s">
        <v>72</v>
      </c>
      <c r="E87" s="3" t="s">
        <v>176</v>
      </c>
    </row>
    <row r="88" spans="1:5" ht="12.75">
      <c r="A88" s="6" t="s">
        <v>158</v>
      </c>
      <c r="C88" s="2" t="s">
        <v>169</v>
      </c>
      <c r="D88" s="2" t="s">
        <v>174</v>
      </c>
      <c r="E88" s="2" t="s">
        <v>177</v>
      </c>
    </row>
    <row r="89" spans="1:5" ht="12.75">
      <c r="A89" s="6" t="s">
        <v>154</v>
      </c>
      <c r="C89" s="2" t="s">
        <v>170</v>
      </c>
      <c r="D89" s="2" t="s">
        <v>175</v>
      </c>
      <c r="E89" s="2" t="s">
        <v>178</v>
      </c>
    </row>
    <row r="90" spans="1:4" ht="12.75">
      <c r="A90" s="6" t="s">
        <v>166</v>
      </c>
      <c r="C90" s="2" t="s">
        <v>171</v>
      </c>
      <c r="D90" s="2" t="s">
        <v>168</v>
      </c>
    </row>
    <row r="91" spans="1:3" ht="25.5">
      <c r="A91" s="6" t="s">
        <v>155</v>
      </c>
      <c r="C91" s="2" t="s">
        <v>172</v>
      </c>
    </row>
    <row r="92" spans="1:3" ht="12.75">
      <c r="A92" s="6" t="s">
        <v>164</v>
      </c>
      <c r="C92" s="2" t="s">
        <v>173</v>
      </c>
    </row>
    <row r="93" spans="1:3" ht="12.75">
      <c r="A93" s="6" t="s">
        <v>163</v>
      </c>
      <c r="C93" s="2" t="s">
        <v>168</v>
      </c>
    </row>
    <row r="94" ht="12.75">
      <c r="A94" s="6" t="s">
        <v>302</v>
      </c>
    </row>
    <row r="95" ht="12.75">
      <c r="A95" s="6" t="s">
        <v>160</v>
      </c>
    </row>
    <row r="96" ht="12.75">
      <c r="A96" s="6" t="s">
        <v>153</v>
      </c>
    </row>
    <row r="97" ht="12.75">
      <c r="A97" s="6" t="s">
        <v>165</v>
      </c>
    </row>
    <row r="98" ht="12.75">
      <c r="A98" s="6" t="s">
        <v>161</v>
      </c>
    </row>
    <row r="99" ht="12.75">
      <c r="A99" s="6" t="s">
        <v>159</v>
      </c>
    </row>
    <row r="100" ht="12.75">
      <c r="A100" s="6" t="s">
        <v>252</v>
      </c>
    </row>
    <row r="101" ht="12.75">
      <c r="A101" s="6" t="s">
        <v>152</v>
      </c>
    </row>
    <row r="102" ht="12.75">
      <c r="A102" s="6" t="s">
        <v>156</v>
      </c>
    </row>
    <row r="103" ht="12.75">
      <c r="A103" s="6" t="s">
        <v>162</v>
      </c>
    </row>
    <row r="104" ht="12.75">
      <c r="A104" s="6" t="s">
        <v>157</v>
      </c>
    </row>
    <row r="107" spans="1:2" ht="12.75">
      <c r="A107" s="3" t="s">
        <v>62</v>
      </c>
      <c r="B107" s="2" t="s">
        <v>196</v>
      </c>
    </row>
    <row r="108" spans="1:2" ht="12.75">
      <c r="A108" s="2" t="s">
        <v>167</v>
      </c>
      <c r="B108" s="2">
        <v>5</v>
      </c>
    </row>
    <row r="109" spans="1:2" ht="12.75">
      <c r="A109" s="2" t="s">
        <v>261</v>
      </c>
      <c r="B109" s="2">
        <v>5</v>
      </c>
    </row>
    <row r="110" spans="1:2" ht="12.75">
      <c r="A110" s="2" t="s">
        <v>2</v>
      </c>
      <c r="B110" s="2">
        <v>4</v>
      </c>
    </row>
    <row r="111" spans="1:2" ht="12.75">
      <c r="A111" s="2" t="s">
        <v>252</v>
      </c>
      <c r="B111" s="2">
        <v>3</v>
      </c>
    </row>
    <row r="112" spans="1:2" ht="12.75">
      <c r="A112" s="2" t="s">
        <v>3</v>
      </c>
      <c r="B112" s="2">
        <v>2</v>
      </c>
    </row>
    <row r="113" spans="1:2" ht="12.75">
      <c r="A113" s="2" t="s">
        <v>4</v>
      </c>
      <c r="B113" s="2">
        <v>1</v>
      </c>
    </row>
    <row r="114" spans="1:2" ht="12.75">
      <c r="A114" s="2" t="s">
        <v>5</v>
      </c>
      <c r="B114" s="2">
        <v>0</v>
      </c>
    </row>
  </sheetData>
  <mergeCells count="16">
    <mergeCell ref="B51:D51"/>
    <mergeCell ref="B59:C59"/>
    <mergeCell ref="C3:E3"/>
    <mergeCell ref="A11:A12"/>
    <mergeCell ref="A5:A10"/>
    <mergeCell ref="A13:A16"/>
    <mergeCell ref="A36:A41"/>
    <mergeCell ref="A42:A43"/>
    <mergeCell ref="B3:B4"/>
    <mergeCell ref="A1:G1"/>
    <mergeCell ref="A34:A35"/>
    <mergeCell ref="A3:A4"/>
    <mergeCell ref="A17:A20"/>
    <mergeCell ref="A21:A29"/>
    <mergeCell ref="A30:A33"/>
    <mergeCell ref="A2:E2"/>
  </mergeCells>
  <printOptions/>
  <pageMargins left="0.75" right="0.75" top="1" bottom="1" header="0.5" footer="0.5"/>
  <pageSetup horizontalDpi="600" verticalDpi="600" orientation="portrait" scale="74" r:id="rId1"/>
  <headerFooter alignWithMargins="0">
    <oddHeader>&amp;R&amp;"Tahoma,Regular"&amp;8MEC HA Workbook v1.0
November 2006</oddHeader>
    <oddFooter>&amp;L&amp;"Tahoma,Regular"&amp;8Validation Tables Worksheet&amp;R&amp;"Tahoma,Regular"&amp;8Public Review Draft - Do Not Cite or Quote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Wrench</dc:creator>
  <cp:keywords/>
  <dc:description/>
  <cp:lastModifiedBy>Laura Wrench</cp:lastModifiedBy>
  <cp:lastPrinted>2006-11-07T00:19:23Z</cp:lastPrinted>
  <dcterms:created xsi:type="dcterms:W3CDTF">2006-06-22T19:32:44Z</dcterms:created>
  <dcterms:modified xsi:type="dcterms:W3CDTF">2007-12-10T12:11:36Z</dcterms:modified>
  <cp:category/>
  <cp:version/>
  <cp:contentType/>
  <cp:contentStatus/>
</cp:coreProperties>
</file>