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435" tabRatio="933" activeTab="0"/>
  </bookViews>
  <sheets>
    <sheet name="Start" sheetId="1" r:id="rId1"/>
    <sheet name="Instructions" sheetId="2" state="hidden" r:id="rId2"/>
    <sheet name="Summary" sheetId="3" state="hidden" r:id="rId3"/>
    <sheet name="1 Facility Info" sheetId="4" state="hidden" r:id="rId4"/>
    <sheet name="2 Metering &amp; Billing" sheetId="5" state="hidden" r:id="rId5"/>
    <sheet name="3 Guest Rooms" sheetId="6" state="hidden" r:id="rId6"/>
    <sheet name="4 Public Restrooms" sheetId="7" state="hidden" r:id="rId7"/>
    <sheet name="5 Guest Ice &amp; Laundry" sheetId="8" state="hidden" r:id="rId8"/>
    <sheet name="6 Linen Laundry" sheetId="9" state="hidden" r:id="rId9"/>
    <sheet name="7 Commercial Kitchens" sheetId="10" state="hidden" r:id="rId10"/>
    <sheet name="8 Dishwashing" sheetId="11" state="hidden" r:id="rId11"/>
    <sheet name="9 HVAC &amp; Mechanical" sheetId="12" state="hidden" r:id="rId12"/>
    <sheet name="10 Irrigation" sheetId="13" state="hidden" r:id="rId13"/>
    <sheet name="11 Pools &amp; Spas" sheetId="14" state="hidden" r:id="rId14"/>
    <sheet name="Clothes Washer Calcs" sheetId="15" state="hidden" r:id="rId15"/>
    <sheet name="Dishwasher Calcs" sheetId="16" state="hidden" r:id="rId16"/>
    <sheet name="Ice Machine Calcs" sheetId="17" state="hidden" r:id="rId17"/>
    <sheet name="Conversions" sheetId="18" state="hidden" r:id="rId18"/>
    <sheet name="Sources" sheetId="19" state="hidden" r:id="rId19"/>
    <sheet name="Defaults" sheetId="20" state="hidden" r:id="rId20"/>
  </sheets>
  <definedNames>
    <definedName name="_BMP1" localSheetId="12">'10 Irrigation'!$D$18:$I$19</definedName>
    <definedName name="_BMP1" localSheetId="13">'11 Pools &amp; Spas'!$D$29</definedName>
    <definedName name="_BMP1" localSheetId="8">'6 Linen Laundry'!$D$30</definedName>
    <definedName name="_BMP1" localSheetId="9">'7 Commercial Kitchens'!$D$71</definedName>
    <definedName name="_BMP1" localSheetId="11">'9 HVAC &amp; Mechanical'!$D$69</definedName>
    <definedName name="_BMP10" localSheetId="11">'9 HVAC &amp; Mechanical'!$D$78</definedName>
    <definedName name="_BMP11" localSheetId="11">'9 HVAC &amp; Mechanical'!$D$79</definedName>
    <definedName name="_BMP12" localSheetId="11">'9 HVAC &amp; Mechanical'!$D$80</definedName>
    <definedName name="_BMP2" localSheetId="12">'10 Irrigation'!$D$20:$I$21</definedName>
    <definedName name="_BMP2" localSheetId="13">'11 Pools &amp; Spas'!$D$30</definedName>
    <definedName name="_BMP2" localSheetId="8">'6 Linen Laundry'!$D$31:$J$31</definedName>
    <definedName name="_BMP2" localSheetId="9">'7 Commercial Kitchens'!$D$72</definedName>
    <definedName name="_BMP2" localSheetId="11">'9 HVAC &amp; Mechanical'!$D$70</definedName>
    <definedName name="_BMP3" localSheetId="12">'10 Irrigation'!$D$22</definedName>
    <definedName name="_BMP3" localSheetId="13">'11 Pools &amp; Spas'!$D$31</definedName>
    <definedName name="_BMP3" localSheetId="8">'6 Linen Laundry'!$D$32:$J$32</definedName>
    <definedName name="_BMP3" localSheetId="9">'7 Commercial Kitchens'!$D$73</definedName>
    <definedName name="_BMP3" localSheetId="11">'9 HVAC &amp; Mechanical'!$D$71</definedName>
    <definedName name="_BMP4" localSheetId="12">'10 Irrigation'!$D$23</definedName>
    <definedName name="_BMP4" localSheetId="13">'11 Pools &amp; Spas'!$D$32</definedName>
    <definedName name="_BMP4" localSheetId="8">'6 Linen Laundry'!$D$33:$J$33</definedName>
    <definedName name="_BMP4" localSheetId="9">'7 Commercial Kitchens'!$D$74</definedName>
    <definedName name="_BMP4" localSheetId="11">'9 HVAC &amp; Mechanical'!$D$72</definedName>
    <definedName name="_BMP5" localSheetId="12">'10 Irrigation'!$D$24:$I$25</definedName>
    <definedName name="_BMP5" localSheetId="8">'6 Linen Laundry'!$D$34</definedName>
    <definedName name="_BMP5" localSheetId="9">'7 Commercial Kitchens'!$D$75</definedName>
    <definedName name="_BMP5" localSheetId="11">'9 HVAC &amp; Mechanical'!$D$73</definedName>
    <definedName name="_BMP6" localSheetId="12">'10 Irrigation'!$D$26:$I$27</definedName>
    <definedName name="_BMP6" localSheetId="9">'7 Commercial Kitchens'!$D$76</definedName>
    <definedName name="_BMP6" localSheetId="11">'9 HVAC &amp; Mechanical'!$D$74</definedName>
    <definedName name="_BMP7" localSheetId="9">'7 Commercial Kitchens'!$D$77</definedName>
    <definedName name="_BMP7" localSheetId="11">'9 HVAC &amp; Mechanical'!$D$75</definedName>
    <definedName name="_BMP8" localSheetId="9">'7 Commercial Kitchens'!$D$78</definedName>
    <definedName name="_BMP8" localSheetId="11">'9 HVAC &amp; Mechanical'!$D$76</definedName>
    <definedName name="_BMP9" localSheetId="9">'7 Commercial Kitchens'!$D$79</definedName>
    <definedName name="_BMP9" localSheetId="11">'9 HVAC &amp; Mechanical'!$D$77</definedName>
    <definedName name="_xlfn.IFERROR" hidden="1">#NAME?</definedName>
    <definedName name="AcreFeetToGallons" localSheetId="17">'Conversions'!$B$3</definedName>
    <definedName name="AddressInfo" localSheetId="3">'1 Facility Info'!$J$10:$L$13</definedName>
    <definedName name="AltBMP" localSheetId="8">'6 Linen Laundry'!$E$48</definedName>
    <definedName name="Assumptions" localSheetId="13">'11 Pools &amp; Spas'!$H$39:$I$43</definedName>
    <definedName name="Assumptions" localSheetId="5">'3 Guest Rooms'!$G$64:$G$71</definedName>
    <definedName name="Assumptions" localSheetId="6">'4 Public Restrooms'!$G$73:$G$88</definedName>
    <definedName name="Assumptions" localSheetId="7">'5 Guest Ice &amp; Laundry'!$G$51:$H$55</definedName>
    <definedName name="Assumptions" localSheetId="8">'6 Linen Laundry'!$G$39:$G$45</definedName>
    <definedName name="Assumptions" localSheetId="9">'7 Commercial Kitchens'!$G$85:$G$91</definedName>
    <definedName name="Assumptions" localSheetId="10">'8 Dishwashing'!$G$54:$G$56</definedName>
    <definedName name="Assumptions" localSheetId="11">'9 HVAC &amp; Mechanical'!$G$87:$G$89</definedName>
    <definedName name="AverageGallonsPerPoundOfLaundry" localSheetId="8">'6 Linen Laundry'!#REF!</definedName>
    <definedName name="AverageGuestsPerRoom">'1 Facility Info'!$F$22</definedName>
    <definedName name="AverageOccupancyRate">'1 Facility Info'!$F$23</definedName>
    <definedName name="BuildingSize" localSheetId="3">'1 Facility Info'!$F$16</definedName>
    <definedName name="ClothesWasherInfo" localSheetId="7">'5 Guest Ice &amp; Laundry'!$D$20:$G$22</definedName>
    <definedName name="CombinationOven" localSheetId="9">'7 Commercial Kitchens'!$G$28</definedName>
    <definedName name="CombinationOvenInfo" localSheetId="9">'7 Commercial Kitchens'!$E$32:$G$33</definedName>
    <definedName name="CommercialDishwasher" localSheetId="10">'8 Dishwashing'!$F$13</definedName>
    <definedName name="CommercialDishwasher" localSheetId="2">'Summary'!$F$13</definedName>
    <definedName name="CommercialKitchen" localSheetId="9">'7 Commercial Kitchens'!$G$8</definedName>
    <definedName name="ContactInfo" localSheetId="3">'1 Facility Info'!$E$10:$G$13</definedName>
    <definedName name="ConvertedElectricityRate">'1 Facility Info'!$P$28</definedName>
    <definedName name="ConvertedNaturalGasRate">'1 Facility Info'!$P$29</definedName>
    <definedName name="ConvertedWastewaterRate">'1 Facility Info'!$P$27</definedName>
    <definedName name="ConvertedWaterRate">'1 Facility Info'!$P$26</definedName>
    <definedName name="CoolingTower" localSheetId="11">'9 HVAC &amp; Mechanical'!$H$9</definedName>
    <definedName name="CoolingTowerBlowDown" localSheetId="11">'9 HVAC &amp; Mechanical'!$H$18</definedName>
    <definedName name="CoolingTowerBlowDownConductivity" localSheetId="11">'9 HVAC &amp; Mechanical'!$H$32</definedName>
    <definedName name="CoolingTowerBlowDownControl" localSheetId="11">'9 HVAC &amp; Mechanical'!$H$22</definedName>
    <definedName name="CoolingTowerBlowDownVolume" localSheetId="11">'9 HVAC &amp; Mechanical'!$H$20</definedName>
    <definedName name="CoolingTowerCapacity" localSheetId="11">'9 HVAC &amp; Mechanical'!$H$12</definedName>
    <definedName name="CoolingTowerCoC" localSheetId="11">'9 HVAC &amp; Mechanical'!$H$26</definedName>
    <definedName name="CoolingTowerCoCKnown" localSheetId="11">'9 HVAC &amp; Mechanical'!$H$24</definedName>
    <definedName name="CoolingTowerEstimatedCoC" localSheetId="11">'9 HVAC &amp; Mechanical'!$H$35</definedName>
    <definedName name="CoolingTowerMakeUp" localSheetId="11">'9 HVAC &amp; Mechanical'!$H$14</definedName>
    <definedName name="CoolingTowerMakeUpConductivity" localSheetId="11">'9 HVAC &amp; Mechanical'!$H$30</definedName>
    <definedName name="CoolingTowerMakeUpVolume" localSheetId="11">'9 HVAC &amp; Mechanical'!$H$16</definedName>
    <definedName name="CoolingTowerWaterTreatment" localSheetId="11">'9 HVAC &amp; Mechanical'!$H$28</definedName>
    <definedName name="DefaultAssumptions_Commercial_Kitchen" localSheetId="19">'Defaults'!$B$122:$B$128</definedName>
    <definedName name="DefaultAssumptions_Dishwashing" localSheetId="19">'Defaults'!$B$134:$B$136</definedName>
    <definedName name="DefaultAssumptions_Guest_Ice_Laundry" localSheetId="19">'Defaults'!$B$106:$C$110</definedName>
    <definedName name="DefaultAssumptions_Guest_Rooms" localSheetId="19">'Defaults'!$B$71:$B$78</definedName>
    <definedName name="DefaultAssumptions_HVAC_Mechanical" localSheetId="19">'Defaults'!$B$139:$B$141</definedName>
    <definedName name="DefaultAssumptions_Linen_Laundry" localSheetId="19">'Defaults'!$B$113:$B$119</definedName>
    <definedName name="DefaultAssumptions_Pool_Spa" localSheetId="19">'Defaults'!$B$144:$C$148</definedName>
    <definedName name="DefaultAssumptions_Public_Restrooms" localSheetId="19">'Defaults'!$B$88:$B$103</definedName>
    <definedName name="DefaultDailyFoodGrinderUse" localSheetId="19">'Defaults'!$B$48</definedName>
    <definedName name="DefaultDisposalFlowRate" localSheetId="19">'Defaults'!$B$47</definedName>
    <definedName name="DefaultFaucetFlowRate" localSheetId="19">'Defaults'!$B$19</definedName>
    <definedName name="DefaultGuestsPerRoom" localSheetId="19">'Defaults'!$B$8</definedName>
    <definedName name="DefaultIrrigationWaterUse" localSheetId="19">'Defaults'!$B$62</definedName>
    <definedName name="DefaultKitchenHours" localSheetId="19">'Defaults'!$B$46</definedName>
    <definedName name="DefaultLinenReuseWaterSavings" localSheetId="19">'Defaults'!$B$43</definedName>
    <definedName name="DefaultOccupancyRate" localSheetId="19">'Defaults'!$B$9</definedName>
    <definedName name="DefaultOperatingDays" localSheetId="19">'Defaults'!$B$10</definedName>
    <definedName name="DefaultPoolArea" localSheetId="19">'Defaults'!$B$55</definedName>
    <definedName name="DefaultPoolVolume" localSheetId="19">'Defaults'!$B$56</definedName>
    <definedName name="DefaultPRSVFlowRate" localSheetId="19">'Defaults'!$B$52</definedName>
    <definedName name="DefaultPRSVUsage" localSheetId="19">'Defaults'!$B$51</definedName>
    <definedName name="DefaultRacksPerDay" localSheetId="10">'8 Dishwashing'!$N$16</definedName>
    <definedName name="DefaultReplacementInfo_Dishwashing" localSheetId="19">'Defaults'!$B$131:$E$132</definedName>
    <definedName name="DefaultReplacementInfo_Guest_Rooms" localSheetId="19">'Defaults'!$B$66:$E$69</definedName>
    <definedName name="DefaultReplacementInfo_Public_Restrooms" localSheetId="19">'Defaults'!$B$81:$E$86</definedName>
    <definedName name="DefaultShowerFlowRate" localSheetId="19">'Defaults'!$B$20</definedName>
    <definedName name="DefaultSpaArea" localSheetId="19">'Defaults'!$B$57</definedName>
    <definedName name="DefaultSpaVolume" localSheetId="19">'Defaults'!$B$58</definedName>
    <definedName name="DefaultToiletDualFlushVolume" localSheetId="19">'Defaults'!$B$13</definedName>
    <definedName name="DefaultToiletSingleFlushVolume" localSheetId="19">'Defaults'!$B$16</definedName>
    <definedName name="DefaultToiletSingleFlushVolume1980" localSheetId="19">'Defaults'!$B$15</definedName>
    <definedName name="DefaultToiletSingleFlushVolume1994" localSheetId="19">'Defaults'!$B$14</definedName>
    <definedName name="DefaultUrinalFlushVolume" localSheetId="19">'Defaults'!$B$18</definedName>
    <definedName name="DefaultUrinalFlushVolume1994" localSheetId="19">'Defaults'!$B$17</definedName>
    <definedName name="DefaultUtilityRates" localSheetId="19">'Defaults'!$B$3:$C$6</definedName>
    <definedName name="DefaultWasherLoads" localSheetId="19">'Defaults'!$B$29</definedName>
    <definedName name="DefaultWaterSenseFaucet" localSheetId="19">'Defaults'!$B$24</definedName>
    <definedName name="DefaultWaterSensePRSV" localSheetId="19">'Defaults'!$B$26</definedName>
    <definedName name="DefaultWaterSenseShower" localSheetId="19">'Defaults'!$B$25</definedName>
    <definedName name="DefaultWaterSenseToilet" localSheetId="19">'Defaults'!$B$22</definedName>
    <definedName name="DefaultWaterSenseUrinal" localSheetId="19">'Defaults'!$B$23</definedName>
    <definedName name="DipperWellFlowRate" localSheetId="9">'7 Commercial Kitchens'!$G$90</definedName>
    <definedName name="DipperWellInfo" localSheetId="9">'7 Commercial Kitchens'!$E$46:$G$47</definedName>
    <definedName name="DipperWells" localSheetId="9">'7 Commercial Kitchens'!$G$42</definedName>
    <definedName name="DishwasherInfo" localSheetId="10">'8 Dishwashing'!$D$17:$H$19</definedName>
    <definedName name="DishwasherTypes">'Dishwasher Calcs'!$B$12:$B$16</definedName>
    <definedName name="Dishwashing">'8 Dishwashing'!$F$8</definedName>
    <definedName name="DishwashingEquipmentType" localSheetId="10">'8 Dishwashing'!$E$16</definedName>
    <definedName name="ElectricityUnits">'Conversions'!$D$23:$D$26</definedName>
    <definedName name="Employees" localSheetId="6">'4 Public Restrooms'!$G$8</definedName>
    <definedName name="EquipmentTable" localSheetId="8">'6 Linen Laundry'!$E$16:$I$19</definedName>
    <definedName name="FaucetInfo" localSheetId="5">'3 Guest Rooms'!$D$20:$E$23</definedName>
    <definedName name="FaucetInfo" localSheetId="6">'4 Public Restrooms'!$D$26:$E$28</definedName>
    <definedName name="FlowRateFaucets" localSheetId="5">'3 Guest Rooms'!$E$19</definedName>
    <definedName name="FlowRateFaucets" localSheetId="6">'4 Public Restrooms'!$E$25</definedName>
    <definedName name="FlowRateShowers" localSheetId="5">'3 Guest Rooms'!$E$26</definedName>
    <definedName name="FlowRateShowers" localSheetId="6">'4 Public Restrooms'!$E$31</definedName>
    <definedName name="FlushVolumeToilets" localSheetId="5">'3 Guest Rooms'!$F$11</definedName>
    <definedName name="FlushVolumeToilets" localSheetId="6">'4 Public Restrooms'!$F$13</definedName>
    <definedName name="FlushVolumeUrinals" localSheetId="6">'4 Public Restrooms'!$F$19</definedName>
    <definedName name="GarbageDisposalInfo" localSheetId="9">'7 Commercial Kitchens'!$E$53:$I$54</definedName>
    <definedName name="GarbageDisposalLoadSensor" localSheetId="9">'7 Commercial Kitchens'!$G$56</definedName>
    <definedName name="GarbageDisposals">'7 Commercial Kitchens'!$G$49</definedName>
    <definedName name="GuestRooms">'1 Facility Info'!$F$19</definedName>
    <definedName name="GuestUseClothesWashers" localSheetId="7">'5 Guest Ice &amp; Laundry'!$G$16</definedName>
    <definedName name="GuestUseClothesWashers" localSheetId="8">'6 Linen Laundry'!$H$16</definedName>
    <definedName name="GuestUseIceMakers" localSheetId="7">'5 Guest Ice &amp; Laundry'!$G$8</definedName>
    <definedName name="GuestUseIceMakers" localSheetId="8">'6 Linen Laundry'!$H$8</definedName>
    <definedName name="GuestUseIceMakers" localSheetId="9">'7 Commercial Kitchens'!$H$8</definedName>
    <definedName name="HotelConstructionYear">'1 Facility Info'!$F$17</definedName>
    <definedName name="HotelOperatingDays">'1 Facility Info'!$F$20</definedName>
    <definedName name="HotWaterFuelType">'1 Facility Info'!$F$18</definedName>
    <definedName name="IceEquipment" localSheetId="9">'7 Commercial Kitchens'!$G$13</definedName>
    <definedName name="IceMachineTypes">'Ice Machine Calcs'!$B$29:$B$31</definedName>
    <definedName name="IceMakerInfo" localSheetId="7">'5 Guest Ice &amp; Laundry'!$D$12:$H$14</definedName>
    <definedName name="IceMakerInfo" localSheetId="9">'7 Commercial Kitchens'!$E$17:$I$19</definedName>
    <definedName name="IgnoreCapacity" localSheetId="8">'6 Linen Laundry'!$P$16</definedName>
    <definedName name="IgnoreNumber" localSheetId="8">'6 Linen Laundry'!$Q$16</definedName>
    <definedName name="InGroundIrrigation">'10 Irrigation'!$G$6</definedName>
    <definedName name="InHouseLaundry" localSheetId="8">'6 Linen Laundry'!$G$10</definedName>
    <definedName name="InHouseLaundry" localSheetId="9">'7 Commercial Kitchens'!$G$9</definedName>
    <definedName name="Instructions" localSheetId="3">'1 Facility Info'!$B$3</definedName>
    <definedName name="Instructions" localSheetId="12">'10 Irrigation'!$B$3</definedName>
    <definedName name="Instructions" localSheetId="13">'11 Pools &amp; Spas'!$B$3:$K$5</definedName>
    <definedName name="Instructions" localSheetId="4">'2 Metering &amp; Billing'!$B$3:$J$6</definedName>
    <definedName name="Instructions" localSheetId="5">'3 Guest Rooms'!$B$3:$L$5</definedName>
    <definedName name="Instructions" localSheetId="6">'4 Public Restrooms'!$B$3:$K$5</definedName>
    <definedName name="Instructions" localSheetId="7">'5 Guest Ice &amp; Laundry'!$B$3:$L$5</definedName>
    <definedName name="Instructions" localSheetId="8">'6 Linen Laundry'!$B$3:$J$5</definedName>
    <definedName name="Instructions" localSheetId="9">'7 Commercial Kitchens'!$B$3:$K$5</definedName>
    <definedName name="Instructions" localSheetId="10">'8 Dishwashing'!$B$3:$L$5</definedName>
    <definedName name="Instructions" localSheetId="11">'9 HVAC &amp; Mechanical'!$B$3:$K$5</definedName>
    <definedName name="IrrigationController">'10 Irrigation'!$G$14</definedName>
    <definedName name="IrrigationMeteredSeparately" localSheetId="12">'10 Irrigation'!$G$8</definedName>
    <definedName name="IrrigationMeterReadings" localSheetId="12">'10 Irrigation'!$G$10</definedName>
    <definedName name="IrrigationThreshold" localSheetId="19">'Defaults'!$B$61</definedName>
    <definedName name="IrrigationWaterCalculated" localSheetId="12">'10 Irrigation'!$M$12</definedName>
    <definedName name="LandscapeArea">'10 Irrigation'!$G$12</definedName>
    <definedName name="LaundryEquipmentType" localSheetId="8">'6 Linen Laundry'!$E$15</definedName>
    <definedName name="LaundryPerRoomPerDay" localSheetId="8">'6 Linen Laundry'!$G$39</definedName>
    <definedName name="LinenReuseProgram">'6 Linen Laundry'!$G$8</definedName>
    <definedName name="MeterInfo" localSheetId="3">'1 Facility Info'!$D$33:$G$38</definedName>
    <definedName name="MeterInfo" localSheetId="4">'2 Metering &amp; Billing'!$D$8:$I$107</definedName>
    <definedName name="Meters">'1 Facility Info'!$D$33:$D$38</definedName>
    <definedName name="NaturalGasUnits">'Conversions'!$D$13:$D$20</definedName>
    <definedName name="NoBMPs" localSheetId="12">'10 Irrigation'!$E$31:$I$32</definedName>
    <definedName name="NoBMPs" localSheetId="13">'11 Pools &amp; Spas'!$E$45</definedName>
    <definedName name="NoBMPs" localSheetId="7">'5 Guest Ice &amp; Laundry'!$E$57</definedName>
    <definedName name="NoBMPs" localSheetId="8">'6 Linen Laundry'!$E$47</definedName>
    <definedName name="NoBMPs" localSheetId="9">'7 Commercial Kitchens'!$E$93</definedName>
    <definedName name="NoBMPs" localSheetId="10">'8 Dishwashing'!$E$58</definedName>
    <definedName name="NoBMPs" localSheetId="11">'9 HVAC &amp; Mechanical'!$E$91</definedName>
    <definedName name="OperatingDays" localSheetId="9">'7 Commercial Kitchens'!$G$10</definedName>
    <definedName name="OperatingDays" localSheetId="10">'8 Dishwashing'!$F$10</definedName>
    <definedName name="OperatingDays" localSheetId="11">'9 HVAC &amp; Mechanical'!$G$10</definedName>
    <definedName name="OperatingHours" localSheetId="9">'7 Commercial Kitchens'!$G$11</definedName>
    <definedName name="OzoneSystem" localSheetId="8">'6 Linen Laundry'!$H$15</definedName>
    <definedName name="Pool" localSheetId="13">'11 Pools &amp; Spas'!$G$7</definedName>
    <definedName name="PoolArea" localSheetId="13">'11 Pools &amp; Spas'!$G$8</definedName>
    <definedName name="PoolCover" localSheetId="13">'11 Pools &amp; Spas'!$G$11</definedName>
    <definedName name="PoolFiltrationSystem" localSheetId="13">'11 Pools &amp; Spas'!$G$12</definedName>
    <definedName name="PoolFollowUp" localSheetId="13">'11 Pools &amp; Spas'!$G$8:$G$12</definedName>
    <definedName name="PoolOperatingDays" localSheetId="13">'11 Pools &amp; Spas'!$G$10</definedName>
    <definedName name="PoolVolume" localSheetId="13">'11 Pools &amp; Spas'!$G$9</definedName>
    <definedName name="PreparedBy" localSheetId="3">'1 Facility Info'!$E$5:$G$7</definedName>
    <definedName name="_xlnm.Print_Area" localSheetId="3">'1 Facility Info'!$A$1:$N$40</definedName>
    <definedName name="_xlnm.Print_Area" localSheetId="12">'10 Irrigation'!$A$1:$K$33</definedName>
    <definedName name="_xlnm.Print_Area" localSheetId="4">'2 Metering &amp; Billing'!$A$1:$K$110</definedName>
    <definedName name="_xlnm.Print_Area" localSheetId="5">'3 Guest Rooms'!$A$1:$M$73</definedName>
    <definedName name="_xlnm.Print_Area" localSheetId="6">'4 Public Restrooms'!$A$1:$M$91</definedName>
    <definedName name="_xlnm.Print_Area" localSheetId="7">'5 Guest Ice &amp; Laundry'!$A$1:$N$58</definedName>
    <definedName name="_xlnm.Print_Area" localSheetId="8">'6 Linen Laundry'!$A$1:$L$49</definedName>
    <definedName name="_xlnm.Print_Area" localSheetId="9">'7 Commercial Kitchens'!$A$1:$M$94</definedName>
    <definedName name="_xlnm.Print_Area" localSheetId="10">'8 Dishwashing'!$A$1:$N$59</definedName>
    <definedName name="_xlnm.Print_Area" localSheetId="11">'9 HVAC &amp; Mechanical'!$A$1:$M$92</definedName>
    <definedName name="_xlnm.Print_Area" localSheetId="1">'Instructions'!$A$1:$L$21</definedName>
    <definedName name="_xlnm.Print_Area" localSheetId="2">'Summary'!$A$1:$N$83</definedName>
    <definedName name="_xlnm.Print_Titles" localSheetId="4">'2 Metering &amp; Billing'!$1:$7</definedName>
    <definedName name="_xlnm.Print_Titles" localSheetId="1">'Instructions'!$1:$1</definedName>
    <definedName name="_xlnm.Print_Titles" localSheetId="18">'Sources'!$1:$1</definedName>
    <definedName name="_xlnm.Print_Titles" localSheetId="0">'Start'!$1:$1</definedName>
    <definedName name="_xlnm.Print_Titles" localSheetId="2">'Summary'!$1:$1</definedName>
    <definedName name="PRSV" localSheetId="10">'8 Dishwashing'!$F$21</definedName>
    <definedName name="PRSV" localSheetId="2">'Summary'!$F$21</definedName>
    <definedName name="PRSVInfo" localSheetId="10">'8 Dishwashing'!$D$25:$F$27</definedName>
    <definedName name="Question1FollowUp" localSheetId="7">'5 Guest Ice &amp; Laundry'!$D$10:$K$15</definedName>
    <definedName name="Question2FollowUp" localSheetId="12">'10 Irrigation'!$C$10:$G$11</definedName>
    <definedName name="Question2FollowUp" localSheetId="7">'5 Guest Ice &amp; Laundry'!$D$17:$J$22</definedName>
    <definedName name="Question2FollowUp" localSheetId="9">'7 Commercial Kitchens'!$C$15:$K$20</definedName>
    <definedName name="Question2FollowUp" localSheetId="10">'8 Dishwashing'!$D$15:$K$20</definedName>
    <definedName name="Question3FollowUp" localSheetId="9">'7 Commercial Kitchens'!$C$23:$J$27</definedName>
    <definedName name="Question3FollowUp" localSheetId="10">'8 Dishwashing'!$D$23:$G$28</definedName>
    <definedName name="Question4FollowUp" localSheetId="9">'7 Commercial Kitchens'!$C$30:$J$34</definedName>
    <definedName name="Question5FollowUp" localSheetId="9">'7 Commercial Kitchens'!$C$37:$J$41</definedName>
    <definedName name="Question6FollowUp" localSheetId="9">'7 Commercial Kitchens'!$C$44:$J$48</definedName>
    <definedName name="Question7b" localSheetId="9">'7 Commercial Kitchens'!$C$56:$G$57</definedName>
    <definedName name="Question7Followup" localSheetId="9">'7 Commercial Kitchens'!$C$51:$K$57</definedName>
    <definedName name="QuestionA1FollowUp" localSheetId="11">'9 HVAC &amp; Mechanical'!$C$10:$L$35</definedName>
    <definedName name="QuestionA3FollowUp" localSheetId="11">'9 HVAC &amp; Mechanical'!$C$15:$H$16</definedName>
    <definedName name="QuestionA4FollowUp" localSheetId="11">'9 HVAC &amp; Mechanical'!$C$19:$H$20</definedName>
    <definedName name="QuestionA6FollowUp" localSheetId="11">'9 HVAC &amp; Mechanical'!$C$25:$H$26</definedName>
    <definedName name="QuestionA7FollowUp" localSheetId="11">'9 HVAC &amp; Mechanical'!$C$29:$H$33</definedName>
    <definedName name="QuestionB1FollowUp" localSheetId="11">'9 HVAC &amp; Mechanical'!$C$39:$L$46</definedName>
    <definedName name="QuestionC1FollowUp" localSheetId="11">'9 HVAC &amp; Mechanical'!$C$50:$L$57</definedName>
    <definedName name="QuestionC2FollowUp" localSheetId="11">'9 HVAC &amp; Mechanical'!$C$52:$H$53</definedName>
    <definedName name="ReadyForSummary_Commercial_Kitchen">'Summary'!$P$35</definedName>
    <definedName name="ReadyForSummary_Dishwashing">'Summary'!$P$22</definedName>
    <definedName name="ReadyForSummary_Guest_Ice_Laundry">'Summary'!$P$18</definedName>
    <definedName name="ReadyForSummary_Guest_Rooms">'Summary'!$P$5</definedName>
    <definedName name="ReadyForSummary_HVAC_Mechanical">'Summary'!$P$46</definedName>
    <definedName name="ReadyForSummary_Irrigation">'Summary'!$P$60</definedName>
    <definedName name="ReadyForSummary_Linen_Laundry">'Summary'!$P$28</definedName>
    <definedName name="ReadyForSummary_Pool_Spa">'Summary'!$P$74</definedName>
    <definedName name="ReadyForSummary_Public_Restrooms">'Summary'!$P$11</definedName>
    <definedName name="RemainingQuestions" localSheetId="12">'10 Irrigation'!$C$8:$J$16</definedName>
    <definedName name="RemainingQuestions" localSheetId="13">'11 Pools &amp; Spas'!$B$20:$L$20</definedName>
    <definedName name="RemainingQuestions" localSheetId="5">'3 Guest Rooms'!$C$10:$I$30</definedName>
    <definedName name="RemainingQuestions" localSheetId="6">'4 Public Restrooms'!$C$8:$L$34</definedName>
    <definedName name="RemainingQuestions" localSheetId="7">'5 Guest Ice &amp; Laundry'!$D$10:$K$23</definedName>
    <definedName name="RemainingQuestions" localSheetId="8">'6 Linen Laundry'!$C$11:$K$19</definedName>
    <definedName name="RemainingQuestions" localSheetId="9">'7 Commercial Kitchens'!$C$10:$K$58</definedName>
    <definedName name="RemainingQuestions" localSheetId="10">'8 Dishwashing'!$D$10:$K$29</definedName>
    <definedName name="RemainingQuestions" localSheetId="11">'9 HVAC &amp; Mechanical'!$C$12:$L$33</definedName>
    <definedName name="ReplacementInfo" localSheetId="5">'3 Guest Rooms'!$G$56:$J$59</definedName>
    <definedName name="ReplacementInfo" localSheetId="6">'4 Public Restrooms'!$G$61:$J$66</definedName>
    <definedName name="ReplacementInfo" localSheetId="7">'5 Guest Ice &amp; Laundry'!$G$44:$I$45</definedName>
    <definedName name="ReplacementInfo" localSheetId="10">'8 Dishwashing'!$G$49:$J$50</definedName>
    <definedName name="Results" localSheetId="12">'10 Irrigation'!$C$17:$J$30</definedName>
    <definedName name="Results" localSheetId="13">'11 Pools &amp; Spas'!$C$21:$L$44</definedName>
    <definedName name="Results" localSheetId="5">'3 Guest Rooms'!$D$32:$J$72</definedName>
    <definedName name="Results" localSheetId="6">'4 Public Restrooms'!$C$36:$L$90</definedName>
    <definedName name="Results" localSheetId="7">'5 Guest Ice &amp; Laundry'!$D$24:$K$56</definedName>
    <definedName name="Results" localSheetId="8">'6 Linen Laundry'!$C$21:$K$46</definedName>
    <definedName name="Results" localSheetId="9">'7 Commercial Kitchens'!$C$59:$K$92</definedName>
    <definedName name="Results" localSheetId="10">'8 Dishwashing'!$D$30:$L$57</definedName>
    <definedName name="Results" localSheetId="11">'9 HVAC &amp; Mechanical'!$C$60:$L$90</definedName>
    <definedName name="SharedBathrooms" localSheetId="5">'3 Guest Rooms'!$G$8</definedName>
    <definedName name="ShowBMP1_Irrigation" localSheetId="2">'Summary'!$P$61</definedName>
    <definedName name="ShowBMP2_Irrigation" localSheetId="2">'Summary'!$P$63</definedName>
    <definedName name="ShowBMP3_Irrigation" localSheetId="2">'Summary'!$P$65</definedName>
    <definedName name="ShowBMP4_Irrigation" localSheetId="2">'Summary'!$P$66</definedName>
    <definedName name="ShowBMP5_Irrigation" localSheetId="2">'Summary'!$P$67</definedName>
    <definedName name="ShowBMP6_Irrigation" localSheetId="2">'Summary'!$P$69</definedName>
    <definedName name="ShowerInfo" localSheetId="5">'3 Guest Rooms'!$D$27:$E$30</definedName>
    <definedName name="ShowerInfo" localSheetId="6">'4 Public Restrooms'!$D$32:$E$34</definedName>
    <definedName name="SinglePassCooling" localSheetId="11">'9 HVAC &amp; Mechanical'!$H$38</definedName>
    <definedName name="SinglePassCoolingTable" localSheetId="11">'9 HVAC &amp; Mechanical'!$E$43:$J$46</definedName>
    <definedName name="Spa" localSheetId="13">'11 Pools &amp; Spas'!$G$14</definedName>
    <definedName name="SpaArea" localSheetId="13">'11 Pools &amp; Spas'!$G$15</definedName>
    <definedName name="SpaCover" localSheetId="13">'11 Pools &amp; Spas'!$G$18</definedName>
    <definedName name="SpaFiltrationSystem" localSheetId="13">'11 Pools &amp; Spas'!$G$19</definedName>
    <definedName name="SpaFollowUp" localSheetId="13">'11 Pools &amp; Spas'!$G$15:$G$19</definedName>
    <definedName name="SpaOperatingDays" localSheetId="13">'11 Pools &amp; Spas'!$G$17</definedName>
    <definedName name="SpaVolume" localSheetId="13">'11 Pools &amp; Spas'!$G$16</definedName>
    <definedName name="SquareFeetToAcres" localSheetId="17">'Conversions'!$B$2</definedName>
    <definedName name="StatusOfCalcFields">'1 Facility Info'!$O$4</definedName>
    <definedName name="StatusOfUtilityFields">'1 Facility Info'!$O$5</definedName>
    <definedName name="SteamBoilerCondensateRecovery" localSheetId="11">'9 HVAC &amp; Mechanical'!$H$55</definedName>
    <definedName name="SteamBoilerConductivityController" localSheetId="11">'9 HVAC &amp; Mechanical'!$H$57</definedName>
    <definedName name="SteamBoilerMakeUp" localSheetId="11">'9 HVAC &amp; Mechanical'!$H$51</definedName>
    <definedName name="SteamBoilerMakeUpVolume" localSheetId="11">'9 HVAC &amp; Mechanical'!$H$53</definedName>
    <definedName name="SteamBoilers" localSheetId="11">'9 HVAC &amp; Mechanical'!$H$49</definedName>
    <definedName name="SteamCookerInfo" localSheetId="9">'7 Commercial Kitchens'!$E$25:$H$26</definedName>
    <definedName name="SteamCookers" localSheetId="9">'7 Commercial Kitchens'!$G$21</definedName>
    <definedName name="SteamKettleInfo" localSheetId="9">'7 Commercial Kitchens'!$E$39:$H$40</definedName>
    <definedName name="SteamKettles" localSheetId="9">'7 Commercial Kitchens'!$G$35</definedName>
    <definedName name="Summary_Commercial_Kitchen_BMPs" localSheetId="2">'Summary'!$C$35</definedName>
    <definedName name="Summary_Commercial_Kitchen_No_BMP" localSheetId="2">'Summary'!$D$45</definedName>
    <definedName name="Summary_General_BMPs" localSheetId="2">'Summary'!$C$80</definedName>
    <definedName name="Summary_Header" localSheetId="2">'Summary'!$E$4:$K$4</definedName>
    <definedName name="Summary_HVAC_Mechanical_BMPs" localSheetId="2">'Summary'!$C$46</definedName>
    <definedName name="Summary_HVAC_Mechanical_No_BMP" localSheetId="2">'Summary'!$D$59</definedName>
    <definedName name="Summary_Irrigation_Alt_BMP" localSheetId="2">'Summary'!$D$71</definedName>
    <definedName name="Summary_Irrigation_BMPs" localSheetId="2">'Summary'!$C$60</definedName>
    <definedName name="Summary_Irrigation_No_BMP" localSheetId="2">'Summary'!$D$73</definedName>
    <definedName name="Summary_Linen_Laundry_Alt_BMP" localSheetId="2">'Summary'!$D$33</definedName>
    <definedName name="Summary_Linen_Laundry_BMPs" localSheetId="2">'Summary'!$C$28</definedName>
    <definedName name="Summary_Linen_Laundry_No_BMP" localSheetId="2">'Summary'!$D$34</definedName>
    <definedName name="Summary_Pool_Spa_BMPs" localSheetId="2">'Summary'!$C$74</definedName>
    <definedName name="Summary_Pool_Spa_No_BMP" localSheetId="2">'Summary'!$D$79</definedName>
    <definedName name="ToiletInfo" localSheetId="5">'3 Guest Rooms'!$D$12:$F$16</definedName>
    <definedName name="ToiletInfo" localSheetId="6">'4 Public Restrooms'!$D$14:$F$16</definedName>
    <definedName name="UrinalInfo" localSheetId="6">'4 Public Restrooms'!$D$20:$F$22</definedName>
    <definedName name="UtilityCosts" localSheetId="3">'1 Facility Info'!$F$26:$G$29</definedName>
    <definedName name="UtilityCostSavings" localSheetId="9">'7 Commercial Kitchens'!$O$71</definedName>
    <definedName name="ValidationMessages" localSheetId="3">'1 Facility Info'!$O$3</definedName>
    <definedName name="ValidationMessages" localSheetId="12">'10 Irrigation'!$L$4</definedName>
    <definedName name="ValidationMessages" localSheetId="13">'11 Pools &amp; Spas'!$N$6</definedName>
    <definedName name="ValidationMessages" localSheetId="5">'3 Guest Rooms'!$N$6</definedName>
    <definedName name="ValidationMessages" localSheetId="6">'4 Public Restrooms'!$N$6</definedName>
    <definedName name="ValidationMessages" localSheetId="7">'5 Guest Ice &amp; Laundry'!$O$6</definedName>
    <definedName name="ValidationMessages" localSheetId="8">'6 Linen Laundry'!$M$6</definedName>
    <definedName name="ValidationMessages" localSheetId="9">'7 Commercial Kitchens'!$N$6</definedName>
    <definedName name="ValidationMessages" localSheetId="10">'8 Dishwashing'!$O$6</definedName>
    <definedName name="ValidationMessages" localSheetId="11">'9 HVAC &amp; Mechanical'!$N$6</definedName>
    <definedName name="Visitors" localSheetId="6">'4 Public Restrooms'!$G$10</definedName>
    <definedName name="WaterRecyclingSystem" localSheetId="8">'6 Linen Laundry'!$G$15</definedName>
    <definedName name="WaterSenseFaucetFlowRate" localSheetId="5">'3 Guest Rooms'!$H$58</definedName>
    <definedName name="WaterSenseFaucetFlowRate" localSheetId="6">'4 Public Restrooms'!$H$65</definedName>
    <definedName name="WaterSenseShowerFlowRate" localSheetId="5">'3 Guest Rooms'!$H$59</definedName>
    <definedName name="WaterSenseShowerFlowRate" localSheetId="6">'4 Public Restrooms'!$H$66</definedName>
    <definedName name="WaterSenseToiletFlushVolume" localSheetId="5">'3 Guest Rooms'!$H$56</definedName>
    <definedName name="WaterSenseToiletFlushVolume" localSheetId="6">'4 Public Restrooms'!$H$61</definedName>
    <definedName name="WaterSenseUrinalFlushVolume" localSheetId="6">'4 Public Restrooms'!$H$63</definedName>
    <definedName name="WaterUnits">'Conversions'!$D$2:$D$10</definedName>
    <definedName name="WeightOfLaundry" localSheetId="8">'6 Linen Laundry'!$G$12</definedName>
  </definedNames>
  <calcPr fullCalcOnLoad="1"/>
</workbook>
</file>

<file path=xl/sharedStrings.xml><?xml version="1.0" encoding="utf-8"?>
<sst xmlns="http://schemas.openxmlformats.org/spreadsheetml/2006/main" count="2291" uniqueCount="886">
  <si>
    <t>Start Date</t>
  </si>
  <si>
    <t>End Date</t>
  </si>
  <si>
    <t>Usage</t>
  </si>
  <si>
    <t>Cost</t>
  </si>
  <si>
    <t>Facility Information</t>
  </si>
  <si>
    <t>City:</t>
  </si>
  <si>
    <t>Phone:</t>
  </si>
  <si>
    <t>State:</t>
  </si>
  <si>
    <t>Fax:</t>
  </si>
  <si>
    <t>Toilet Type</t>
  </si>
  <si>
    <t>Number Installed</t>
  </si>
  <si>
    <t>Urinal Type</t>
  </si>
  <si>
    <t>Water Use and Fixture Assessment</t>
  </si>
  <si>
    <t>Equipment Type</t>
  </si>
  <si>
    <t>Cooling Type</t>
  </si>
  <si>
    <t>Existing Flush Volume (gpf)</t>
  </si>
  <si>
    <t>Existing Flow Rate (gpm)</t>
  </si>
  <si>
    <t>Outdoor Irrigation Water Use</t>
  </si>
  <si>
    <t>Water Use Assessment</t>
  </si>
  <si>
    <t>Units</t>
  </si>
  <si>
    <t>Cost ($)</t>
  </si>
  <si>
    <t>Meter Name</t>
  </si>
  <si>
    <t>Service Area</t>
  </si>
  <si>
    <t>Water Bill Units</t>
  </si>
  <si>
    <t>Showerheads</t>
  </si>
  <si>
    <t>Faucets</t>
  </si>
  <si>
    <t>Flushes per person per day</t>
  </si>
  <si>
    <t>Minutes of faucet use per person per day</t>
  </si>
  <si>
    <t>Average shower duration (minutes)</t>
  </si>
  <si>
    <t>Showers per person per day</t>
  </si>
  <si>
    <t>Percent shower water that is hot water</t>
  </si>
  <si>
    <t>Percent faucet water that is hot water</t>
  </si>
  <si>
    <t>Mcf of natural gas required to heat one gallon of water</t>
  </si>
  <si>
    <t>Potential Payback Period (years)</t>
  </si>
  <si>
    <t>Electric</t>
  </si>
  <si>
    <t>kWh of electricity required to heat one gallon of water</t>
  </si>
  <si>
    <t>Product Replacement Costs</t>
  </si>
  <si>
    <t>Potential Water Savings and Payback Period</t>
  </si>
  <si>
    <t>Current Water Use</t>
  </si>
  <si>
    <t>N/A</t>
  </si>
  <si>
    <t>Name:</t>
  </si>
  <si>
    <t>Title:</t>
  </si>
  <si>
    <t>Date:</t>
  </si>
  <si>
    <t xml:space="preserve">Building Hot Water Fuel Type: </t>
  </si>
  <si>
    <t xml:space="preserve">Hotel Operating Days per Year: </t>
  </si>
  <si>
    <t>--</t>
  </si>
  <si>
    <t>Total Annual Cost
Savings ($)</t>
  </si>
  <si>
    <t>Meter ID #</t>
  </si>
  <si>
    <t>1. How many daily full-time equivalent employees do you have at your hotel?</t>
  </si>
  <si>
    <t>Urinals</t>
  </si>
  <si>
    <t>Showers per employee per day</t>
  </si>
  <si>
    <t>1. Does your hotel have an in-ground irrigation system?</t>
  </si>
  <si>
    <t>2. On average, how many non-overnight visitors does your hotel host per day?</t>
  </si>
  <si>
    <t xml:space="preserve">Faucet duration per use (minutes) </t>
  </si>
  <si>
    <t>3. What type of toilets are installed in public and employee-only areas?</t>
  </si>
  <si>
    <t>4. What type of urinals are installed in public and employee-only areas?</t>
  </si>
  <si>
    <t>Batch</t>
  </si>
  <si>
    <t>Faucet uses per bathroom visit per day</t>
  </si>
  <si>
    <t>Estimated Annual Water Use (gal)</t>
  </si>
  <si>
    <t>Laundry Equipment Type</t>
  </si>
  <si>
    <t>Capacity (lbs)</t>
  </si>
  <si>
    <t>Water Recycling System?</t>
  </si>
  <si>
    <t>Ozone System?</t>
  </si>
  <si>
    <t>Best Management Practices and Potential Water Savings</t>
  </si>
  <si>
    <t>Recommended Best Management Practices and Potential Water Savings</t>
  </si>
  <si>
    <t>1. Does your facility have a pool?</t>
  </si>
  <si>
    <t>2. Does your facility have a hot tub/spa?</t>
  </si>
  <si>
    <t>Evaporation</t>
  </si>
  <si>
    <t>Pool and Spa Water Use</t>
  </si>
  <si>
    <t>Filter Cleaning</t>
  </si>
  <si>
    <t>Cartridge Unit</t>
  </si>
  <si>
    <t>Industrial filter water use factor (gal water used/gal of volume)</t>
  </si>
  <si>
    <t>Pounds of laundry per occupied guest room per day</t>
  </si>
  <si>
    <t>Sorptive Media Filter</t>
  </si>
  <si>
    <t>Sand Filter</t>
  </si>
  <si>
    <t>Industrial or Pre-Coat Filter</t>
  </si>
  <si>
    <t>By setting the pool water level to several inches below the edge of the pool, you can reduce water losses from splashing.</t>
  </si>
  <si>
    <t>Pools</t>
  </si>
  <si>
    <t>Hot Tubs</t>
  </si>
  <si>
    <t>Sand filter water use factor (gal water used/gal of volume)</t>
  </si>
  <si>
    <t>Avg gallons of evaporation per square foot per day</t>
  </si>
  <si>
    <t>Zip:</t>
  </si>
  <si>
    <t>Conversion to Gallons</t>
  </si>
  <si>
    <t>Factor</t>
  </si>
  <si>
    <t xml:space="preserve">Average Annual Occupancy Rate: </t>
  </si>
  <si>
    <t xml:space="preserve">Average Number of Guests per Room: </t>
  </si>
  <si>
    <t>Thousand gallons (kgal)</t>
  </si>
  <si>
    <t>Conversions to kWh</t>
  </si>
  <si>
    <t>Thousand Watt-hours (kWh)</t>
  </si>
  <si>
    <t>Conversions to Mcf</t>
  </si>
  <si>
    <t>Thousand cubic feet (Mcf)</t>
  </si>
  <si>
    <t>1. Does your facility have a restaurant/commercial kitchen?</t>
  </si>
  <si>
    <t>Daily Use (hours)</t>
  </si>
  <si>
    <t>Idle Operating Hours per Day</t>
  </si>
  <si>
    <t>4. Does your kitchen have a combination oven?</t>
  </si>
  <si>
    <t>5. Does your kitchen have any steam kettles?</t>
  </si>
  <si>
    <t>Condensate Return System Installed?</t>
  </si>
  <si>
    <t>Flow Rate (gpm)</t>
  </si>
  <si>
    <t>Steam Cooker(s)</t>
  </si>
  <si>
    <t>Combination Oven(s)</t>
  </si>
  <si>
    <t>Steam Kettle(s)</t>
  </si>
  <si>
    <t>Dipper Well(s)</t>
  </si>
  <si>
    <t>ENERGY STAR connectionless steam cooker Water Use (gal/hr)</t>
  </si>
  <si>
    <t>Boiler-based combination oven water use (gal/hr)</t>
  </si>
  <si>
    <t>Connectionless combination oven water use (gal/hr)</t>
  </si>
  <si>
    <t>Dipper well w/ in-line flow restrictor flow rate (gal/min)</t>
  </si>
  <si>
    <t xml:space="preserve">   3a. What type of steam cookers are installed in your hotel commercial kitchen/restaurant?</t>
  </si>
  <si>
    <t xml:space="preserve">   4a. What type of combination ovens are installed in your hotel commercial kitchen/restaurant?</t>
  </si>
  <si>
    <t xml:space="preserve">   5a. What type of steam kettles are installed in your hotel commercial kitchen/restaurant?</t>
  </si>
  <si>
    <t>Dishwasher Calculations for the ENERGY STAR Commercial Kitchen Equipment Calculator</t>
  </si>
  <si>
    <t>DEFAULT</t>
  </si>
  <si>
    <t>USER ENTRY</t>
  </si>
  <si>
    <t>Annual days of operation</t>
  </si>
  <si>
    <t>Racks washed per day</t>
  </si>
  <si>
    <t>Incremental cost</t>
  </si>
  <si>
    <t>Building hot water fuel type</t>
  </si>
  <si>
    <t>Booster water heater fuel type</t>
  </si>
  <si>
    <t>Low Temperature</t>
  </si>
  <si>
    <t>Under Counter</t>
  </si>
  <si>
    <t>High Temperature</t>
  </si>
  <si>
    <t>Pot, Pan, and Utensil</t>
  </si>
  <si>
    <t>Water Heater Efficiency</t>
  </si>
  <si>
    <r>
      <t>Inlet Water Temperature Increase (</t>
    </r>
    <r>
      <rPr>
        <b/>
        <vertAlign val="superscript"/>
        <sz val="9"/>
        <rFont val="Arial"/>
        <family val="2"/>
      </rPr>
      <t>o</t>
    </r>
    <r>
      <rPr>
        <b/>
        <sz val="9"/>
        <rFont val="Arial"/>
        <family val="2"/>
      </rPr>
      <t>F)</t>
    </r>
  </si>
  <si>
    <t>Specific Heat of Water</t>
  </si>
  <si>
    <r>
      <t>Btu/pound/</t>
    </r>
    <r>
      <rPr>
        <vertAlign val="superscript"/>
        <sz val="9"/>
        <rFont val="Arial"/>
        <family val="2"/>
      </rPr>
      <t>o</t>
    </r>
    <r>
      <rPr>
        <sz val="9"/>
        <rFont val="Arial"/>
        <family val="2"/>
      </rPr>
      <t>F</t>
    </r>
  </si>
  <si>
    <t>Gas</t>
  </si>
  <si>
    <t>Density of Water</t>
  </si>
  <si>
    <t>pounds/gallon</t>
  </si>
  <si>
    <t>Building Water Heater</t>
  </si>
  <si>
    <t>Booster Water Heater</t>
  </si>
  <si>
    <t>Average daily operation (hours)</t>
  </si>
  <si>
    <t>Typical Wash Time (minutes)</t>
  </si>
  <si>
    <t>Water Use per Rack (gallons)</t>
  </si>
  <si>
    <t>Idle Power Draw (kW)</t>
  </si>
  <si>
    <t>Equipment lifetime (years)</t>
  </si>
  <si>
    <t>Conventional</t>
  </si>
  <si>
    <t>ENERGY STAR</t>
  </si>
  <si>
    <t xml:space="preserve"> Calculations</t>
  </si>
  <si>
    <t>Water Heating Energy</t>
  </si>
  <si>
    <t>kWh/gallon</t>
  </si>
  <si>
    <t>therm/gallon</t>
  </si>
  <si>
    <t xml:space="preserve"> Annual Water Consumption (gallons)</t>
  </si>
  <si>
    <t>Savings</t>
  </si>
  <si>
    <t>Annual Building Water Heater Energy Consumption</t>
  </si>
  <si>
    <t>Annual Booster Heater Energy Consumption</t>
  </si>
  <si>
    <t>Annual Idle Electricity Consumption (kWh)</t>
  </si>
  <si>
    <t>Electric (kWh)</t>
  </si>
  <si>
    <t>Gas (therm)</t>
  </si>
  <si>
    <t xml:space="preserve"> Annual energy consumption per dishwasher</t>
  </si>
  <si>
    <t xml:space="preserve"> References</t>
  </si>
  <si>
    <t>Equipment specifications:</t>
  </si>
  <si>
    <t>- ENERGY STAR specification</t>
  </si>
  <si>
    <t>- EPA/Food Service Technology Center (FSTC) research on available models, 2013</t>
  </si>
  <si>
    <t>Operating hours:</t>
  </si>
  <si>
    <t>- EPA/FSTC research on average use, 2009</t>
  </si>
  <si>
    <t>Incremental equipment cost:</t>
  </si>
  <si>
    <t>- Difference between a similar ENERGY STAR and non-qualifying model, EPA research using AutoQuotes, 2012</t>
  </si>
  <si>
    <t>Equipment lifetime:</t>
  </si>
  <si>
    <t>- EPA/FSTC research on available models, 2013</t>
  </si>
  <si>
    <t>Water heater specifications:</t>
  </si>
  <si>
    <t>- Federal standard: Title 10 Part 431 - Energy Efficiency Program for Certain Commercial and Industrial Equipment; Subpart G</t>
  </si>
  <si>
    <t>Water properties:</t>
  </si>
  <si>
    <t>- Cengel &amp; Turner, Fundamentals of Thermal Fluid Science, Table A-15E</t>
  </si>
  <si>
    <t>Ice Machine Calculations for the ENERGY STAR Commercial Kitchen Equipment Calculator</t>
  </si>
  <si>
    <t>Continuous</t>
  </si>
  <si>
    <t>Ice Making Head</t>
  </si>
  <si>
    <t>Remote Cond./ Split System</t>
  </si>
  <si>
    <t>Self Contained Unit</t>
  </si>
  <si>
    <t>Ice harvest rate</t>
  </si>
  <si>
    <t>pounds/day</t>
  </si>
  <si>
    <t>Potable water use</t>
  </si>
  <si>
    <t>gallons per 100 pounds ice</t>
  </si>
  <si>
    <t>days</t>
  </si>
  <si>
    <t>Duty cycle</t>
  </si>
  <si>
    <t>Ice harvest rate (pounds/day)</t>
  </si>
  <si>
    <t>Potable water use (gallon/ 100 pound ice)</t>
  </si>
  <si>
    <t>Annual production (pounds of ice)</t>
  </si>
  <si>
    <t>Energy consumption rate (kWh/100 pounds ice)</t>
  </si>
  <si>
    <t>Equipment lifetime</t>
  </si>
  <si>
    <t xml:space="preserve"> Annual energy consumption per ice machine</t>
  </si>
  <si>
    <t>kWh</t>
  </si>
  <si>
    <t xml:space="preserve"> Annual water consumption per ice machine</t>
  </si>
  <si>
    <t>gallons</t>
  </si>
  <si>
    <t>- Federal standard: Title 10 Part 431 - Energy Efficiency Program for Certain Commercial and Industrial Equipment; Section 431.136</t>
  </si>
  <si>
    <t>Duty cycle:</t>
  </si>
  <si>
    <t>- EPA/FSTC research on average use, 2013</t>
  </si>
  <si>
    <t>- FSTC research on available models, 2009</t>
  </si>
  <si>
    <t>electric</t>
  </si>
  <si>
    <t>Conversions to Btu</t>
  </si>
  <si>
    <t>KWh</t>
  </si>
  <si>
    <t xml:space="preserve"> Inputs</t>
  </si>
  <si>
    <t xml:space="preserve"> Assumptions</t>
  </si>
  <si>
    <t>3. Does your kitchen have any steam cookers (food steamers)?</t>
  </si>
  <si>
    <t>Remote Condensing Unit</t>
  </si>
  <si>
    <t xml:space="preserve"> Batch / Continuous </t>
  </si>
  <si>
    <t>Water Usage</t>
  </si>
  <si>
    <t>Water Savings</t>
  </si>
  <si>
    <t>Energy Savings</t>
  </si>
  <si>
    <t>6. Does your kitchen have any dipper wells in your restaurant or bar area?</t>
  </si>
  <si>
    <t>Batch_Ice Making Head</t>
  </si>
  <si>
    <t>Batch_Remote Condensing Unit</t>
  </si>
  <si>
    <t>Batch_Self Contained Unit</t>
  </si>
  <si>
    <t>Continuous_Ice Making Head</t>
  </si>
  <si>
    <t>Continuous_Remote Condensing Unit</t>
  </si>
  <si>
    <t>Continuous_Self Contained Unit</t>
  </si>
  <si>
    <t>BMP2 Cooling</t>
  </si>
  <si>
    <t>2. Does your kitchen have a commercial dishwasher?</t>
  </si>
  <si>
    <t>Dishwashing Equipment Type</t>
  </si>
  <si>
    <t>3. Does your kitchen have a pre-rinse spray valve?</t>
  </si>
  <si>
    <t>Average Daily Use (minutes)</t>
  </si>
  <si>
    <t>Cost of one WaterSense labeled pre-rinse spray valve installed</t>
  </si>
  <si>
    <t>Percent PRSV water that is hot water</t>
  </si>
  <si>
    <t>Dishwashing Water Use</t>
  </si>
  <si>
    <t>7. Does your kitchen have a garbage disposal for food waste?</t>
  </si>
  <si>
    <t xml:space="preserve">   7a. What type of food disposal is used in your hotel commercial kitchen/restaurant?</t>
  </si>
  <si>
    <t xml:space="preserve">   1a. Number of operating days per year?</t>
  </si>
  <si>
    <t xml:space="preserve">   1b. How many hours does your kitchen operate daily, on average?</t>
  </si>
  <si>
    <t xml:space="preserve">   3a. What is the flow rate of any pre-rinse spray valves used in your hotel commercial kitchen/restaurant?</t>
  </si>
  <si>
    <t xml:space="preserve">   2a. What type of commercial dishwashing equipment does your hotel use?</t>
  </si>
  <si>
    <t>Multi-Tank Conveyor</t>
  </si>
  <si>
    <t>Single-Tank Conveyor</t>
  </si>
  <si>
    <t>Stationary Single-Tank Door</t>
  </si>
  <si>
    <t xml:space="preserve">  7b. Does your garbage disposal have a load sensor to regulate water flow?</t>
  </si>
  <si>
    <t>Commercial Kitchen Water Use (Excluding Dishwashing)</t>
  </si>
  <si>
    <t>Cost in desired units</t>
  </si>
  <si>
    <t>Gas (Mcf)</t>
  </si>
  <si>
    <t>Clothes Washer(s)</t>
  </si>
  <si>
    <t>Clothes Washer Calculations for the ENERGY STAR Appliance Calculator</t>
  </si>
  <si>
    <t>-</t>
  </si>
  <si>
    <t>Capacity</t>
  </si>
  <si>
    <r>
      <t xml:space="preserve"> Assumptions </t>
    </r>
    <r>
      <rPr>
        <i/>
        <sz val="11"/>
        <rFont val="Arial"/>
        <family val="2"/>
      </rPr>
      <t>- users can edit the highlighted values to modify the assumptions</t>
    </r>
  </si>
  <si>
    <t>ENERGY STAR model rated unit electricity consumption</t>
  </si>
  <si>
    <t>kWh/year</t>
  </si>
  <si>
    <t>Commercial</t>
  </si>
  <si>
    <t>ENERGY STAR MEF requirement</t>
  </si>
  <si>
    <t>cubic feet</t>
  </si>
  <si>
    <t>ENERGY STAR WF requirement</t>
  </si>
  <si>
    <t>Loads per week</t>
  </si>
  <si>
    <t>ENERGY STAR rated unit electricity consumption</t>
  </si>
  <si>
    <t>Federal standard MEF</t>
  </si>
  <si>
    <t>Front-loading</t>
  </si>
  <si>
    <t>Top-loading</t>
  </si>
  <si>
    <t>Federal standard WF</t>
  </si>
  <si>
    <t>Percentage of washer loads dried in machine</t>
  </si>
  <si>
    <t>Conventional rated unit electricity consumption</t>
  </si>
  <si>
    <t>Gas water heater efficiency</t>
  </si>
  <si>
    <t>Average capacity</t>
  </si>
  <si>
    <t>Annual weeks of use</t>
  </si>
  <si>
    <t>weeks</t>
  </si>
  <si>
    <t>Default loads per year</t>
  </si>
  <si>
    <t>Multifamily</t>
  </si>
  <si>
    <t>Portion of rated unit electricity consumption</t>
  </si>
  <si>
    <t>Machine</t>
  </si>
  <si>
    <t>Reference loads per year</t>
  </si>
  <si>
    <t>Water heating</t>
  </si>
  <si>
    <t>Energy conversion (constant)</t>
  </si>
  <si>
    <t>therm/kWh</t>
  </si>
  <si>
    <t>Loads per year</t>
  </si>
  <si>
    <t>Adjusted rated unit electricity consumption</t>
  </si>
  <si>
    <t>Electricity</t>
  </si>
  <si>
    <t>Machine energy</t>
  </si>
  <si>
    <t>Water heating energy</t>
  </si>
  <si>
    <t>therms</t>
  </si>
  <si>
    <t xml:space="preserve"> Annual energy &amp; water consumption per clothes washer system</t>
  </si>
  <si>
    <t>Electricity consumption</t>
  </si>
  <si>
    <t>Gas consumption</t>
  </si>
  <si>
    <t>Water consumption</t>
  </si>
  <si>
    <t>Loads per year:</t>
  </si>
  <si>
    <t>- Res. Default -</t>
  </si>
  <si>
    <t>DOE Federal Test procedure, Federal Register, 77 FR 13888</t>
  </si>
  <si>
    <t>- Res. Reference -</t>
  </si>
  <si>
    <t>DOE Federal Test Procedure, Code of Federal Regulations, Title 10, Part 430, Subpart B, Appendix J</t>
  </si>
  <si>
    <t>- Commercial -</t>
  </si>
  <si>
    <t>DOE Technical Support Document, 2009</t>
  </si>
  <si>
    <t>Energy &amp; water efficiency &amp; consumption:</t>
  </si>
  <si>
    <t>- ENERGY STAR -</t>
  </si>
  <si>
    <t>ENERGY STAR specification</t>
  </si>
  <si>
    <t xml:space="preserve">- </t>
  </si>
  <si>
    <t>EPA research on available models, 2013</t>
  </si>
  <si>
    <t>- Conventional -</t>
  </si>
  <si>
    <t>Residential - Federal standard, Code of Federal Regulations, Title 10, Part 430, Subpart C</t>
  </si>
  <si>
    <t>Commercial - Federal standard, Code of Federal Regulations, Title 10, Part 431, Subpart I</t>
  </si>
  <si>
    <t>Unit capacity:</t>
  </si>
  <si>
    <t>- EPA research on available models, 2013</t>
  </si>
  <si>
    <t>Gas water heater efficiency:</t>
  </si>
  <si>
    <t>- DOE Federal Test Procedure, Code of Federal Regulations, Title 10, Part 430, Subpart B, Appendix J</t>
  </si>
  <si>
    <t>- Appliance Magazine, Market Research Report, January 2011</t>
  </si>
  <si>
    <t>Incremental cost:</t>
  </si>
  <si>
    <t>Top-Loading</t>
  </si>
  <si>
    <t>VALUE</t>
  </si>
  <si>
    <t>Front-Loading</t>
  </si>
  <si>
    <t>Conventional model rated unit electricity consumption</t>
  </si>
  <si>
    <t>&lt;&lt; forces calc of per-weekly-load figures</t>
  </si>
  <si>
    <t>Net Cost</t>
  </si>
  <si>
    <t>Estimated Project
Cost ($)</t>
  </si>
  <si>
    <t>Total Annual
Cost Savings ($)</t>
  </si>
  <si>
    <t>Dishwasher(s)</t>
  </si>
  <si>
    <t>1. Does your hotel have dishwashing equipment?</t>
  </si>
  <si>
    <t>kWh Savings</t>
  </si>
  <si>
    <t>Mcf Savings</t>
  </si>
  <si>
    <t>Metered Water Usage Information</t>
  </si>
  <si>
    <t>Facility Name:</t>
  </si>
  <si>
    <t>Assessment Contact Name:</t>
  </si>
  <si>
    <r>
      <t xml:space="preserve">Prepared By </t>
    </r>
    <r>
      <rPr>
        <i/>
        <sz val="12"/>
        <color indexed="8"/>
        <rFont val="Calibri"/>
        <family val="2"/>
      </rPr>
      <t>(optional)</t>
    </r>
  </si>
  <si>
    <t xml:space="preserve">Construction Year (or Significant Renovation): </t>
  </si>
  <si>
    <r>
      <t xml:space="preserve">Facility Details </t>
    </r>
    <r>
      <rPr>
        <i/>
        <sz val="12"/>
        <color indexed="8"/>
        <rFont val="Calibri"/>
        <family val="2"/>
      </rPr>
      <t>(required)</t>
    </r>
  </si>
  <si>
    <r>
      <t xml:space="preserve">Utility Information </t>
    </r>
    <r>
      <rPr>
        <i/>
        <sz val="12"/>
        <color indexed="8"/>
        <rFont val="Calibri"/>
        <family val="2"/>
      </rPr>
      <t>(required)</t>
    </r>
  </si>
  <si>
    <t xml:space="preserve">Water Rate ($/unit): </t>
  </si>
  <si>
    <t xml:space="preserve">Wastewater Rate ($/unit): </t>
  </si>
  <si>
    <t xml:space="preserve">Electricity Rate ($/unit): </t>
  </si>
  <si>
    <t xml:space="preserve">Natural Gas Rate ($/unit): </t>
  </si>
  <si>
    <r>
      <t xml:space="preserve">Water Meter Information </t>
    </r>
    <r>
      <rPr>
        <i/>
        <sz val="12"/>
        <color indexed="8"/>
        <rFont val="Calibri"/>
        <family val="2"/>
      </rPr>
      <t>(optional)</t>
    </r>
  </si>
  <si>
    <t>Estimated?</t>
  </si>
  <si>
    <t/>
  </si>
  <si>
    <t>Building Size (sq. ft.)</t>
  </si>
  <si>
    <r>
      <t xml:space="preserve">Contact Information </t>
    </r>
    <r>
      <rPr>
        <i/>
        <sz val="12"/>
        <color indexed="8"/>
        <rFont val="Calibri"/>
        <family val="2"/>
      </rPr>
      <t>(optional)</t>
    </r>
  </si>
  <si>
    <t>Section A: Cooling Towers</t>
  </si>
  <si>
    <t>A1. Does your hotel have a cooling tower?</t>
  </si>
  <si>
    <t>A2. What is the capacity of your cooling tower(s), expressed as total tons of cooling?</t>
  </si>
  <si>
    <t xml:space="preserve">   A4a. How many gallons of water are discharged from the cooling tower(s) annually?</t>
  </si>
  <si>
    <t>A5. How is your cooling tower discharge (blowdown) controlled?</t>
  </si>
  <si>
    <t>Section B: Single-Pass Cooling</t>
  </si>
  <si>
    <t>B1. Does your hotel use single-pass cooling for equipment other than ice makers?</t>
  </si>
  <si>
    <t>B2. What is the flow rate in gallons per minute and operating schedule of the single-pass cooling?</t>
  </si>
  <si>
    <t>Equipment Cooled</t>
  </si>
  <si>
    <t>Flow Rate
(gallons per minute)</t>
  </si>
  <si>
    <t>Operating Schedule</t>
  </si>
  <si>
    <t>Minutes/Hour</t>
  </si>
  <si>
    <t>Hours/Day</t>
  </si>
  <si>
    <t>Days/Week</t>
  </si>
  <si>
    <t>Weeks/Year</t>
  </si>
  <si>
    <t>Section C: Steam Boilers</t>
  </si>
  <si>
    <t>C1. Does your hotel use a steam boiler(s) for heating?</t>
  </si>
  <si>
    <t>Estimated Annual
Water Use (gal)</t>
  </si>
  <si>
    <t>Cooling Tower(s)</t>
  </si>
  <si>
    <t>Single-Pass Cooling</t>
  </si>
  <si>
    <t>Steam Boiler(s)</t>
  </si>
  <si>
    <t>Target Cycles of Conductivity (CoC)</t>
  </si>
  <si>
    <t>TOTAL</t>
  </si>
  <si>
    <t>Cooling tower evaporation per ton cooling (gal/hr)</t>
  </si>
  <si>
    <t>2. Is your irrigation water use separately metered?</t>
  </si>
  <si>
    <t>Sorptive media filter water use factor (gal water used/gal of volume)</t>
  </si>
  <si>
    <t>Cartridge filter water use factor (gal water used/gal of volume)</t>
  </si>
  <si>
    <t>Complete Project</t>
  </si>
  <si>
    <t>Average Weekly Loads per Machine</t>
  </si>
  <si>
    <t>New Rate</t>
  </si>
  <si>
    <t>Replace</t>
  </si>
  <si>
    <t>Percentage of employees who are female</t>
  </si>
  <si>
    <t>Percentage of visitors who are female</t>
  </si>
  <si>
    <t>After Upgrades</t>
  </si>
  <si>
    <t>A3. Does your hotel meter the make-up water that is added to the cooling tower system?</t>
  </si>
  <si>
    <t xml:space="preserve">  6a. What is the flow rate of any dipper wells installed?</t>
  </si>
  <si>
    <t>2. Does your kitchen have ice makers?</t>
  </si>
  <si>
    <t>Ice Maker(s)</t>
  </si>
  <si>
    <t>1. Does your hotel provide ice makers for guest use?</t>
  </si>
  <si>
    <t xml:space="preserve"> Ice Maker Type </t>
  </si>
  <si>
    <t xml:space="preserve">   2a. What type(s) of ice makers does your hotel use in your hotel commercial kitchen/restaurant?</t>
  </si>
  <si>
    <t xml:space="preserve">     1a. What type(s) of ice makers does your hotel provide for guest use?</t>
  </si>
  <si>
    <t xml:space="preserve">     2a. What type(s) of clothes washers are currently installed for guest use?</t>
  </si>
  <si>
    <t>Single-pass water-cooled ice maker water use [for cooling only] (gal/lb)</t>
  </si>
  <si>
    <t>For additional information on how to reduce water used in your commercial kitchens, see:</t>
  </si>
  <si>
    <t>3. How much landscape is irrigated at your hotel (square feet)?</t>
  </si>
  <si>
    <r>
      <t xml:space="preserve">     2a. Based on meter readings, how many gallons of water are used
            annually for irrigation? </t>
    </r>
    <r>
      <rPr>
        <i/>
        <sz val="11"/>
        <color indexed="8"/>
        <rFont val="Calibri"/>
        <family val="2"/>
      </rPr>
      <t>(If unknown, put zero.)</t>
    </r>
  </si>
  <si>
    <t>Conversions</t>
  </si>
  <si>
    <t>Square feet to acres</t>
  </si>
  <si>
    <t>Acre-feet to gallons</t>
  </si>
  <si>
    <t>Irrigation</t>
  </si>
  <si>
    <t>Facility Info</t>
  </si>
  <si>
    <t>Guest Rooms &amp; Public Restrooms</t>
  </si>
  <si>
    <t>Default Faucet Flow Rate</t>
  </si>
  <si>
    <t>Default Shower Flow Rate</t>
  </si>
  <si>
    <t>Default Toilet Dual Flush Volume</t>
  </si>
  <si>
    <t>Default Toilet Single Flush Volume (pre-1980)</t>
  </si>
  <si>
    <t xml:space="preserve">Default Guests per Room: </t>
  </si>
  <si>
    <t>Default Utility Information</t>
  </si>
  <si>
    <t xml:space="preserve">Default Occupancy Rate: </t>
  </si>
  <si>
    <t xml:space="preserve">Default Operating Days: </t>
  </si>
  <si>
    <t>Public Restrooms</t>
  </si>
  <si>
    <t>Guest Rooms</t>
  </si>
  <si>
    <t>Default Washer Loads</t>
  </si>
  <si>
    <t>Linen Laundry</t>
  </si>
  <si>
    <t>Guest Ice &amp; Laundry</t>
  </si>
  <si>
    <t>Commercial Kitchen</t>
  </si>
  <si>
    <t>Dishwashing</t>
  </si>
  <si>
    <t>Food Disposal(s)</t>
  </si>
  <si>
    <t>Default Kitchen Hours</t>
  </si>
  <si>
    <t>Default Disposal Flow Rate</t>
  </si>
  <si>
    <t>Default Pool Area</t>
  </si>
  <si>
    <t>Default Pool Volume</t>
  </si>
  <si>
    <t>Default Spa Area</t>
  </si>
  <si>
    <t>Default Spa Volume</t>
  </si>
  <si>
    <t>Irrigation Threshold</t>
  </si>
  <si>
    <t>Pool &amp; Spa</t>
  </si>
  <si>
    <t>Default PRSV Usage (minutes per day)</t>
  </si>
  <si>
    <t>Default WaterSense Urinal (gpf)</t>
  </si>
  <si>
    <t>Default WaterSense Faucet (gpm)</t>
  </si>
  <si>
    <t>Default WaterSense Showerhead (gpm)</t>
  </si>
  <si>
    <t>Default WaterSense PRSV (gpm)</t>
  </si>
  <si>
    <t>Single-pass water-cooled icemaker water use (gal/lb)</t>
  </si>
  <si>
    <t>Single-pass water-cooled ice maker water use (gal/lb)</t>
  </si>
  <si>
    <t>Flush Volume/
Flow Rate</t>
  </si>
  <si>
    <t>Restore Defaults</t>
  </si>
  <si>
    <t>Laundry per occupied guest room (lbs/day)</t>
  </si>
  <si>
    <t>HVAC &amp; Mechanical</t>
  </si>
  <si>
    <t>Current Rates</t>
  </si>
  <si>
    <t>Toilet flushes per female employee per day</t>
  </si>
  <si>
    <t>Toilet flushes per female visitor per day</t>
  </si>
  <si>
    <t>Toilet flushes per male employee per day</t>
  </si>
  <si>
    <t>Toilet flushes per male visitor per day</t>
  </si>
  <si>
    <t>Urinal flushes per male employee per day</t>
  </si>
  <si>
    <t>Urinal flushes per male visitor</t>
  </si>
  <si>
    <t>Flow Rate</t>
  </si>
  <si>
    <t>Update the following table to reflect your planned fixture replacement. Your changes will automatically update the table above.</t>
  </si>
  <si>
    <t>Percent pre-rinse spray valve water that is hot water</t>
  </si>
  <si>
    <t>Guest Rooms Water Use</t>
  </si>
  <si>
    <t>Linen Laundry Water Use</t>
  </si>
  <si>
    <t>Guest Ice and Laundry Water Use</t>
  </si>
  <si>
    <t>Public and Staff Restrooms Water Use</t>
  </si>
  <si>
    <r>
      <rPr>
        <b/>
        <sz val="8"/>
        <color indexed="8"/>
        <rFont val="Calibri"/>
        <family val="2"/>
      </rPr>
      <t xml:space="preserve">Note: </t>
    </r>
    <r>
      <rPr>
        <sz val="8"/>
        <color indexed="8"/>
        <rFont val="Calibri"/>
        <family val="2"/>
      </rPr>
      <t>To assess water savings opportunities related to single-pass cooling for ice makers accessible to guests or used within commercial kitchens, go to the Guest Services tab and Commercial Kitchen tab, respectively.</t>
    </r>
  </si>
  <si>
    <t>For additional information on improving the operation of mechanical systems and reducing water use, see:</t>
  </si>
  <si>
    <t>Cooling Tower BMPs.</t>
  </si>
  <si>
    <t xml:space="preserve">Number of Guest Rooms in the Hotel: </t>
  </si>
  <si>
    <t>Amts with BMPs</t>
  </si>
  <si>
    <t>&lt;&lt; Note: WaterSense is not able to establish a water use estimate for steam kettles.</t>
  </si>
  <si>
    <t xml:space="preserve">     1a. What is the square footage of your pool surface?</t>
  </si>
  <si>
    <t xml:space="preserve">     1c. How many days per year is your pool operating?</t>
  </si>
  <si>
    <t xml:space="preserve">     1d. Is a pool cover used when pool is not in use?</t>
  </si>
  <si>
    <t xml:space="preserve">     2a. What is the square footage of your hot tub/spa?</t>
  </si>
  <si>
    <t xml:space="preserve">     2c. How many days per year is your hot tub/spa operating?</t>
  </si>
  <si>
    <t xml:space="preserve">     2d. Is a cover used when hot tub/spa is not in use?</t>
  </si>
  <si>
    <t xml:space="preserve">     1b. What is the volume of your pool in gallons?</t>
  </si>
  <si>
    <t xml:space="preserve">     2b. What is the volume of your hot tub/spa in gallons?</t>
  </si>
  <si>
    <t>Current Water</t>
  </si>
  <si>
    <t>After Upgrade</t>
  </si>
  <si>
    <t>Electricity consumption per load of laundry (kWh)</t>
  </si>
  <si>
    <t>Gas consumption per load of laundry (Mcf)</t>
  </si>
  <si>
    <t>Water consumption per load of laundry (gal) - top-loading</t>
  </si>
  <si>
    <t>Water consumption per load of laundry (gal) - front-loading</t>
  </si>
  <si>
    <t>Current kWh</t>
  </si>
  <si>
    <t>Current Mcf</t>
  </si>
  <si>
    <t>Number of Fixtures to Replace</t>
  </si>
  <si>
    <t>Federal standard WF - Front-loading</t>
  </si>
  <si>
    <t>Federal standard WF - Top-loading</t>
  </si>
  <si>
    <t>kWh to Mcf of Natural Gas</t>
  </si>
  <si>
    <r>
      <t xml:space="preserve">Portion of electricity consumption </t>
    </r>
    <r>
      <rPr>
        <sz val="11"/>
        <color theme="1"/>
        <rFont val="Calibri"/>
        <family val="2"/>
      </rPr>
      <t>used to heat water</t>
    </r>
  </si>
  <si>
    <t>Average washing machine capacity (cf)</t>
  </si>
  <si>
    <t>Water savings from linen reuse program</t>
  </si>
  <si>
    <t>C3. Does your steam boiler(s) have a condensate recovery system?</t>
  </si>
  <si>
    <t>C2. Does your hotel meter the make-up water that is added to the steam boiler system?</t>
  </si>
  <si>
    <t xml:space="preserve">   C2a. How many gallons make-up water are added to the boiler system annually?</t>
  </si>
  <si>
    <r>
      <rPr>
        <b/>
        <sz val="8"/>
        <rFont val="Calibri"/>
        <family val="2"/>
      </rPr>
      <t xml:space="preserve">Note: </t>
    </r>
    <r>
      <rPr>
        <sz val="8"/>
        <rFont val="Calibri"/>
        <family val="2"/>
      </rPr>
      <t xml:space="preserve">Cooling towers evaporate water to remove heat. Some water is also discharged (blown down) to prevent mineral build-up and scaling in the tower. Make-up water is provided to replace water that is lost in the system from evaporation and discharges. For additional background information on cooling towers, see the </t>
    </r>
  </si>
  <si>
    <t>A4. Does your hotel meter water that is discharged (blown down) from the cooling tower?</t>
  </si>
  <si>
    <t>A7. Is cooling tower water treatment used to control scale build-up?</t>
  </si>
  <si>
    <t xml:space="preserve">     A3a. How many gallons make-up water are added to the cooling tower(s) annually?</t>
  </si>
  <si>
    <t xml:space="preserve">     A7a. What is the total dissolved solids (TDS) or conductivity of the make-up water?</t>
  </si>
  <si>
    <t xml:space="preserve">     A7b. What is the TDS or conductivity of the discharge (blowdown) water?</t>
  </si>
  <si>
    <t>This sheet is no longer being used for calculations.</t>
  </si>
  <si>
    <t>Uses per Day</t>
  </si>
  <si>
    <t>Annual cooling tower usage factor</t>
  </si>
  <si>
    <t>WaterSense Labeled Showerhead</t>
  </si>
  <si>
    <t>ENERGY STAR Labeled Ice Maker</t>
  </si>
  <si>
    <t>ENERGY STAR Labeled Clothes Washer</t>
  </si>
  <si>
    <t>ENERGY STAR Labeled Dishwasher</t>
  </si>
  <si>
    <t>WaterSense Labeled Pre-Rinse Spray Valve</t>
  </si>
  <si>
    <t>1. Does your hotel have a towel and linen reuse program for guests?</t>
  </si>
  <si>
    <t>2. Does your facility have in-house laundry equipment?</t>
  </si>
  <si>
    <t xml:space="preserve">     2a. How many pounds of laundry are washed per day, on average?</t>
  </si>
  <si>
    <t xml:space="preserve">     2b. What type of laundry equipment does your hotel use?</t>
  </si>
  <si>
    <t>Potential Replacements</t>
  </si>
  <si>
    <t>Replacements</t>
  </si>
  <si>
    <t>Number ENERGY STAR</t>
  </si>
  <si>
    <t>2. What type of toilets are installed in your guest rooms?</t>
  </si>
  <si>
    <t>3. What is the flow rate of the lavatory faucets in guest rooms?</t>
  </si>
  <si>
    <t>4. What is the flow rate for the showerheads installed in guest rooms?</t>
  </si>
  <si>
    <t>1. Does your hotel have any shared bathrooms for your guest rooms?</t>
  </si>
  <si>
    <t xml:space="preserve">  &lt;&lt; Note: This may be common in hostels and bed &amp; breakfasts.</t>
  </si>
  <si>
    <t>Replacement Rate</t>
  </si>
  <si>
    <t xml:space="preserve"> &lt;&lt; Enter "Unknown" if you do not know the annual usage.</t>
  </si>
  <si>
    <t>Date of last revision: August 2013</t>
  </si>
  <si>
    <t>Date of last revision: February 2014</t>
  </si>
  <si>
    <t>Average Water Use (ft/year)</t>
  </si>
  <si>
    <t>Address Line 1:</t>
  </si>
  <si>
    <t>Address Line 2:</t>
  </si>
  <si>
    <t>2. Does your hotel provide clothes washers for guest use?</t>
  </si>
  <si>
    <t>Update the following table to reflect your planned equipment replacement. Your changes will automatically update the table above.</t>
  </si>
  <si>
    <t>Number of Machines to Replace</t>
  </si>
  <si>
    <t>Total Daily Use (hours)</t>
  </si>
  <si>
    <t>WaterSense Labeled Flushing Urinal</t>
  </si>
  <si>
    <t>Sluice Trough Water Flow Rate (gpm)</t>
  </si>
  <si>
    <t>Daily Sluice Trough Idling Hours</t>
  </si>
  <si>
    <t>Standard steam cooker water use (gal/hr)</t>
  </si>
  <si>
    <t>Idle food grinder flow rate used by load sensor (gal/min)</t>
  </si>
  <si>
    <t>WaterSense Labeled Faucet Aerator or Faucet</t>
  </si>
  <si>
    <r>
      <rPr>
        <sz val="9"/>
        <color indexed="8"/>
        <rFont val="Calibri"/>
        <family val="2"/>
      </rPr>
      <t>†</t>
    </r>
    <r>
      <rPr>
        <sz val="9"/>
        <color indexed="8"/>
        <rFont val="Calibri"/>
        <family val="2"/>
      </rPr>
      <t xml:space="preserve"> - While WaterSense does not label non-water urinals, because they are inherently water-efficient, they may be an appropriate technology for your facility.</t>
    </r>
  </si>
  <si>
    <r>
      <t>or Non-Water Urinal</t>
    </r>
    <r>
      <rPr>
        <b/>
        <vertAlign val="superscript"/>
        <sz val="11"/>
        <color indexed="8"/>
        <rFont val="Calibri"/>
        <family val="2"/>
      </rPr>
      <t>†</t>
    </r>
  </si>
  <si>
    <t>* - WaterSense is in the process of developing a specification to label high-efficiency flushometer-valve toilets.</t>
  </si>
  <si>
    <t>Public Use Faucet Aerator or Faucet Replacement</t>
  </si>
  <si>
    <t>High-Efficiency Flushometer-Valve Toilet*</t>
  </si>
  <si>
    <t>Tank-Type Toilets</t>
  </si>
  <si>
    <t>Flushometer-Valve Toilets</t>
  </si>
  <si>
    <t>High-Efficiency Flushometer-Valve Toilet</t>
  </si>
  <si>
    <t>WaterSense Labeled Tank-Type Toilet</t>
  </si>
  <si>
    <t>WaterSense Labeled Faucet Aerator</t>
  </si>
  <si>
    <t>WaterSense Labeled Urinal</t>
  </si>
  <si>
    <t>5. What is the flow rate of lavatory faucets installed in public and employee-only areas?</t>
  </si>
  <si>
    <t>Default Urinal Flush Volume (Pre-1994)</t>
  </si>
  <si>
    <t>Default Urinal Flush Volume (1994 to Present)</t>
  </si>
  <si>
    <t>Default WaterSense or High-Efficiency Toilet (gpf)</t>
  </si>
  <si>
    <t>Default PRSV Flow Rate (2006 to Present)</t>
  </si>
  <si>
    <t>Default Tank-Type Toilet Single Flush Volume (1994 to Present)</t>
  </si>
  <si>
    <t>Default Tank-Type Toilet Single Flush Volume (1980-1993)</t>
  </si>
  <si>
    <t>Tank-Type</t>
  </si>
  <si>
    <t>Flushometer</t>
  </si>
  <si>
    <t>Use %</t>
  </si>
  <si>
    <t>Default Daily Food Grinder Use</t>
  </si>
  <si>
    <t>HVAC and Mechanical System Water Use</t>
  </si>
  <si>
    <r>
      <rPr>
        <b/>
        <sz val="8"/>
        <rFont val="Calibri"/>
        <family val="2"/>
      </rPr>
      <t>Note</t>
    </r>
    <r>
      <rPr>
        <sz val="8"/>
        <rFont val="Calibri"/>
        <family val="2"/>
      </rPr>
      <t>: The TDS or conductivity of the make-up water and discharge (blowdown) water can be obtained from water chemistry reports provided by your cooling tower operations contractor. Make sure the units in which the TDS or conductivity are provided are the same for both measurements. TDS is typically provided in either milligrams per liter (mg/L) or parts per million (ppm). Conductivity is provided in microseimens per centimeter (µS/cm).</t>
    </r>
  </si>
  <si>
    <t>Assumption</t>
  </si>
  <si>
    <t>Data</t>
  </si>
  <si>
    <t>Source</t>
  </si>
  <si>
    <t>2013 Lodging Industry Profile. At A Glance Statistical Figures. American Hotel and Lodging Association</t>
  </si>
  <si>
    <t xml:space="preserve">Default Average Annual Occupancy Rate: </t>
  </si>
  <si>
    <t xml:space="preserve">Default Average Number of Guests per Room: </t>
  </si>
  <si>
    <t>guests per room</t>
  </si>
  <si>
    <t xml:space="preserve">Guest Rooms </t>
  </si>
  <si>
    <t>Default Toilet Single Flush Volume tank-type (pre-1980)</t>
  </si>
  <si>
    <t>gallons per flush</t>
  </si>
  <si>
    <t>D&amp;R International, Koeller and Company, Veritec Consulting, Ltd. Plumbing Fixtures Market Overview: Water Savings Potential for Residential and Commercial Toilet and Urinals. Page 6</t>
  </si>
  <si>
    <t>Default Toilet Single Flush Volume tank-type (1980-1993)</t>
  </si>
  <si>
    <t>Mayer, Peter W. and William B. DeOreo. Residential End Uses of Water. Aquacraft, Inc. Water Engineering and Management. American Water Works Association. 1998. Page 96.</t>
  </si>
  <si>
    <t>Default Toilet Single Flush Volume tank-type (post 1993)</t>
  </si>
  <si>
    <t>Energy Policy Act of 1992</t>
  </si>
  <si>
    <t>Default Toilet Single Flush Volume flushometer valve (pre-1980)</t>
  </si>
  <si>
    <t>Default Toilet Single Flush Volume flushometer valve (1980-1996)</t>
  </si>
  <si>
    <t>Default Toilet Single Flush Volume flushometer valve (post 1996)</t>
  </si>
  <si>
    <t>Default Toilet Dual Flush Volume (tank-type and flushometer valve)</t>
  </si>
  <si>
    <t xml:space="preserve">Default Lavatory Faucet Flow Rate </t>
  </si>
  <si>
    <t>gallons per minute</t>
  </si>
  <si>
    <t>Default Showerhead Flow Rate</t>
  </si>
  <si>
    <t xml:space="preserve">U.S. Environmental Protection Agency's WaterSense Program. WaterSense Specification for Tank-Type Toilets, Version 1.1. May 19, 2011. </t>
  </si>
  <si>
    <t xml:space="preserve">U.S. Environmental Protection Agency's WaterSense Program. High-Efficiency Lavatory Faucet Specification, Version 1.0. October 1, 2007. </t>
  </si>
  <si>
    <t>Default WaterSense Labeled Showerhead Flow Rate</t>
  </si>
  <si>
    <t xml:space="preserve">U.S. Environmental Protection Agency's WaterSense Program. WaterSense Specification for Showerheads, Version 1.0. March 4, 2010. </t>
  </si>
  <si>
    <t>flushes</t>
  </si>
  <si>
    <t>Mayer, Peter W. and William B. DeOreo. Residential End Uses of Water. Aquacraft, Inc. Water Engineering and Management. American Water Works Association. 1998. Page 94.</t>
  </si>
  <si>
    <t>minutes</t>
  </si>
  <si>
    <t>Mayer, Peter W. and William B. DeOreo. Residential End Uses of Water. Aquacraft, Inc. Water Engineering and Management. American Water Works Association. 1998. Page 102</t>
  </si>
  <si>
    <t>showers per person per day</t>
  </si>
  <si>
    <t>Standard assumption for shower use</t>
  </si>
  <si>
    <t xml:space="preserve">Mayer, Peter W. and William B. DeOreo et al. The End Uses of Hot Water In Single Family Homes From Flow Trace Analysis: Aquacraft, Inc. Water Engineering and Management. American Water Works Association. 2000. Page 8, Table 2. </t>
  </si>
  <si>
    <t>kilowatt-hours</t>
  </si>
  <si>
    <t>Mcf</t>
  </si>
  <si>
    <t>Default Urinal Flush Volume (pre-1994)</t>
  </si>
  <si>
    <t>D&amp;R International, Koeller and Company, Veritec Consulting, Ltd. Plumbing Fixtures Market Overview: Water Savings Potential for Residential and Commercial Toilet and Urinals.  *and projections carried out by ERG</t>
  </si>
  <si>
    <t>Default Urinal Flush Volume (post 1994)</t>
  </si>
  <si>
    <t>Default WaterSense Labeled Flushing Urinal Flush Volume</t>
  </si>
  <si>
    <t xml:space="preserve">U.S. Environmental Protection Agency's WaterSense Program. WaterSense Specification for Flushing Urinals, Version 1.0. October 8, 2009. </t>
  </si>
  <si>
    <t>Standard Assumption</t>
  </si>
  <si>
    <t>flushes per day</t>
  </si>
  <si>
    <t>USGBC. LEED. Water Use Reduction Additional Guidance. July 6, 2012. http://www.usgbc.org/Docs/Archive/General/Docs6493.pdf.</t>
  </si>
  <si>
    <t>uses</t>
  </si>
  <si>
    <t>Ice Maker Water Use, Water Savings, and Energy Savings</t>
  </si>
  <si>
    <t>U.S. EPA and DOE. Savings Calculator for ENERGY STAR Qualified Commercial Kitchen Equipment. February 2014.</t>
  </si>
  <si>
    <t>Single-pass water-cooled ice maker water use in gallons per pound of ice generated</t>
  </si>
  <si>
    <t>gallons per pound of ice</t>
  </si>
  <si>
    <t>California Urban Water Conservation Council. Evaluation of Potential Best Management Practices - Commercial Ice Machines. Page 20. Prepared by John Koeller (Koeller and Company) and H.W. Hoffman and Associates, LLC. June 2008.</t>
  </si>
  <si>
    <t>Default Average Weekly Clothes Washer Loads</t>
  </si>
  <si>
    <t>loads per week</t>
  </si>
  <si>
    <t>U.S. Department of Energy. Technical Support Document: Energy Efficiency Program for Consumer Products and Commercial and Industrial Equipment: Residential Dishwashers, Dehumidifiers, and Cooking Products, and Commercial Clothes Washers. December 2009. EERE-2006-STD-0127 Comment 69.1</t>
  </si>
  <si>
    <t>ENERGY STAR Water Factor Requirement for Commercial Clothes Washers</t>
  </si>
  <si>
    <t>ENERGY STAR Clothes Washers Specification, Version 6.1. February 1, 2013.</t>
  </si>
  <si>
    <t>Federal Standard Water Factor - Front-loading Clothes Washers</t>
  </si>
  <si>
    <t>Federal standard, Code of Federal Regulations, Title 10, Part 431, Subpart I</t>
  </si>
  <si>
    <t>Federal Standard Water Factor - Top-loading Clothes Washers</t>
  </si>
  <si>
    <t>Average Washing Machine Capacity</t>
  </si>
  <si>
    <t>U.S. EPA and DOE. Savings Calculator for ENERGY STAR Qualified Appliances. August 2013</t>
  </si>
  <si>
    <t>Conventional rated unit electricity consumption per year</t>
  </si>
  <si>
    <t>kilowatt-hours per year</t>
  </si>
  <si>
    <t>Reference Clothes Washer Loads per year</t>
  </si>
  <si>
    <t>loads per year</t>
  </si>
  <si>
    <t>Gas Water Heater Efficiency</t>
  </si>
  <si>
    <t>Portion of Electricity Consumption Used to Heat Water for commercial clothes washers</t>
  </si>
  <si>
    <t>Electricity consumption per load of laundry - Conventional</t>
  </si>
  <si>
    <t>Electricity consumption per load of laundry - ENERGY STAR</t>
  </si>
  <si>
    <t>Gas consumption per load of laundry - Conventional</t>
  </si>
  <si>
    <t>Gas consumption per load of laundry - ENERGY STAR</t>
  </si>
  <si>
    <t>Water consumption per load of laundry - front-loading - Conventional</t>
  </si>
  <si>
    <t>Water consumption per load of laundry - front-loading - ENERGY STAR</t>
  </si>
  <si>
    <t>Water consumption per load of laundry - top-loading - Conventional</t>
  </si>
  <si>
    <t>Water consumption per load of laundry - top-loading - ENERGY STAR</t>
  </si>
  <si>
    <t>American Hotel &amp; Lodging Association (AH&amp;LA) Green Guidelines. Guideline #2 (Implement a Towel Reuse Program) and Guideline #3 (Implement a Linen Reuse Program).</t>
  </si>
  <si>
    <t>Default Average Pounds of Laundry Washed per Day</t>
  </si>
  <si>
    <t>Calculated</t>
  </si>
  <si>
    <t>pounds per day</t>
  </si>
  <si>
    <t>Calculation based on number of guest rooms, hotel occupancy percentage, and pounds of laundry per occupied guest room per day estimate</t>
  </si>
  <si>
    <t>pounds</t>
  </si>
  <si>
    <t>Seattle Public Utility Resource Conservation Section. Hotel Water Conservation: A Seattle Demonstration. Prepared by Calyx Sustainable Tourism &amp; The RICE Group. July 2002.</t>
  </si>
  <si>
    <t>Default Kitchen Operating Hours</t>
  </si>
  <si>
    <t>hours</t>
  </si>
  <si>
    <t>U.S. Environmental Protection Agency's WaterSense Program. WaterSense at Work: Best Management Practices for Commercial and Institutional Facilities. Page 4-40. October 2012.</t>
  </si>
  <si>
    <t>Single-pass water-cooled ice maker water use</t>
  </si>
  <si>
    <t>Standard, boiler-based steam cooker water use</t>
  </si>
  <si>
    <t>gallons per hour</t>
  </si>
  <si>
    <t>U.S. Environmental Protection Agency's WaterSense Program. WaterSense at Work: Best Management Practices for Commercial and Institutional Facilities. Page 4-16. October 2012.</t>
  </si>
  <si>
    <t>ENERGY STAR connectionless steam cooker Water Use</t>
  </si>
  <si>
    <t>Boiler-based combination oven water use</t>
  </si>
  <si>
    <t>U.S. Environmental Protection Agency's WaterSense Program. WaterSense at Work: Best Management Practices for Commercial and Institutional Facilities. Page 4-12. October 2012.</t>
  </si>
  <si>
    <t>Connectionless combination oven water use</t>
  </si>
  <si>
    <t>Dipper well w/ in-line flow restrictor flow rate</t>
  </si>
  <si>
    <t>U.S. Environmental Protection Agency's WaterSense Program. WaterSense at Work: Best Management Practices for Commercial and Institutional Facilities. Page 4-30. October 2012.</t>
  </si>
  <si>
    <t>Default food grinder sluice trough water flow rate</t>
  </si>
  <si>
    <t>Default food grinder daily use</t>
  </si>
  <si>
    <t>Assumption based on assumed kitchen operating hours</t>
  </si>
  <si>
    <t>Default food grinder sluice trough daily idling hours</t>
  </si>
  <si>
    <t>U.S. Environmental Protection Agency's WaterSense Program. WaterSense at Work: Best Management Practices for Commercial and Institutional Facilities. Page 4-43. October 2012.</t>
  </si>
  <si>
    <t>Reduced Flow Rate for Food Grinder Load Sensor</t>
  </si>
  <si>
    <t>U.S. Environmental Protection Agency's WaterSense Program. WaterSense at Work: Best Management Practices for Commercial and Institutional Facilities. Page 4-42. October 2012.</t>
  </si>
  <si>
    <t>Energy Policy Act 2005</t>
  </si>
  <si>
    <t xml:space="preserve">U.S. Environmental Protection Agency's WaterSense Program. WaterSense Specification for Commercial Pre-Rinse Spray Valves Supporting Statement, Version 1.0. September 19, 2013. </t>
  </si>
  <si>
    <t>WaterSense Labeled Pre-rinse Spray Valve Flow Rate</t>
  </si>
  <si>
    <t xml:space="preserve">U.S. Environmental Protection Agency's WaterSense Program. WaterSense Specification for Commercial Pre-Rinse Spray Valves, Version 1.0. September 19, 2013. </t>
  </si>
  <si>
    <t>Cooling tower evaporation per ton cooling</t>
  </si>
  <si>
    <t xml:space="preserve">N.C. Department of Environment and Natural Resources. Water Efficiency Manual. Chapter 4: Water Management Options. Page 39. </t>
  </si>
  <si>
    <t>Engineering Best Practice</t>
  </si>
  <si>
    <t>Threshold annual water use that may require an irrigation professional's services</t>
  </si>
  <si>
    <t>WaterSense assumption based on estimated cost of an irrigation audit and retrofit and estimated cost savings over five years.</t>
  </si>
  <si>
    <t>Savings from WaterSense Labeled Weather-Based Irrigation Controllers</t>
  </si>
  <si>
    <t xml:space="preserve">U.S. Environmental Protection Agency's WaterSense Program. WaterSense Specification for Weather-Based Irrigation Controllers, Version 1.0. November 3, 2011. </t>
  </si>
  <si>
    <t>Average water use recommended watering for turf landscaping per year</t>
  </si>
  <si>
    <t>feet</t>
  </si>
  <si>
    <t>Conserveh2o.org recommends watering lawns 1-inch per week. Based on an assumed irrigation schedule from March 15 to October 15, approximately 2.5 feet of water would be used annually. Water use will vary by region, climate, and plant species.</t>
  </si>
  <si>
    <t>Default Pool Surface Area</t>
  </si>
  <si>
    <t>square feet</t>
  </si>
  <si>
    <t>U.S. Environmental Protection Agency's WaterSense Program. WaterSense at Work: Best Management Practices for Commercial and Institutional Facilities. Page 5-20. October 2012.</t>
  </si>
  <si>
    <t>U.S. Environmental Protection Agency's WaterSense Program. WaterSense at Work: Best Management Practices for Commercial and Institutional Facilities. Page 5-21. October 2012.</t>
  </si>
  <si>
    <t>Default Spa Surface Area</t>
  </si>
  <si>
    <t>Reduction in evaporation losses from pool or hot tub cover</t>
  </si>
  <si>
    <t>10-50%</t>
  </si>
  <si>
    <t>U.S. Environmental Protection Agency's WaterSense Program. WaterSense at Work: Best Management Practices for Commercial and Institutional Facilities. Page 5-27. October 2012.</t>
  </si>
  <si>
    <t>Avg gallons of evaporation per square foot per day - Pools</t>
  </si>
  <si>
    <t>gallons per square foot</t>
  </si>
  <si>
    <t>California Urban Water Conservation Council. Evaluation of Potential Best Management Practices - Pools, Spas, and Fountains. Prepared by John Koeller (Koeller and Company) and H.W. Hoffman and Associates, LLC. September 2010.</t>
  </si>
  <si>
    <t>Avg gallons of evaporation per square foot per day - Hot Tubs</t>
  </si>
  <si>
    <t>Sand filter water use factor - Pools</t>
  </si>
  <si>
    <t>gallons per gallon pool volume</t>
  </si>
  <si>
    <t>Sand filter water use factor - Hot Tubs</t>
  </si>
  <si>
    <t>gallons per gallon hot tub volume</t>
  </si>
  <si>
    <t>Sorptive media filter water use factor - Pool</t>
  </si>
  <si>
    <t>Sorptive media filter water use factor - Hot Tub</t>
  </si>
  <si>
    <t>Cartridge filter water use factor - Pool</t>
  </si>
  <si>
    <t>Cartridge filter water use factor - Hot Tub</t>
  </si>
  <si>
    <t>Industrial filter water use factor - Pool</t>
  </si>
  <si>
    <t>Industrial filter water use factor - Hot Tub</t>
  </si>
  <si>
    <t xml:space="preserve">Default Hotel Operating Days per Year: </t>
  </si>
  <si>
    <t>National Average Water Rate</t>
  </si>
  <si>
    <t>National Average Wastewater Rate</t>
  </si>
  <si>
    <t>National Average Electricity Rate</t>
  </si>
  <si>
    <t>National Average Natural Gas Rate</t>
  </si>
  <si>
    <r>
      <t>American Society of Mechanical Engineers (ASME) A112.19.14-2006 (</t>
    </r>
    <r>
      <rPr>
        <i/>
        <sz val="11"/>
        <color indexed="8"/>
        <rFont val="Calibri"/>
        <family val="2"/>
      </rPr>
      <t>Six-Liter Water Closets Equipped with a Dual Flushing Device)</t>
    </r>
  </si>
  <si>
    <t>Default WaterSense Labeled Tank-Type Toilet Flush Volume</t>
  </si>
  <si>
    <t>Default High-efficiency Flushometer Valve Toilet Flush Volume</t>
  </si>
  <si>
    <t>U.S. Environmental Proection Agency's WaterSense Program. WaterSense Notice of Intent to Develop a Draft Specification for Flushometer-Valve Toilets. August 8, 2013.</t>
  </si>
  <si>
    <t>Default WaterSense Labeled  Aerator or Faucet  Flow Rate</t>
  </si>
  <si>
    <t>Default Public Use Faucet Aerator or Faucet Replacement Flow Rate</t>
  </si>
  <si>
    <r>
      <t>American Society of Mechanical Engineers (ASME) A112.18.11-2012/Canadian Standards Association (CSA) B125.1-12 (</t>
    </r>
    <r>
      <rPr>
        <i/>
        <sz val="11"/>
        <color indexed="8"/>
        <rFont val="Calibri"/>
        <family val="2"/>
      </rPr>
      <t>Plumbing supply fittings</t>
    </r>
    <r>
      <rPr>
        <sz val="11"/>
        <color theme="1"/>
        <rFont val="Calibri"/>
        <family val="2"/>
      </rPr>
      <t>)</t>
    </r>
  </si>
  <si>
    <t>Water Use Reduction from a Simple Laundry Water Recycling System</t>
  </si>
  <si>
    <t>10-35%</t>
  </si>
  <si>
    <t>U.S. Environmental Protection Agency's WaterSense Program. WaterSense at Work: Best Management Practices for Commercial and Institutional Facilities. Page 3-30. October 2012.</t>
  </si>
  <si>
    <t>Water Use Reduction from a Complex Laundry Water Recycling System</t>
  </si>
  <si>
    <t>85-90%</t>
  </si>
  <si>
    <t>Water Use Reduction from an Ozone Laundry System</t>
  </si>
  <si>
    <t>10-25%</t>
  </si>
  <si>
    <t>Default Average Pre-rinse Spray Valve Daily Water Use (minutes per day)</t>
  </si>
  <si>
    <t>Percent Pre-Rinse Spray Valve water that is hot water</t>
  </si>
  <si>
    <t>kWh electricity required to heat one gallon of water</t>
  </si>
  <si>
    <t>McF natural gas required to heat one gallon of water</t>
  </si>
  <si>
    <t>Default Clothes Washer Loads per year</t>
  </si>
  <si>
    <t>6. What is the flow rate of showerheads installed in public and employee-only areas?</t>
  </si>
  <si>
    <t>Urinal flushes per male visitor per day</t>
  </si>
  <si>
    <t>Number ENERGY STAR®</t>
  </si>
  <si>
    <t>www.epa.gov/watersense/outdoor/irrigation_professionals.html</t>
  </si>
  <si>
    <t>www.epa.gov/WaterSense/products/controltech.html</t>
  </si>
  <si>
    <t>For additional information on how to reduce water used for outdoor irrigation, see:</t>
  </si>
  <si>
    <t>Default Pre-rinse Spray Valve Flow Rate</t>
  </si>
  <si>
    <t>Instructions</t>
  </si>
  <si>
    <t>Steps to Completing the WaterUSE Tool</t>
  </si>
  <si>
    <t>1.</t>
  </si>
  <si>
    <t>2.</t>
  </si>
  <si>
    <t>3.</t>
  </si>
  <si>
    <t>4.</t>
  </si>
  <si>
    <t xml:space="preserve">     2e. What type of filtration system is installed?</t>
  </si>
  <si>
    <t xml:space="preserve">     1e. What type of filtration system is installed?</t>
  </si>
  <si>
    <t>Potential Annual Water
Savings (gal)</t>
  </si>
  <si>
    <t>Potential Annual Energy
Cost Savings ($)</t>
  </si>
  <si>
    <t>Potential Annual Water Cost
Savings ($)</t>
  </si>
  <si>
    <t>Potential Annual Water
Cost Savings ($)</t>
  </si>
  <si>
    <t>Potential Annual Water Savings (gal)</t>
  </si>
  <si>
    <t>Potential Annual Energy Savings - Electricity (kWh)</t>
  </si>
  <si>
    <t>Potential Annual Energy Savings - Natural Gas (Mcf)</t>
  </si>
  <si>
    <t>Potential Annual Energy Savings - Natural
Gas (Mcf)</t>
  </si>
  <si>
    <t>Potential Annual Energy Cost
Savings ($)</t>
  </si>
  <si>
    <t>Potential Annual  Water
Cost Savings ($)</t>
  </si>
  <si>
    <t>Potential Annual Energy Cost Savings ($)</t>
  </si>
  <si>
    <t>Average pounds of laundry per occupied guest room per day</t>
  </si>
  <si>
    <t>Other suggested pounds of laundry per occupied guest room values</t>
  </si>
  <si>
    <t>Multiple</t>
  </si>
  <si>
    <t>Commercial Laundry Equipment Company, Inc. General Laundry Planning Calculation Methods. Page 3.</t>
  </si>
  <si>
    <t>Assumption that cooling towers have an equivalent full load cooling time of 30%.</t>
  </si>
  <si>
    <t>&lt;&lt; Note: You must make a selection even if neither fuel type is used for hot water heating.</t>
  </si>
  <si>
    <t>5.</t>
  </si>
  <si>
    <t>6.</t>
  </si>
  <si>
    <t>If information is available, consider entering project-specific costs and rebate information in the green cells towards the bottom of each tab to make project payback periods more accurate for identified projects.</t>
  </si>
  <si>
    <t>In addition, review the supporting data and assumption area at the bottom of each tab and consider altering the data in the red cells if you have more facility-specific assumptions. This will also make the savings and project payback periods more accurate for the identified projects.</t>
  </si>
  <si>
    <t>For additional information on how to reduce water use in your guest rooms, see:</t>
  </si>
  <si>
    <t>WaterSense at Work Section 3: Sanitary Fixtures and Equipment</t>
  </si>
  <si>
    <t>For additional information on how to reduce water use in your public restrooms, see:</t>
  </si>
  <si>
    <t>For additional information on how to reduce ice maker water use, see:</t>
  </si>
  <si>
    <t>For additional information on how to reduce clothes washer water use, see:</t>
  </si>
  <si>
    <t>WaterSense at Work Section 4.2: Commercial Ice Machine</t>
  </si>
  <si>
    <t>WaterSense at Work Section 3.6: Laundry Equipment</t>
  </si>
  <si>
    <t>Because you indicated that your hotel does not provide ice makers or clothes washers for guest use, there are no best management practice recommendations for this water use area. Continue to another tab to assess other water savings opportunities.</t>
  </si>
  <si>
    <t>Installing an ozone system can save between 10 and 25 percent of water used for hotel laundry. It can also reduce energy use and the amount of detergent and other chemicals needed per load. Contact your hotel laundry equipment vendor to determine the feasibility and cost of installing an ozone system on your existing laundry equipment.</t>
  </si>
  <si>
    <t>Consider retrofitting your existing boiler-based steam kettles with a system that returns condensate to the central boiler system for reuse. Condensate return systems can save on the water and energy cost of operating a steam kettle. When replacing an existing, boiler-based steam kettle, consider installing a self-contained unit. If this is not feasible based on your kitchen's cooking requirements, consider installing a unit with a condensate recovery system built in.</t>
  </si>
  <si>
    <t>If you plan to replace your boiler-based steam kettle in the future, consider installing a self-contained steam kettle.</t>
  </si>
  <si>
    <t>If you plan to replace your food disposal, consider installing a food pulper or food strainer instead of a standard food grinder, as these types of equipment can significantly reduce the amount of water used for food disposal.</t>
  </si>
  <si>
    <t>WaterSense at Work Section 4: Commercial Kitchen Equipment</t>
  </si>
  <si>
    <t>Pre-Rinse Spray Valve(s)</t>
  </si>
  <si>
    <t>For additional information on how to reduce dishwasher water use, see:</t>
  </si>
  <si>
    <t>WaterSense at Work Section 4.10: Commercial Dishwashers</t>
  </si>
  <si>
    <t>Because you indicated that your hotel does not have dishwashing equipment, there are no best management practice recommendations for this water use area. Continue to another tab to assess other water savings opportunities.</t>
  </si>
  <si>
    <t>You have not provided enough information to estimate your cycles of concentration. Cycles of concentration is a key parameter used to evaluate cooling tower performance. Considering working with a cooling tower water treatment vendor to determine your existing cycles of concentration and to improve your cooling tower efficiency by increasing your cycles, if possible.</t>
  </si>
  <si>
    <t>To determine your cooling tower’s annual water use and understand your cycles of concentration, regularly monitor and track your make-up and/or blowdown water meter readings. Regularly monitoring these meters will also help you quickly identify leaks or other problems and determine when to make adjustments.</t>
  </si>
  <si>
    <t>Consider installing a conductivity controller to initiate blowdown only when the conductivity set point is exceeded. These controllers can help improve cooling tower operations and reduce water use by maintaining consistent water quality and discharging water only when necessary.</t>
  </si>
  <si>
    <t>Consider installing a conductivity controller to automatically control your cooling tower water discharge. These controllers can help improve cooling tower operations and reduce water use by maintaining consistent water quality and discharging water only when necessary.</t>
  </si>
  <si>
    <t>For your timer-based control system, verify that the blowdown schedule only discharges water when necessary, and adjust the schedule often to account for seasonal changes in cooling tower demand. Consider installing a conductivity controller to control blowdown instead of relying on a set schedule. These types of controllers initiate blowdown only when the conductivity set point is exceeded, improving cooling tower operations and reducing water use since water is only discharged when necessary.</t>
  </si>
  <si>
    <t>To assess your current cooling tower operations and identify operational improvements, consider working with a cooling tower water treatment vendor that emphasizes water efficiency. Vendors can assist in installing an automated chemical feed system that will monitor conductivity, control blowdown, and add chemicals based on make-up water flow. Automated chemical feed systems minimize water and chemical use while protecting against scale, corrosion, and biological growth.</t>
  </si>
  <si>
    <t>Based on ASHRAE 189 recommendations, consider submetering make-up water lines to steam boilers with input capacities greater than 500,000 Btu/hr (50 kW) to better manage water use.</t>
  </si>
  <si>
    <t>Consider installing a condensate recovery system to capture and return condensate to your boiler for reuse. This will significantly reduce boiler make-up water demand and improve the energy efficiency of the boiler.</t>
  </si>
  <si>
    <t>Consider installing an automatic boiler blowdown control system to control the amount and frequency of blowdown, or consider manually testing conductivity prior to initiating blowdown. Control systems with a conductivity controller will initiate blowdown only when the total dissolved solids concentration in the boiler has built up to a certain concentration that may cause scaling or corrosion.</t>
  </si>
  <si>
    <t>Consider installing a water meter on your cooling tower’s make-up water line to assess your cooling tower water use. Once installed, regularly monitor the meter and evaluate water use trends to quickly identify leaks or other problems and determine when to make adjustments.</t>
  </si>
  <si>
    <t>WaterSense at Work Section 6: Mechanical Systems</t>
  </si>
  <si>
    <t>Because you indicated that your hotel does not have a cooling tower, single-pass cooling for equipment other than ice makers, or a steam boiler for heating, there are no best management practice recommendations for this water use area. Continue to another tab to assess other water savings opportunities.</t>
  </si>
  <si>
    <t>A6. Do you know your cycles of concentration?</t>
  </si>
  <si>
    <t xml:space="preserve">     A6a. What is your existing cooling tower cycles of concentration?</t>
  </si>
  <si>
    <t xml:space="preserve">Your Estimated Cooling Tower Cycles of Concentration:  </t>
  </si>
  <si>
    <t>Target Cycles of Concentration</t>
  </si>
  <si>
    <t>CoC for Calcs</t>
  </si>
  <si>
    <t>Install a dedicated water meter to measure the amount of irrigation water applied to your landscape. Monitor the meter often and keep a record of trends in irrigation water use to help identify potential leaks in the system.</t>
  </si>
  <si>
    <t>To determine your annual irrigation water use, regularly monitor and track irrigation meter readings. Regularly monitoring these meters will also help quickly identify leaks or other problems and determine when to make adjustments.</t>
  </si>
  <si>
    <t>Consider replacing your timer-based irrigation controller with a WaterSense labeled weather-based irrigation controller (WBIC) or a soil moisture-based irrigation controller.  This can reduce irrigation water use by 15 percent. For more information on WaterSense labeled irrigation controllers , visit:</t>
  </si>
  <si>
    <t>Consider installing a WaterSense labeled weather-based irrigation controller or a soil moisture-based irrigation controller to control your irrigation schedule. For more information on WaterSense labeled irrigation controllers, visit:</t>
  </si>
  <si>
    <t>WaterSense at Work Section 5.2: Landscaping and Section 5.3: Irrigation</t>
  </si>
  <si>
    <t xml:space="preserve">Although you indicated that your hotel does not have an in-ground irrigation system, your landscape may benefit from implementing landscaping best management practices. For more information on water-efficient landscaping, see: </t>
  </si>
  <si>
    <t>Install and/or actively monitor a water meter on your pool’s make-up water line. This will help identify if there is a leak in the pool or piping. If your pool is losing more than 2 inches of water per week (3 inches for high-evaporation areas), your pool may be leaking.</t>
  </si>
  <si>
    <t>For additional information on how to reduce water losses from your pool and spa, see:</t>
  </si>
  <si>
    <t>WaterSense at Work Section 5.4: Commercial Pool and Spa Equipment</t>
  </si>
  <si>
    <r>
      <t xml:space="preserve">In order to use the Water Use and Savings Evaluation Tool (WaterUSE Tool), macros </t>
    </r>
    <r>
      <rPr>
        <b/>
        <u val="single"/>
        <sz val="14"/>
        <color indexed="8"/>
        <rFont val="Calibri"/>
        <family val="2"/>
      </rPr>
      <t>must</t>
    </r>
    <r>
      <rPr>
        <b/>
        <sz val="14"/>
        <color indexed="8"/>
        <rFont val="Calibri"/>
        <family val="2"/>
      </rPr>
      <t xml:space="preserve"> be enabled.</t>
    </r>
  </si>
  <si>
    <t xml:space="preserve">                   WaterUSE Tool</t>
  </si>
  <si>
    <t>Fill out the “Facility Info” tab using information from Worksheet 1: Facility Information. The Facility Info tab must be completed in order for the remainder of the tool to function properly.</t>
  </si>
  <si>
    <t>After entering all applicable information, click the "Show My Results" button at the bottom of each tab. Based on your inputs, the tool will identify potential projects, best management practices, and savings potential for that specific water use area.</t>
  </si>
  <si>
    <t>»</t>
  </si>
  <si>
    <t>&lt;&lt; Note: Renovation year should only be included if restroom fixtures in guest rooms and public restrooms were replaced.</t>
  </si>
  <si>
    <t>Check with your local water and energy utilities to determine if a rebate program is available for implementing water-saving projects.</t>
  </si>
  <si>
    <t>Total Cost per Fixture (installed)</t>
  </si>
  <si>
    <t>Total Rebate per Fixture</t>
  </si>
  <si>
    <t>Product Replacement Details and Costs</t>
  </si>
  <si>
    <t>Check with your local water utility to determine if a rebate program is available for implementing water-saving projects.</t>
  </si>
  <si>
    <t>Supporting Data and Assumptions</t>
  </si>
  <si>
    <t>Total Cost per Machine (installed)</t>
  </si>
  <si>
    <t>Total Rebate
per Fixture</t>
  </si>
  <si>
    <t>Water consumption per load of laundry (gal) — front-loading</t>
  </si>
  <si>
    <t>Water consumption per load of laundry (gal) — top-loading</t>
  </si>
  <si>
    <t>—</t>
  </si>
  <si>
    <t>For additional information on how to reduce water used for hotel laundry, see:</t>
  </si>
  <si>
    <t>ENERGY STAR qualified connectionless steam cooker water use (gal/hr)</t>
  </si>
  <si>
    <t>Dipper well with in-line flow restrictor flow rate (gal/min)</t>
  </si>
  <si>
    <t>Temperature (low or high)</t>
  </si>
  <si>
    <t>Number of Racks Washed per Day</t>
  </si>
  <si>
    <t>Cycles of concentration is a parameter commonly used to evaluate cooling tower operation efficiency. It is calculated as the ratio of the concentration of total dissolved solids (i.e., conductivity) in the blowdown water divided by the conductivity of the make-up water. Since total dissolved solids enter the system in the make-up water and exit the system in the blowdown water, the cycles of concentration are also approximately equal to the ratio of volume of make-up water to blowdown water. To achieve water efficiency in the cooling tower system, the cycles of concentration should be maximized.</t>
  </si>
  <si>
    <t>C4. Does your steam boiler(s) have a conductivity controller to control blowdown?</t>
  </si>
  <si>
    <t>Average gallons of evaporation per square foot per day</t>
  </si>
  <si>
    <t>The U.S. Environmental Protection Agency’s WaterSense® program has developed the Water Use and Savings Evaluation Tool (WaterUSE Tool) to help hotel facility managers and building operators ACT—assess, change, and track water use.</t>
  </si>
  <si>
    <t>Please Note</t>
  </si>
  <si>
    <t xml:space="preserve"> WaterUSE Tool</t>
  </si>
  <si>
    <t>thousand Watt-hours (kWh)</t>
  </si>
  <si>
    <t>million Watt-hours (MWh)</t>
  </si>
  <si>
    <t>thousand Btu (kBtu)</t>
  </si>
  <si>
    <t>million Btu (MMBtu)</t>
  </si>
  <si>
    <t>liters</t>
  </si>
  <si>
    <t>cubic feet (cf)</t>
  </si>
  <si>
    <t>hundred cubic feet (ccf)</t>
  </si>
  <si>
    <t>thousand cubic feet (kcf)</t>
  </si>
  <si>
    <t>thousand gallons (kgal)</t>
  </si>
  <si>
    <t>acre-feet</t>
  </si>
  <si>
    <t>flat rate</t>
  </si>
  <si>
    <t>thousand cubic feet (Mcf)</t>
  </si>
  <si>
    <r>
      <t>cubic meters (m</t>
    </r>
    <r>
      <rPr>
        <vertAlign val="superscript"/>
        <sz val="11"/>
        <color indexed="8"/>
        <rFont val="Calibri"/>
        <family val="2"/>
      </rPr>
      <t>3</t>
    </r>
    <r>
      <rPr>
        <sz val="11"/>
        <color theme="1"/>
        <rFont val="Calibri"/>
        <family val="2"/>
      </rPr>
      <t>)</t>
    </r>
  </si>
  <si>
    <t>million cubic feet (MMcf)</t>
  </si>
  <si>
    <t>therm</t>
  </si>
  <si>
    <r>
      <t xml:space="preserve">or the </t>
    </r>
    <r>
      <rPr>
        <u val="single"/>
        <sz val="11"/>
        <color indexed="30"/>
        <rFont val="Calibri"/>
        <family val="2"/>
      </rPr>
      <t>H2Otel Challenge web page</t>
    </r>
    <r>
      <rPr>
        <sz val="11"/>
        <color indexed="8"/>
        <rFont val="Calibri"/>
        <family val="2"/>
      </rPr>
      <t>.</t>
    </r>
  </si>
  <si>
    <r>
      <t>Conduct a walk-through of your hotel to gather data and information regarding the specific types of equipment and operations that use water, as well as typical water use patterns. WaterSense has prepared a series of worksheets</t>
    </r>
    <r>
      <rPr>
        <sz val="11"/>
        <color indexed="8"/>
        <rFont val="Calibri"/>
        <family val="2"/>
      </rPr>
      <t xml:space="preserve"> to facilitate this data collection. Information from the worksheets can be used to populate the required fields within this WaterUSE Tool. Each worksheet number corresponds to a numbered tab within this tool. As an example, information collected in Worksheet 3: Guest Rooms will be entered into the “Guest Rooms” tab of the WaterUSE Tool.</t>
    </r>
  </si>
  <si>
    <t>If you have more accurate facility- or equipment-specific data and assumptions than the values provided below, you can adjust the assumptions to provide more accurate BMP recommendations and savings estimates.</t>
  </si>
  <si>
    <t>If you are unsure how to enable macros, please use the Microsoft Office Excel Help function.</t>
  </si>
  <si>
    <t>Potential projects, BMPs, and savings potential identified in the tool are offered as guidance only. Actual water, energy, and cost savings can vary based on use and other factors. Before initiating a potential project identified by this tool, WaterSense recommends more thoroughly evaluating the project’s cost and savings to accurately evaluate its cost-effectiveness.  WaterSense recommends that you conduct a facility walk-through every four years to identify changes in your operations and reevaluate savings opportunities.
While the WaterUSE Tool was developed for the WaterSense H2Otel Challenge, other facility types may find the tool useful for identifying opportunities to save water.
EPA is not liable for any costs incurred from the use of this tool.</t>
  </si>
  <si>
    <t>Navigate to the WaterUSE Tool tabs relevant to your facility to identify water usage, potential savings projects, and recommended BMPs. Information you gathered using the worksheets during your facility walk-through should be entered into the dark blue and light blue cells on each applicable tab, when prompted. Grey-shaded cells throughout the tool are optional and can be filled out for your own tracking purposes.</t>
  </si>
  <si>
    <t>To complete this tab, use your records, such as past water utility bills, to enter water use data into the light blue-shaded cells. The dark blue-shaded cells are dropdown menus that correspond to the water meter names you provided on the "Facility Info" tab. If you would like to clear the information from this tab and start over, scroll right to press the "Reset Form" button at the top right corner of the form.</t>
  </si>
  <si>
    <t xml:space="preserve">   1a. What is the number of operating days per year for
           your dishwashing equipment?</t>
  </si>
  <si>
    <t>Because you use a significant amount of water for irrigation at your hotel, consider consulting with an irrigation professional certified by a WaterSense labeled program. Certified irrigation professionals can help you improve the efficiency of your irrigation system and reduce outdoor water use. To find a certified irrigation professional in your area, visit:</t>
  </si>
  <si>
    <t>Dishwasher water use, water savings, energy use, energy savings, and default number of racks washed per day</t>
  </si>
  <si>
    <r>
      <t xml:space="preserve">The WaterUSE Tool, in combination with the </t>
    </r>
    <r>
      <rPr>
        <u val="single"/>
        <sz val="11"/>
        <color indexed="30"/>
        <rFont val="Calibri"/>
        <family val="2"/>
      </rPr>
      <t>Water Assessment Worksheets</t>
    </r>
    <r>
      <rPr>
        <sz val="11"/>
        <color theme="1"/>
        <rFont val="Calibri"/>
        <family val="2"/>
      </rPr>
      <t xml:space="preserve">, can assist hotels in identifying and prioritizing cost-effective water efficiency projects and best management practices (BMPs) to reduce water and energy use and save money. </t>
    </r>
  </si>
  <si>
    <r>
      <t xml:space="preserve">In addition, consider entering your water use information into the ENERGY STAR® </t>
    </r>
    <r>
      <rPr>
        <i/>
        <u val="single"/>
        <sz val="11"/>
        <color indexed="30"/>
        <rFont val="Calibri"/>
        <family val="2"/>
      </rPr>
      <t>Portfolio Manager</t>
    </r>
    <r>
      <rPr>
        <i/>
        <sz val="11"/>
        <color indexed="8"/>
        <rFont val="Calibri"/>
        <family val="2"/>
      </rPr>
      <t>®  tool monthly to help you track and trend your water use.</t>
    </r>
  </si>
  <si>
    <r>
      <t xml:space="preserve">For more information on how you can reduce your water use, please visit the </t>
    </r>
    <r>
      <rPr>
        <i/>
        <u val="single"/>
        <sz val="11"/>
        <color indexed="30"/>
        <rFont val="Calibri"/>
        <family val="2"/>
      </rPr>
      <t>WaterSense at Work Best Management Practices for Commercial and Institutional Facilities</t>
    </r>
    <r>
      <rPr>
        <sz val="11"/>
        <color indexed="8"/>
        <rFont val="Calibri"/>
        <family val="2"/>
      </rPr>
      <t xml:space="preserve">
</t>
    </r>
  </si>
  <si>
    <t>The worksheets will help you capture information about your water-using fixtures and equipment needed to populate the WaterUSE Tool. They also provide instructions, guidance, definitions, context, and additional information about the fields in the tool. If you need help understanding or completing any parts of the tool, please refer to the associated worksheets. In addition, there is space at the end of each worksheet to write notes about malfunctioning equipment, leaks, or operational improvements that should be addressed immediately following your assessment, as well as any other information you would like to remember that is not captured elsewhere in the WaterUSE Tool.</t>
  </si>
  <si>
    <r>
      <rPr>
        <i/>
        <u val="single"/>
        <sz val="11"/>
        <color indexed="8"/>
        <rFont val="Calibri"/>
        <family val="2"/>
      </rPr>
      <t>Instructions:</t>
    </r>
    <r>
      <rPr>
        <i/>
        <sz val="11"/>
        <color indexed="8"/>
        <rFont val="Calibri"/>
        <family val="2"/>
      </rPr>
      <t xml:space="preserve"> Enter information from Worksheet 1 and Worksheet 2 of the Water Assessment Worksheets into the cells below. Dark blue-shaded cells are dropdown menus used to identify the selection options, light blue-shaded cells should be filled in based on your inventory, and grey-shaded cells are optional and can be filled out for your own tracking purposes. If you're unsure of certain information, you can press the "&lt;&lt;&lt; Use Default" buttons to estimate values based on industry averages; however, entering facility-specific information in those cells will yield more accurate savings estimates and project payback periods. If you would like to clear the information from this tab and start over, scroll right to press the "Reset Form" button at the top right corner of the form.</t>
    </r>
  </si>
  <si>
    <r>
      <rPr>
        <i/>
        <u val="single"/>
        <sz val="11"/>
        <color indexed="8"/>
        <rFont val="Calibri"/>
        <family val="2"/>
      </rPr>
      <t>Instructions:</t>
    </r>
    <r>
      <rPr>
        <i/>
        <sz val="11"/>
        <color indexed="8"/>
        <rFont val="Calibri"/>
        <family val="2"/>
      </rPr>
      <t xml:space="preserve"> Completing this tab is </t>
    </r>
    <r>
      <rPr>
        <b/>
        <i/>
        <sz val="11"/>
        <color indexed="8"/>
        <rFont val="Calibri"/>
        <family val="2"/>
      </rPr>
      <t>optional</t>
    </r>
    <r>
      <rPr>
        <i/>
        <sz val="11"/>
        <color indexed="8"/>
        <rFont val="Calibri"/>
        <family val="2"/>
      </rPr>
      <t>. The data entered here can be used to plot your data over time to identify and analyze water use trends. Plotting and analyzing your data monthly may help you identify seasonal water use patterns, leaks, malfunctioning equipment, or other issues.</t>
    </r>
  </si>
  <si>
    <t>This tab is set up to mimic Portfolio Manager so the data can be easily copied from the WaterUSE Tool to Portfolio Manager using your copy and paste function.</t>
  </si>
  <si>
    <r>
      <rPr>
        <i/>
        <u val="single"/>
        <sz val="11"/>
        <color indexed="8"/>
        <rFont val="Calibri"/>
        <family val="2"/>
      </rPr>
      <t>Instructions:</t>
    </r>
    <r>
      <rPr>
        <i/>
        <sz val="11"/>
        <color indexed="8"/>
        <rFont val="Calibri"/>
        <family val="2"/>
      </rPr>
      <t xml:space="preserve"> Enter information from Worksheet 3 of the Water Assessment Worksheets into the cells below. Dark blue-shaded cells are dropdown menus used to identify the selection options, and light blue-shaded cells should be filled in based on your inventory. If you're unsure of certain information, you can press the "&lt;&lt;&lt; Use Default" buttons to estimate values based on industry averages; however, entering facility-specific information in those cells will yield more accurate savings estimates and project payback periods.  Once data entry is complete, press "Show My Results" to see potential savings estimates and recommended water efficiency best management practices.</t>
    </r>
  </si>
  <si>
    <t>To provide the most accurate savings estimates for your replacement projects, consider updating the information in the green-shaded table to better represent your facility's planned fixture replacement. Consider updating the information in the red-shaded table if you have more accurate facility- or equipment-specific data and assumptions than the default values provided. These tables can be found towards the bottom of the form below the “Potential Water Savings and Payback Period” section.</t>
  </si>
  <si>
    <t>If you would like to clear the information from this tab and start over, scroll right to press the "Reset Form" button at the top right corner of the form.</t>
  </si>
  <si>
    <r>
      <rPr>
        <i/>
        <u val="single"/>
        <sz val="11"/>
        <color indexed="8"/>
        <rFont val="Calibri"/>
        <family val="2"/>
      </rPr>
      <t>Instructions:</t>
    </r>
    <r>
      <rPr>
        <i/>
        <sz val="11"/>
        <color indexed="8"/>
        <rFont val="Calibri"/>
        <family val="2"/>
      </rPr>
      <t xml:space="preserve"> Enter information from Worksheet 4 of the Water Assessment Worksheets into the cells below. Dark blue-shaded cells are dropdown menus used to identify the selection options, and light blue-shaded cells should be filled in based on your inventory. If you're unsure of certain information, you can press the "&lt;&lt;&lt; Use Default" buttons to estimate values based on industry averages; however, entering facility-specific information in those cells will yield more accurate savings estimates and project payback periods.  Once data entry is complete, press "Show My Results" to see potential savings estimates and recommended water efficiency best management practices.</t>
    </r>
  </si>
  <si>
    <t xml:space="preserve">To provide the most accurate savings estimates for your replacement projects, consider updating the information in the green-shaded table to better represent your facility's planned equipment replacement. Consider updating the information in the red-shaded table if you have more accurate facility- or equipment-specific data and assumptions than the default values provided. These tables can be found towards the bottom of the form below the “Potential Water Savings and Payback Period” section. 
</t>
  </si>
  <si>
    <t xml:space="preserve">Consider updating the information in the red-shaded table if you have more accurate facility- or equipment-specific data and assumptions than the default values provided. This table can be found towards the bottom of the form below the “Recommended Best Management Practices and Potential Water Savings” section. 
</t>
  </si>
  <si>
    <r>
      <rPr>
        <i/>
        <u val="single"/>
        <sz val="11"/>
        <color indexed="8"/>
        <rFont val="Calibri"/>
        <family val="2"/>
      </rPr>
      <t>Instructions:</t>
    </r>
    <r>
      <rPr>
        <i/>
        <sz val="11"/>
        <color indexed="8"/>
        <rFont val="Calibri"/>
        <family val="2"/>
      </rPr>
      <t xml:space="preserve"> Enter information from Worksheet 7 of the Water Assessment Worksheets into the cells below. For water use estimates and water savings opportunities associated with dishwashers or pre-rinse spray valves, see the next tab (8 Dishwashing). Dark blue-shaded cells are dropdown menus used to identify the selection options, and light blue-shaded cells should be filled in based on your inventory. If you're unsure of certain information, you can press the "&lt;&lt;&lt; Use Default" buttons to estimate values based on industry averages; however, entering facility-specific information in those cells will yield more accurate savings estimates. Once data entry is complete, press "Show My Results" to see recommended water efficiency best management practices.</t>
    </r>
  </si>
  <si>
    <t>Consider updating the information in the red-shaded table if you have more accurate facility- or equipment-specific data and assumptions than the default values provided. This table can be found towards the bottom of the form below the “Recommended Best Management Practices and Potential Water Savings” section.</t>
  </si>
  <si>
    <r>
      <rPr>
        <i/>
        <u val="single"/>
        <sz val="11"/>
        <color indexed="8"/>
        <rFont val="Calibri"/>
        <family val="2"/>
      </rPr>
      <t>Instructions:</t>
    </r>
    <r>
      <rPr>
        <i/>
        <sz val="11"/>
        <color indexed="8"/>
        <rFont val="Calibri"/>
        <family val="2"/>
      </rPr>
      <t xml:space="preserve"> Enter information from Worksheet 8 of the Water Assessment Worksheets into the cells below. For water use estimates and water savings opportunities associated with commercial kitchen equipment other than dishwashers or pre-rinse spray valves, see the previous tab (7 Commercial Kitchens). Dark blue-shaded cells are dropdown menus used to identify the selection options, and light blue-shaded cells should be filled in based on your inventory. If you're unsure of certain information, you can press the "&lt;&lt;&lt; Use Default" buttons to estimate values based on industry averages; however, entering facility-specific information in those cells will yield more accurate savings estimates and project payback periods.  Once data entry is complete, press "Show My Results" to see potential savings estimates and recommended water efficiency best management practices.</t>
    </r>
  </si>
  <si>
    <t>To provide the most accurate savings estimates for your replacement projects, consider updating the information in the green-shaded table to better represent your facility's planned equipment replacement. Consider updating the information in the red-shaded table if you have more accurate facility- or equipment-specific data and assumptions than the default values provided. These tables can be found towards the bottom of the form below the “Potential Water Savings and Payback Period” section.</t>
  </si>
  <si>
    <t>4. What type of irrigation controller is used to control irrigation
      for a majority of your landscape?</t>
  </si>
  <si>
    <t>Guest Rooms Total</t>
  </si>
  <si>
    <t>Public Restrooms Total</t>
  </si>
  <si>
    <t>Guest Ice and Laundry Total</t>
  </si>
  <si>
    <t>GRAND TOTAL</t>
  </si>
  <si>
    <t xml:space="preserve"> WaterUSE Tool - Summary of Potential Water-Efficiency Projects and Best Management Practices</t>
  </si>
  <si>
    <t>Potential Water Savings and Payback Period from Restroom, Guest Ice and Laundry, and Dishwashing Projects</t>
  </si>
  <si>
    <t>For additional information on how to reduce water use in your hotel, see:</t>
  </si>
  <si>
    <t>WaterSense at Work</t>
  </si>
  <si>
    <t>General Recommended Best Management Practices</t>
  </si>
  <si>
    <t>(none)</t>
  </si>
  <si>
    <t>Dishwashing Total</t>
  </si>
  <si>
    <t>Replacement %</t>
  </si>
  <si>
    <t>Potential Replace</t>
  </si>
  <si>
    <t>This tab provides a summary of all of the potential water, energy, and cost savings and/or recommended best management practices identified based on the information you entered for each water use area. The tab automatically updates as information is entered or changed and can be used to help you prioritize water efficiency projects and practices to save your hotel water, energy, and money.</t>
  </si>
  <si>
    <t>Recommended Best Management Practices for Linen Laundry</t>
  </si>
  <si>
    <t>Recommended Best Management Practices for Commercial Kitchens</t>
  </si>
  <si>
    <t>Recommended Best Management Practices for HVAC and Mechanical</t>
  </si>
  <si>
    <t>Recommended Best Management Practices for Irrigation</t>
  </si>
  <si>
    <t>Recommended Best Management Practices for Pools and Spas</t>
  </si>
  <si>
    <t>Because you indicated that your hotel already has a towel and linen reuse program and does not have in-house laundry equipment, there are no best management practice recommendations for this water use area.</t>
  </si>
  <si>
    <t>Because you indicated that your hotel does not have a restaurant or commercial kitchen, there are no best management practice recommendations for this water use area.</t>
  </si>
  <si>
    <t>Because you indicated that your hotel does not have a pool or spa, there are no best management practice recommendations for this water use area.</t>
  </si>
  <si>
    <t>SP Cooling</t>
  </si>
  <si>
    <t xml:space="preserve">Calculated using these equivalencies and assumptions:
- Specific heat of water = 1.0 Btu/lb x º F 
- 1 gallon of water = 8.34 lbs 
- 1 kWh = 3,412 Btus 
- Assume incoming water temperature is raised from 55º F to 120º F (∆ 65 º F) 
- Assume water heating process is 90 percent efficient for electric hot water heaters </t>
  </si>
  <si>
    <t>Calculated using these equivalencies and assumptions: 
- Specific heat of water = 1.0 Btu/lb x º F 
- 1 gallon of water = 8.34 lbs 
- 1 Therm = 99,976 Btus 
- Assume incoming water temperature is raised from 55º F to 120º F (∆ 65 º F) 
- Assume water heating process is 60 percent efficient for natural gas hot water heaters</t>
  </si>
  <si>
    <t>Consult with your landscape professional to consider installing drought-tolerant or climate-appropriate turfgrass, trees, shrubs, and ground cover. In addition, consider reducing the area of turfgrass in the landscape in favor of plant beds, as these generally require less water. If you don’t currently have a landscape professional, consider selecting one that is trained and certified in water-efficient and climate-appropriate landscaping. For more information on the best plants to use in your climate, visit:</t>
  </si>
  <si>
    <t>http://www.epa.gov/watersense/outdoor/what_to_plant.html</t>
  </si>
  <si>
    <t>cubic meters</t>
  </si>
  <si>
    <t>gallons per pound of laundry</t>
  </si>
  <si>
    <t>San Diego County Water Authority. Report on the Monitoring and Assessment of Water Savings from the Coin-Operated Multi-Load Clothes Washers Voucher Initiative Program. Page 10. October 2006.</t>
  </si>
  <si>
    <t>Water use by a multi-load washer</t>
  </si>
  <si>
    <t>Water use by a washer extractor</t>
  </si>
  <si>
    <t>Water use by a tunnel washer</t>
  </si>
  <si>
    <t>Gallons per pound of laundry for multi-load washer</t>
  </si>
  <si>
    <t>Gallons per pound of laundry for washer extractor</t>
  </si>
  <si>
    <t>Gallons per pound of laundry for tunnel washer</t>
  </si>
  <si>
    <t>Multi-Load Washer</t>
  </si>
  <si>
    <t>Washer Extractor</t>
  </si>
  <si>
    <t>Multi-Load Washers</t>
  </si>
  <si>
    <t>Washer Extractors</t>
  </si>
  <si>
    <t>Tunnel Washer</t>
  </si>
  <si>
    <t>Tunnel Washers</t>
  </si>
  <si>
    <t>Percentage</t>
  </si>
  <si>
    <t>Exceeded</t>
  </si>
  <si>
    <t>Maximum capacity for multi-load washers (lbs)</t>
  </si>
  <si>
    <t>Maximum capacity for washer extractors (lbs)</t>
  </si>
  <si>
    <t>Maximum capacity for tunnel washers (lbs)</t>
  </si>
  <si>
    <t>Encourage hotel laundry staff to wash only full loads. Consider using a laundry scale to weigh loads to ensure your laundry equipment is being filled to capacity.</t>
  </si>
  <si>
    <t>Unrecycled</t>
  </si>
  <si>
    <r>
      <rPr>
        <i/>
        <u val="single"/>
        <sz val="11"/>
        <color indexed="8"/>
        <rFont val="Calibri"/>
        <family val="2"/>
      </rPr>
      <t>Instructions:</t>
    </r>
    <r>
      <rPr>
        <i/>
        <sz val="11"/>
        <color indexed="8"/>
        <rFont val="Calibri"/>
        <family val="2"/>
      </rPr>
      <t xml:space="preserve"> Enter information from Worksheet 6 of the Water Assessment Worksheets into the cells below. Dark blue-shaded cells are dropdown menus used to identify the selection options and light blue-shaded cells should be filled in based on your inventory. If you're unsure of certain information, you can press the "&lt;&lt;&lt; Use Default" buttons to estimate values based on industry averages; however, entering facility-specific information in those cells will yield more accurate savings estimates. Once data entry is complete, press "Show My Results" to see recommended water efficiency best management practices.</t>
    </r>
  </si>
  <si>
    <t>Version 1.2. (June 2015)</t>
  </si>
  <si>
    <r>
      <rPr>
        <i/>
        <u val="single"/>
        <sz val="11"/>
        <color indexed="8"/>
        <rFont val="Calibri"/>
        <family val="2"/>
      </rPr>
      <t>Instructions:</t>
    </r>
    <r>
      <rPr>
        <i/>
        <sz val="11"/>
        <color indexed="8"/>
        <rFont val="Calibri"/>
        <family val="2"/>
      </rPr>
      <t xml:space="preserve"> Enter information from Worksheet 5 of the Water Assessment Worksheets into the cells below. Dark blue-shaded cells are dropdown menus used to identify the selection options and light blue-shaded cells should be filled in based on your inventory. If you're unsure of certain information, you can press the "&lt;&lt;&lt; Use Default" buttons to estimate values based on industry averages; however, entering facility-specific information in those cells will yield more accurate savings estimates and project payback periods.  Once data entry is complete, press "Show My Results" to see potential savings estimates and recommended water efficiency best management practices. </t>
    </r>
  </si>
  <si>
    <r>
      <rPr>
        <i/>
        <u val="single"/>
        <sz val="11"/>
        <color indexed="8"/>
        <rFont val="Calibri"/>
        <family val="2"/>
      </rPr>
      <t>Instructions:</t>
    </r>
    <r>
      <rPr>
        <i/>
        <sz val="11"/>
        <color indexed="8"/>
        <rFont val="Calibri"/>
        <family val="2"/>
      </rPr>
      <t xml:space="preserve"> Enter information from Worksheet 9 of the Water Assessment Worksheets into the cells below. Dark blue-shaded cells are dropdown menus used to identify the selection options and light blue-shaded cells should be filled in based on your inventory If you're unsure of certain information, you can press the "&lt;&lt;&lt; Use Default" buttons to estimate values based on industry averages; however, entering facility-specific information in those cells will yield more accurate savings estimates. Once data entry is complete, press "Show My Results" to see recommended water efficiency best management practices.</t>
    </r>
  </si>
  <si>
    <r>
      <rPr>
        <i/>
        <u val="single"/>
        <sz val="11"/>
        <color indexed="8"/>
        <rFont val="Calibri"/>
        <family val="2"/>
      </rPr>
      <t>Instructions:</t>
    </r>
    <r>
      <rPr>
        <i/>
        <sz val="11"/>
        <color indexed="8"/>
        <rFont val="Calibri"/>
        <family val="2"/>
      </rPr>
      <t xml:space="preserve"> Enter information from Worksheet 10 of the Water Assessment Worksheets into the cells below. Dark blue-shaded cells are dropdown menus used to identify the selection options and light blue-shaded cells should be filled in based on your inventory. Once data entry is complete, press "Show My Results" to see recommended water efficiency best management practices. If you would like to clear the information from this tab and start over, scroll right to press the "Reset Form" button at the top right corner of the form.</t>
    </r>
  </si>
  <si>
    <r>
      <rPr>
        <i/>
        <u val="single"/>
        <sz val="11"/>
        <color indexed="8"/>
        <rFont val="Calibri"/>
        <family val="2"/>
      </rPr>
      <t>Instructions:</t>
    </r>
    <r>
      <rPr>
        <i/>
        <sz val="11"/>
        <color indexed="8"/>
        <rFont val="Calibri"/>
        <family val="2"/>
      </rPr>
      <t xml:space="preserve"> Enter information from Worksheet 11 of the Water Assessment Worksheets into the cells below. Dark blue-shaded cells are dropdown menus used to identify the selection options and light blue-shaded cells should be filled in based on your inventory. If you're unsure of certain information, you can press the "&lt;&lt;&lt; Use Default" buttons to estimate values based on industry averages; however, entering facility-specific information in those cells will yield more accurate savings estimates. Once data entry is complete, press "Show My Results" to see recommended water efficiency best management practices.</t>
    </r>
  </si>
  <si>
    <t>Questions and Updates</t>
  </si>
  <si>
    <t>Please contact the WaterSense Helpline at (866) WTR-SENS (987-7367) or watersense@epa.gov if you have any questions on the WaterUSE Tool, to report any errors, or if you have any suggestions for future updates. To get updates on future revisions of the WaterUSE Tool, submit an email to the WaterSense Helpline with WaterUSE in the subject line and WaterSense will notify you of updates to the WaterUSE Tool or Water Assessment Worksheets.</t>
  </si>
  <si>
    <t>Analysis based on: Raftelis Financial Consulting. Water and Wastewater Rate Survey. American Water Works Association. 2014.</t>
  </si>
  <si>
    <t>U.S. Energy Information Administration. Short Term Energy Outlook. Price Summary Table. 2014</t>
  </si>
</sst>
</file>

<file path=xl/styles.xml><?xml version="1.0" encoding="utf-8"?>
<styleSheet xmlns="http://schemas.openxmlformats.org/spreadsheetml/2006/main">
  <numFmts count="4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lt;=9999999]###\-####;\(###\)\ ###\-####"/>
    <numFmt numFmtId="165" formatCode="&quot;$&quot;#,##0.00"/>
    <numFmt numFmtId="166" formatCode="0.0"/>
    <numFmt numFmtId="167" formatCode="#,##0.0"/>
    <numFmt numFmtId="168" formatCode="#,##0.000"/>
    <numFmt numFmtId="169" formatCode="[$-409]dddd\,\ mmmm\ dd\,\ yyyy"/>
    <numFmt numFmtId="170" formatCode="[$-409]h:mm:ss\ AM/PM"/>
    <numFmt numFmtId="171" formatCode="#,##0.0000"/>
    <numFmt numFmtId="172" formatCode="#,##0.00000"/>
    <numFmt numFmtId="173" formatCode="#,##0.000000"/>
    <numFmt numFmtId="174" formatCode="0.000"/>
    <numFmt numFmtId="175" formatCode="0.0000"/>
    <numFmt numFmtId="176" formatCode="0.00000"/>
    <numFmt numFmtId="177" formatCode="0.000000"/>
    <numFmt numFmtId="178" formatCode="&quot;$&quot;#,##0"/>
    <numFmt numFmtId="179" formatCode="0.0%"/>
    <numFmt numFmtId="180" formatCode="&quot;Yes&quot;;&quot;Yes&quot;;&quot;No&quot;"/>
    <numFmt numFmtId="181" formatCode="&quot;True&quot;;&quot;True&quot;;&quot;False&quot;"/>
    <numFmt numFmtId="182" formatCode="&quot;On&quot;;&quot;On&quot;;&quot;Off&quot;"/>
    <numFmt numFmtId="183" formatCode="[$€-2]\ #,##0.00_);[Red]\([$€-2]\ #,##0.00\)"/>
    <numFmt numFmtId="184" formatCode="&quot;$&quot;#,##0.000"/>
    <numFmt numFmtId="185" formatCode="&quot;$&quot;#,##0.0000"/>
    <numFmt numFmtId="186" formatCode="&quot;$&quot;#,##0.00000"/>
    <numFmt numFmtId="187" formatCode="&quot;$&quot;#,##0.000000"/>
    <numFmt numFmtId="188" formatCode="&quot;$&quot;#,##0.0000000"/>
    <numFmt numFmtId="189" formatCode="&quot;$&quot;#,##0.0"/>
    <numFmt numFmtId="190" formatCode="0.00000000"/>
    <numFmt numFmtId="191" formatCode="0.0000000"/>
    <numFmt numFmtId="192" formatCode="0.000000000"/>
    <numFmt numFmtId="193" formatCode="0.0000000000"/>
    <numFmt numFmtId="194" formatCode="0.00000000000"/>
    <numFmt numFmtId="195" formatCode="0.000000000000"/>
    <numFmt numFmtId="196" formatCode="_(* #,##0.0_);_(* \(#,##0.0\);_(* &quot;-&quot;??_);_(@_)"/>
    <numFmt numFmtId="197" formatCode="_(* #,##0_);_(* \(#,##0\);_(* &quot;-&quot;??_);_(@_)"/>
    <numFmt numFmtId="198" formatCode="#,##0.0000000"/>
    <numFmt numFmtId="199" formatCode="#,##0.00000000"/>
    <numFmt numFmtId="200" formatCode="#,##0.000000000"/>
    <numFmt numFmtId="201" formatCode="#,##0.0000000000"/>
    <numFmt numFmtId="202" formatCode="#,##0.00000000000"/>
    <numFmt numFmtId="203" formatCode="#,##0.000000000000"/>
    <numFmt numFmtId="204" formatCode="&quot;$&quot;#,##0.0_);\(&quot;$&quot;#,##0.0\)"/>
  </numFmts>
  <fonts count="157">
    <font>
      <sz val="11"/>
      <color theme="1"/>
      <name val="Calibri"/>
      <family val="2"/>
    </font>
    <font>
      <sz val="11"/>
      <color indexed="8"/>
      <name val="Calibri"/>
      <family val="2"/>
    </font>
    <font>
      <sz val="10"/>
      <name val="Arial"/>
      <family val="2"/>
    </font>
    <font>
      <sz val="12"/>
      <name val="Arial MT"/>
      <family val="0"/>
    </font>
    <font>
      <b/>
      <sz val="11"/>
      <color indexed="8"/>
      <name val="Calibri"/>
      <family val="2"/>
    </font>
    <font>
      <vertAlign val="superscript"/>
      <sz val="11"/>
      <color indexed="8"/>
      <name val="Calibri"/>
      <family val="2"/>
    </font>
    <font>
      <b/>
      <sz val="13"/>
      <name val="Arial"/>
      <family val="2"/>
    </font>
    <font>
      <sz val="8"/>
      <color indexed="45"/>
      <name val="Arial"/>
      <family val="2"/>
    </font>
    <font>
      <b/>
      <sz val="11"/>
      <name val="Arial"/>
      <family val="2"/>
    </font>
    <font>
      <sz val="8"/>
      <name val="Arial"/>
      <family val="2"/>
    </font>
    <font>
      <b/>
      <sz val="9"/>
      <name val="Arial"/>
      <family val="2"/>
    </font>
    <font>
      <sz val="9"/>
      <name val="Arial"/>
      <family val="2"/>
    </font>
    <font>
      <b/>
      <vertAlign val="superscript"/>
      <sz val="9"/>
      <name val="Arial"/>
      <family val="2"/>
    </font>
    <font>
      <sz val="9"/>
      <color indexed="45"/>
      <name val="Arial"/>
      <family val="2"/>
    </font>
    <font>
      <vertAlign val="superscript"/>
      <sz val="9"/>
      <name val="Arial"/>
      <family val="2"/>
    </font>
    <font>
      <sz val="9"/>
      <color indexed="14"/>
      <name val="Arial"/>
      <family val="2"/>
    </font>
    <font>
      <sz val="10"/>
      <name val="Univers"/>
      <family val="2"/>
    </font>
    <font>
      <sz val="8"/>
      <color indexed="48"/>
      <name val="Arial"/>
      <family val="2"/>
    </font>
    <font>
      <u val="single"/>
      <sz val="10"/>
      <color indexed="12"/>
      <name val="Arial"/>
      <family val="2"/>
    </font>
    <font>
      <u val="single"/>
      <sz val="9"/>
      <color indexed="12"/>
      <name val="Arial"/>
      <family val="2"/>
    </font>
    <font>
      <i/>
      <sz val="10"/>
      <color indexed="9"/>
      <name val="Univers"/>
      <family val="2"/>
    </font>
    <font>
      <sz val="9"/>
      <name val="Univers"/>
      <family val="2"/>
    </font>
    <font>
      <b/>
      <sz val="13"/>
      <color indexed="48"/>
      <name val="Arial"/>
      <family val="2"/>
    </font>
    <font>
      <b/>
      <sz val="10"/>
      <name val="Univers"/>
      <family val="2"/>
    </font>
    <font>
      <b/>
      <sz val="10"/>
      <name val="Arial"/>
      <family val="2"/>
    </font>
    <font>
      <sz val="10"/>
      <color indexed="48"/>
      <name val="Arial"/>
      <family val="2"/>
    </font>
    <font>
      <sz val="9"/>
      <color indexed="30"/>
      <name val="Arial"/>
      <family val="2"/>
    </font>
    <font>
      <sz val="6"/>
      <name val="Arial"/>
      <family val="2"/>
    </font>
    <font>
      <i/>
      <sz val="11"/>
      <name val="Arial"/>
      <family val="2"/>
    </font>
    <font>
      <sz val="9"/>
      <color indexed="48"/>
      <name val="Arial"/>
      <family val="2"/>
    </font>
    <font>
      <i/>
      <sz val="12"/>
      <color indexed="8"/>
      <name val="Calibri"/>
      <family val="2"/>
    </font>
    <font>
      <i/>
      <sz val="11"/>
      <color indexed="8"/>
      <name val="Calibri"/>
      <family val="2"/>
    </font>
    <font>
      <sz val="8"/>
      <name val="Calibri"/>
      <family val="2"/>
    </font>
    <font>
      <sz val="8"/>
      <color indexed="8"/>
      <name val="Calibri"/>
      <family val="2"/>
    </font>
    <font>
      <b/>
      <sz val="8"/>
      <color indexed="8"/>
      <name val="Calibri"/>
      <family val="2"/>
    </font>
    <font>
      <b/>
      <sz val="8"/>
      <name val="Calibri"/>
      <family val="2"/>
    </font>
    <font>
      <sz val="9"/>
      <color indexed="8"/>
      <name val="Calibri"/>
      <family val="2"/>
    </font>
    <font>
      <b/>
      <vertAlign val="superscript"/>
      <sz val="11"/>
      <color indexed="8"/>
      <name val="Calibri"/>
      <family val="2"/>
    </font>
    <font>
      <b/>
      <sz val="14"/>
      <color indexed="8"/>
      <name val="Calibri"/>
      <family val="2"/>
    </font>
    <font>
      <b/>
      <u val="single"/>
      <sz val="14"/>
      <color indexed="8"/>
      <name val="Calibri"/>
      <family val="2"/>
    </font>
    <font>
      <u val="single"/>
      <sz val="11"/>
      <color indexed="30"/>
      <name val="Calibri"/>
      <family val="2"/>
    </font>
    <font>
      <i/>
      <u val="single"/>
      <sz val="11"/>
      <color indexed="30"/>
      <name val="Calibri"/>
      <family val="2"/>
    </font>
    <font>
      <b/>
      <i/>
      <sz val="11"/>
      <color indexed="8"/>
      <name val="Calibri"/>
      <family val="2"/>
    </font>
    <font>
      <i/>
      <u val="single"/>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sz val="13"/>
      <color indexed="30"/>
      <name val="Calibri"/>
      <family val="2"/>
    </font>
    <font>
      <b/>
      <sz val="10"/>
      <color indexed="9"/>
      <name val="Calibri"/>
      <family val="2"/>
    </font>
    <font>
      <sz val="11"/>
      <color indexed="18"/>
      <name val="Calibri"/>
      <family val="2"/>
    </font>
    <font>
      <b/>
      <sz val="11"/>
      <color indexed="62"/>
      <name val="Calibri"/>
      <family val="2"/>
    </font>
    <font>
      <b/>
      <sz val="11"/>
      <color indexed="30"/>
      <name val="Calibri"/>
      <family val="2"/>
    </font>
    <font>
      <sz val="11"/>
      <name val="Calibri"/>
      <family val="2"/>
    </font>
    <font>
      <b/>
      <sz val="11"/>
      <name val="Calibri"/>
      <family val="2"/>
    </font>
    <font>
      <b/>
      <i/>
      <sz val="11"/>
      <color indexed="14"/>
      <name val="Arial"/>
      <family val="2"/>
    </font>
    <font>
      <i/>
      <sz val="11"/>
      <color indexed="14"/>
      <name val="Arial"/>
      <family val="2"/>
    </font>
    <font>
      <sz val="9.5"/>
      <color indexed="14"/>
      <name val="Arial"/>
      <family val="2"/>
    </font>
    <font>
      <sz val="10"/>
      <color indexed="10"/>
      <name val="Arial"/>
      <family val="2"/>
    </font>
    <font>
      <b/>
      <sz val="9"/>
      <color indexed="10"/>
      <name val="Arial"/>
      <family val="2"/>
    </font>
    <font>
      <b/>
      <sz val="9"/>
      <color indexed="25"/>
      <name val="Arial"/>
      <family val="2"/>
    </font>
    <font>
      <sz val="8"/>
      <color indexed="10"/>
      <name val="Arial"/>
      <family val="2"/>
    </font>
    <font>
      <sz val="9"/>
      <color indexed="10"/>
      <name val="Arial"/>
      <family val="2"/>
    </font>
    <font>
      <u val="single"/>
      <sz val="8"/>
      <color indexed="12"/>
      <name val="Calibri"/>
      <family val="2"/>
    </font>
    <font>
      <sz val="10"/>
      <name val="Calibri"/>
      <family val="2"/>
    </font>
    <font>
      <b/>
      <i/>
      <sz val="12"/>
      <color indexed="18"/>
      <name val="Calibri"/>
      <family val="2"/>
    </font>
    <font>
      <b/>
      <sz val="10"/>
      <color indexed="14"/>
      <name val="Arial"/>
      <family val="2"/>
    </font>
    <font>
      <b/>
      <u val="single"/>
      <sz val="11"/>
      <color indexed="12"/>
      <name val="Calibri"/>
      <family val="2"/>
    </font>
    <font>
      <sz val="10"/>
      <color indexed="8"/>
      <name val="Arial"/>
      <family val="2"/>
    </font>
    <font>
      <b/>
      <sz val="14"/>
      <color indexed="62"/>
      <name val="Calibri"/>
      <family val="2"/>
    </font>
    <font>
      <sz val="11"/>
      <color indexed="30"/>
      <name val="Calibri"/>
      <family val="2"/>
    </font>
    <font>
      <b/>
      <sz val="14"/>
      <color indexed="30"/>
      <name val="Calibri"/>
      <family val="2"/>
    </font>
    <font>
      <sz val="14"/>
      <color indexed="30"/>
      <name val="Calibri"/>
      <family val="2"/>
    </font>
    <font>
      <b/>
      <sz val="14"/>
      <color indexed="9"/>
      <name val="Trebuchet MS"/>
      <family val="2"/>
    </font>
    <font>
      <sz val="12"/>
      <color indexed="8"/>
      <name val="Calibri"/>
      <family val="2"/>
    </font>
    <font>
      <i/>
      <u val="single"/>
      <sz val="11"/>
      <color indexed="12"/>
      <name val="Calibri"/>
      <family val="2"/>
    </font>
    <font>
      <i/>
      <sz val="11"/>
      <color indexed="10"/>
      <name val="Calibri"/>
      <family val="2"/>
    </font>
    <font>
      <i/>
      <sz val="12"/>
      <color indexed="10"/>
      <name val="Calibri"/>
      <family val="2"/>
    </font>
    <font>
      <b/>
      <sz val="12"/>
      <color indexed="8"/>
      <name val="Calibri"/>
      <family val="2"/>
    </font>
    <font>
      <sz val="10"/>
      <color indexed="62"/>
      <name val="Calibri"/>
      <family val="2"/>
    </font>
    <font>
      <sz val="10"/>
      <color indexed="8"/>
      <name val="Calibri"/>
      <family val="2"/>
    </font>
    <font>
      <b/>
      <i/>
      <u val="single"/>
      <sz val="11"/>
      <color indexed="12"/>
      <name val="Calibri"/>
      <family val="2"/>
    </font>
    <font>
      <b/>
      <u val="single"/>
      <sz val="11"/>
      <color indexed="8"/>
      <name val="Calibri"/>
      <family val="2"/>
    </font>
    <font>
      <b/>
      <i/>
      <u val="single"/>
      <sz val="12"/>
      <color indexed="30"/>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3"/>
      <color rgb="FF117FB3"/>
      <name val="Calibri"/>
      <family val="2"/>
    </font>
    <font>
      <b/>
      <sz val="10"/>
      <color theme="0"/>
      <name val="Calibri"/>
      <family val="2"/>
    </font>
    <font>
      <b/>
      <sz val="14"/>
      <color theme="1"/>
      <name val="Calibri"/>
      <family val="2"/>
    </font>
    <font>
      <sz val="11"/>
      <color theme="4" tint="-0.4999699890613556"/>
      <name val="Calibri"/>
      <family val="2"/>
    </font>
    <font>
      <i/>
      <sz val="11"/>
      <color theme="1"/>
      <name val="Calibri"/>
      <family val="2"/>
    </font>
    <font>
      <b/>
      <sz val="11"/>
      <color theme="4" tint="-0.24997000396251678"/>
      <name val="Calibri"/>
      <family val="2"/>
    </font>
    <font>
      <b/>
      <sz val="11"/>
      <color rgb="FF117FB3"/>
      <name val="Calibri"/>
      <family val="2"/>
    </font>
    <font>
      <b/>
      <i/>
      <sz val="11"/>
      <color rgb="FFFF3399"/>
      <name val="Arial"/>
      <family val="2"/>
    </font>
    <font>
      <i/>
      <sz val="11"/>
      <color rgb="FFFF3399"/>
      <name val="Arial"/>
      <family val="2"/>
    </font>
    <font>
      <sz val="9.5"/>
      <color rgb="FFFF3399"/>
      <name val="Arial"/>
      <family val="2"/>
    </font>
    <font>
      <sz val="10"/>
      <color rgb="FFFF0000"/>
      <name val="Arial"/>
      <family val="2"/>
    </font>
    <font>
      <b/>
      <sz val="9"/>
      <color rgb="FFFF0000"/>
      <name val="Arial"/>
      <family val="2"/>
    </font>
    <font>
      <sz val="11"/>
      <color rgb="FFFFFFFF"/>
      <name val="Calibri"/>
      <family val="2"/>
    </font>
    <font>
      <b/>
      <sz val="9"/>
      <color rgb="FFCD259D"/>
      <name val="Arial"/>
      <family val="2"/>
    </font>
    <font>
      <sz val="8"/>
      <color rgb="FFFF0000"/>
      <name val="Arial"/>
      <family val="2"/>
    </font>
    <font>
      <sz val="9"/>
      <color rgb="FFFF0000"/>
      <name val="Arial"/>
      <family val="2"/>
    </font>
    <font>
      <u val="single"/>
      <sz val="8"/>
      <color theme="10"/>
      <name val="Calibri"/>
      <family val="2"/>
    </font>
    <font>
      <b/>
      <i/>
      <sz val="12"/>
      <color theme="4" tint="-0.4999699890613556"/>
      <name val="Calibri"/>
      <family val="2"/>
    </font>
    <font>
      <b/>
      <sz val="10"/>
      <color rgb="FFFF3399"/>
      <name val="Arial"/>
      <family val="2"/>
    </font>
    <font>
      <sz val="9"/>
      <color theme="1"/>
      <name val="Calibri"/>
      <family val="2"/>
    </font>
    <font>
      <b/>
      <u val="single"/>
      <sz val="11"/>
      <color theme="10"/>
      <name val="Calibri"/>
      <family val="2"/>
    </font>
    <font>
      <sz val="8"/>
      <color theme="1"/>
      <name val="Calibri"/>
      <family val="2"/>
    </font>
    <font>
      <sz val="11"/>
      <color rgb="FF000000"/>
      <name val="Calibri"/>
      <family val="2"/>
    </font>
    <font>
      <sz val="10"/>
      <color rgb="FF000000"/>
      <name val="Arial"/>
      <family val="2"/>
    </font>
    <font>
      <b/>
      <sz val="14"/>
      <color theme="3" tint="0.39998000860214233"/>
      <name val="Calibri"/>
      <family val="2"/>
    </font>
    <font>
      <sz val="11"/>
      <color rgb="FF0070C0"/>
      <name val="Calibri"/>
      <family val="2"/>
    </font>
    <font>
      <b/>
      <sz val="14"/>
      <color rgb="FF0070C0"/>
      <name val="Calibri"/>
      <family val="2"/>
    </font>
    <font>
      <sz val="14"/>
      <color rgb="FF0070C0"/>
      <name val="Calibri"/>
      <family val="2"/>
    </font>
    <font>
      <b/>
      <sz val="14"/>
      <color theme="0"/>
      <name val="Trebuchet MS"/>
      <family val="2"/>
    </font>
    <font>
      <sz val="12"/>
      <color theme="1"/>
      <name val="Calibri"/>
      <family val="2"/>
    </font>
    <font>
      <sz val="11"/>
      <color rgb="FF254061"/>
      <name val="Calibri"/>
      <family val="2"/>
    </font>
    <font>
      <i/>
      <u val="single"/>
      <sz val="11"/>
      <color theme="10"/>
      <name val="Calibri"/>
      <family val="2"/>
    </font>
    <font>
      <sz val="11"/>
      <color rgb="FF244062"/>
      <name val="Calibri"/>
      <family val="2"/>
    </font>
    <font>
      <i/>
      <sz val="11"/>
      <color rgb="FFFF0000"/>
      <name val="Calibri"/>
      <family val="2"/>
    </font>
    <font>
      <i/>
      <sz val="12"/>
      <color rgb="FFFF0000"/>
      <name val="Calibri"/>
      <family val="2"/>
    </font>
    <font>
      <b/>
      <sz val="12"/>
      <color theme="1"/>
      <name val="Calibri"/>
      <family val="2"/>
    </font>
    <font>
      <sz val="10"/>
      <color theme="3" tint="0.39998000860214233"/>
      <name val="Calibri"/>
      <family val="2"/>
    </font>
    <font>
      <b/>
      <i/>
      <u val="single"/>
      <sz val="11"/>
      <color theme="10"/>
      <name val="Calibri"/>
      <family val="2"/>
    </font>
    <font>
      <sz val="10"/>
      <color theme="1"/>
      <name val="Calibri"/>
      <family val="2"/>
    </font>
    <font>
      <b/>
      <u val="single"/>
      <sz val="11"/>
      <color theme="1"/>
      <name val="Calibri"/>
      <family val="2"/>
    </font>
    <font>
      <b/>
      <i/>
      <u val="single"/>
      <sz val="12"/>
      <color rgb="FF0070C0"/>
      <name val="Calibri"/>
      <family val="2"/>
    </font>
  </fonts>
  <fills count="5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4" tint="-0.4999699890613556"/>
        <bgColor indexed="64"/>
      </patternFill>
    </fill>
    <fill>
      <patternFill patternType="solid">
        <fgColor theme="3" tint="-0.4999699890613556"/>
        <bgColor indexed="64"/>
      </patternFill>
    </fill>
    <fill>
      <patternFill patternType="solid">
        <fgColor theme="7" tint="-0.4999699890613556"/>
        <bgColor indexed="64"/>
      </patternFill>
    </fill>
    <fill>
      <patternFill patternType="solid">
        <fgColor rgb="FF254061"/>
        <bgColor indexed="64"/>
      </patternFill>
    </fill>
    <fill>
      <patternFill patternType="solid">
        <fgColor rgb="FFB6DDE8"/>
        <bgColor indexed="64"/>
      </patternFill>
    </fill>
    <fill>
      <patternFill patternType="solid">
        <fgColor rgb="FFCCFFFF"/>
        <bgColor indexed="64"/>
      </patternFill>
    </fill>
    <fill>
      <patternFill patternType="solid">
        <fgColor rgb="FFFFC000"/>
        <bgColor indexed="64"/>
      </patternFill>
    </fill>
    <fill>
      <patternFill patternType="solid">
        <fgColor theme="1" tint="0.15000000596046448"/>
        <bgColor indexed="64"/>
      </patternFill>
    </fill>
    <fill>
      <patternFill patternType="solid">
        <fgColor rgb="FF92D050"/>
        <bgColor indexed="64"/>
      </patternFill>
    </fill>
    <fill>
      <patternFill patternType="solid">
        <fgColor indexed="41"/>
        <bgColor indexed="64"/>
      </patternFill>
    </fill>
    <fill>
      <patternFill patternType="solid">
        <fgColor rgb="FFE6B9B8"/>
        <bgColor indexed="64"/>
      </patternFill>
    </fill>
    <fill>
      <patternFill patternType="solid">
        <fgColor theme="6" tint="-0.4999699890613556"/>
        <bgColor indexed="64"/>
      </patternFill>
    </fill>
    <fill>
      <patternFill patternType="solid">
        <fgColor rgb="FFBFBFBF"/>
        <bgColor indexed="64"/>
      </patternFill>
    </fill>
    <fill>
      <patternFill patternType="solid">
        <fgColor rgb="FFE5E0EC"/>
        <bgColor indexed="64"/>
      </patternFill>
    </fill>
    <fill>
      <patternFill patternType="solid">
        <fgColor theme="0" tint="-0.1499900072813034"/>
        <bgColor indexed="64"/>
      </patternFill>
    </fill>
    <fill>
      <patternFill patternType="solid">
        <fgColor theme="3" tint="0.5999900102615356"/>
        <bgColor indexed="64"/>
      </patternFill>
    </fill>
    <fill>
      <patternFill patternType="solid">
        <fgColor rgb="FFFFFF00"/>
        <bgColor indexed="64"/>
      </patternFill>
    </fill>
    <fill>
      <patternFill patternType="solid">
        <fgColor theme="0" tint="-0.24997000396251678"/>
        <bgColor indexed="64"/>
      </patternFill>
    </fill>
    <fill>
      <patternFill patternType="solid">
        <fgColor theme="3" tint="0.39998000860214233"/>
        <bgColor indexed="64"/>
      </patternFill>
    </fill>
    <fill>
      <patternFill patternType="solid">
        <fgColor rgb="FFB8CCE4"/>
        <bgColor indexed="64"/>
      </patternFill>
    </fill>
    <fill>
      <patternFill patternType="solid">
        <fgColor rgb="FFC2D69A"/>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right/>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bottom style="thin"/>
    </border>
    <border>
      <left style="thin"/>
      <right style="thin"/>
      <top style="thin"/>
      <bottom style="thin"/>
    </border>
    <border>
      <left style="thin"/>
      <right/>
      <top/>
      <bottom/>
    </border>
    <border>
      <left/>
      <right/>
      <top/>
      <bottom style="thin"/>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style="thin"/>
      <top/>
      <bottom/>
    </border>
    <border>
      <left>
        <color indexed="63"/>
      </left>
      <right style="thin"/>
      <top>
        <color indexed="63"/>
      </top>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style="medium"/>
      <top style="medium"/>
      <bottom>
        <color indexed="63"/>
      </bottom>
    </border>
    <border>
      <left style="medium"/>
      <right style="thin"/>
      <top style="medium"/>
      <bottom/>
    </border>
    <border>
      <left style="thin"/>
      <right style="medium"/>
      <top style="medium"/>
      <bottom/>
    </border>
    <border>
      <left style="medium"/>
      <right style="medium"/>
      <top style="thin"/>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style="medium"/>
      <top style="medium"/>
      <bottom style="medium"/>
    </border>
    <border>
      <left style="thin"/>
      <right style="medium"/>
      <top style="thin"/>
      <bottom style="thin"/>
    </border>
    <border>
      <left style="thin"/>
      <right style="medium"/>
      <top style="thin"/>
      <bottom style="medium"/>
    </border>
    <border>
      <left/>
      <right/>
      <top/>
      <bottom style="thick"/>
    </border>
    <border>
      <left/>
      <right/>
      <top style="thick"/>
      <bottom/>
    </border>
    <border>
      <left style="thin"/>
      <right/>
      <top/>
      <bottom style="thin"/>
    </border>
    <border>
      <left style="thin"/>
      <right/>
      <top style="thin"/>
      <bottom/>
    </border>
    <border>
      <left/>
      <right style="thin"/>
      <top style="thin"/>
      <bottom/>
    </border>
    <border>
      <left/>
      <right style="thin"/>
      <top/>
      <bottom style="thin"/>
    </border>
    <border>
      <left/>
      <right/>
      <top style="thin"/>
      <bottom/>
    </border>
  </borders>
  <cellStyleXfs count="7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98" fillId="14" borderId="0" applyNumberFormat="0" applyBorder="0" applyAlignment="0" applyProtection="0"/>
    <xf numFmtId="0" fontId="98" fillId="15" borderId="0" applyNumberFormat="0" applyBorder="0" applyAlignment="0" applyProtection="0"/>
    <xf numFmtId="0" fontId="98" fillId="16" borderId="0" applyNumberFormat="0" applyBorder="0" applyAlignment="0" applyProtection="0"/>
    <xf numFmtId="0" fontId="98" fillId="17" borderId="0" applyNumberFormat="0" applyBorder="0" applyAlignment="0" applyProtection="0"/>
    <xf numFmtId="0" fontId="98" fillId="18" borderId="0" applyNumberFormat="0" applyBorder="0" applyAlignment="0" applyProtection="0"/>
    <xf numFmtId="0" fontId="98" fillId="19" borderId="0" applyNumberFormat="0" applyBorder="0" applyAlignment="0" applyProtection="0"/>
    <xf numFmtId="0" fontId="98" fillId="20" borderId="0" applyNumberFormat="0" applyBorder="0" applyAlignment="0" applyProtection="0"/>
    <xf numFmtId="0" fontId="98" fillId="21" borderId="0" applyNumberFormat="0" applyBorder="0" applyAlignment="0" applyProtection="0"/>
    <xf numFmtId="0" fontId="98" fillId="22" borderId="0" applyNumberFormat="0" applyBorder="0" applyAlignment="0" applyProtection="0"/>
    <xf numFmtId="0" fontId="98" fillId="23" borderId="0" applyNumberFormat="0" applyBorder="0" applyAlignment="0" applyProtection="0"/>
    <xf numFmtId="0" fontId="98" fillId="24" borderId="0" applyNumberFormat="0" applyBorder="0" applyAlignment="0" applyProtection="0"/>
    <xf numFmtId="0" fontId="98" fillId="25" borderId="0" applyNumberFormat="0" applyBorder="0" applyAlignment="0" applyProtection="0"/>
    <xf numFmtId="0" fontId="99" fillId="26" borderId="0" applyNumberFormat="0" applyBorder="0" applyAlignment="0" applyProtection="0"/>
    <xf numFmtId="0" fontId="100" fillId="27" borderId="1" applyNumberFormat="0" applyAlignment="0" applyProtection="0"/>
    <xf numFmtId="0" fontId="10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2" fillId="0" borderId="0" applyFont="0" applyFill="0" applyBorder="0" applyAlignment="0" applyProtection="0"/>
    <xf numFmtId="0" fontId="102" fillId="0" borderId="0" applyNumberFormat="0" applyFill="0" applyBorder="0" applyAlignment="0" applyProtection="0"/>
    <xf numFmtId="0" fontId="103" fillId="0" borderId="0" applyNumberFormat="0" applyFill="0" applyBorder="0" applyAlignment="0" applyProtection="0"/>
    <xf numFmtId="0" fontId="104" fillId="29" borderId="0" applyNumberFormat="0" applyBorder="0" applyAlignment="0" applyProtection="0"/>
    <xf numFmtId="0" fontId="105" fillId="0" borderId="3" applyNumberFormat="0" applyFill="0" applyAlignment="0" applyProtection="0"/>
    <xf numFmtId="0" fontId="106" fillId="0" borderId="4" applyNumberFormat="0" applyFill="0" applyAlignment="0" applyProtection="0"/>
    <xf numFmtId="0" fontId="107" fillId="0" borderId="5" applyNumberFormat="0" applyFill="0" applyAlignment="0" applyProtection="0"/>
    <xf numFmtId="0" fontId="107" fillId="0" borderId="0" applyNumberFormat="0" applyFill="0" applyBorder="0" applyAlignment="0" applyProtection="0"/>
    <xf numFmtId="0" fontId="108" fillId="0" borderId="0" applyNumberFormat="0" applyFill="0" applyBorder="0" applyAlignment="0" applyProtection="0"/>
    <xf numFmtId="0" fontId="18" fillId="0" borderId="0" applyNumberFormat="0" applyFill="0" applyBorder="0" applyAlignment="0" applyProtection="0"/>
    <xf numFmtId="0" fontId="109" fillId="30" borderId="1" applyNumberFormat="0" applyAlignment="0" applyProtection="0"/>
    <xf numFmtId="0" fontId="110" fillId="0" borderId="6" applyNumberFormat="0" applyFill="0" applyAlignment="0" applyProtection="0"/>
    <xf numFmtId="0" fontId="111" fillId="31" borderId="0" applyNumberFormat="0" applyBorder="0" applyAlignment="0" applyProtection="0"/>
    <xf numFmtId="0" fontId="2" fillId="0" borderId="0">
      <alignment/>
      <protection/>
    </xf>
    <xf numFmtId="0" fontId="3"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7" applyNumberFormat="0" applyFont="0" applyAlignment="0" applyProtection="0"/>
    <xf numFmtId="0" fontId="112" fillId="27" borderId="8" applyNumberFormat="0" applyAlignment="0" applyProtection="0"/>
    <xf numFmtId="9" fontId="0" fillId="0" borderId="0" applyFont="0" applyFill="0" applyBorder="0" applyAlignment="0" applyProtection="0"/>
    <xf numFmtId="0" fontId="113" fillId="0" borderId="0" applyNumberFormat="0" applyFill="0" applyBorder="0" applyAlignment="0" applyProtection="0"/>
    <xf numFmtId="0" fontId="114" fillId="0" borderId="9" applyNumberFormat="0" applyFill="0" applyAlignment="0" applyProtection="0"/>
    <xf numFmtId="0" fontId="115" fillId="0" borderId="0" applyNumberFormat="0" applyFill="0" applyBorder="0" applyAlignment="0" applyProtection="0"/>
  </cellStyleXfs>
  <cellXfs count="1119">
    <xf numFmtId="0" fontId="0" fillId="0" borderId="0" xfId="0" applyFont="1" applyAlignment="1">
      <alignment/>
    </xf>
    <xf numFmtId="0" fontId="0" fillId="0" borderId="0" xfId="0" applyFill="1" applyAlignment="1">
      <alignment/>
    </xf>
    <xf numFmtId="0" fontId="0" fillId="0" borderId="0" xfId="0" applyAlignment="1">
      <alignment horizontal="left"/>
    </xf>
    <xf numFmtId="0" fontId="0" fillId="33" borderId="0" xfId="0" applyFill="1" applyAlignment="1" applyProtection="1">
      <alignment/>
      <protection/>
    </xf>
    <xf numFmtId="0" fontId="0" fillId="0" borderId="0" xfId="0" applyBorder="1" applyAlignment="1">
      <alignment/>
    </xf>
    <xf numFmtId="0" fontId="0" fillId="0" borderId="0" xfId="0" applyAlignment="1">
      <alignment/>
    </xf>
    <xf numFmtId="0" fontId="0" fillId="0" borderId="0" xfId="0" applyFont="1" applyAlignment="1">
      <alignment/>
    </xf>
    <xf numFmtId="0" fontId="0" fillId="0" borderId="0" xfId="0" applyFill="1" applyAlignment="1">
      <alignment horizontal="left"/>
    </xf>
    <xf numFmtId="1" fontId="0" fillId="0" borderId="0" xfId="0" applyNumberFormat="1" applyAlignment="1">
      <alignment/>
    </xf>
    <xf numFmtId="0" fontId="108" fillId="0" borderId="0" xfId="54" applyAlignment="1" applyProtection="1">
      <alignment/>
      <protection/>
    </xf>
    <xf numFmtId="0" fontId="116" fillId="33" borderId="0" xfId="51" applyFont="1" applyFill="1" applyBorder="1" applyAlignment="1" applyProtection="1">
      <alignment/>
      <protection/>
    </xf>
    <xf numFmtId="0" fontId="0" fillId="0" borderId="0" xfId="0" applyAlignment="1">
      <alignment horizontal="right"/>
    </xf>
    <xf numFmtId="0" fontId="0" fillId="0" borderId="0" xfId="0" applyFill="1" applyAlignment="1" applyProtection="1">
      <alignment/>
      <protection/>
    </xf>
    <xf numFmtId="0" fontId="0" fillId="34" borderId="0" xfId="0" applyFill="1" applyAlignment="1" applyProtection="1">
      <alignment/>
      <protection/>
    </xf>
    <xf numFmtId="0" fontId="0" fillId="34" borderId="0" xfId="0" applyFont="1" applyFill="1" applyAlignment="1" applyProtection="1">
      <alignment/>
      <protection/>
    </xf>
    <xf numFmtId="0" fontId="0" fillId="33" borderId="0" xfId="0" applyFont="1" applyFill="1" applyAlignment="1" applyProtection="1">
      <alignment/>
      <protection/>
    </xf>
    <xf numFmtId="0" fontId="114" fillId="33" borderId="0" xfId="0" applyFont="1" applyFill="1" applyAlignment="1" applyProtection="1">
      <alignment/>
      <protection/>
    </xf>
    <xf numFmtId="0" fontId="117" fillId="35" borderId="10" xfId="0" applyFont="1" applyFill="1" applyBorder="1" applyAlignment="1" applyProtection="1">
      <alignment horizontal="center"/>
      <protection/>
    </xf>
    <xf numFmtId="0" fontId="117" fillId="35" borderId="11" xfId="0" applyFont="1" applyFill="1" applyBorder="1" applyAlignment="1" applyProtection="1">
      <alignment horizontal="center"/>
      <protection/>
    </xf>
    <xf numFmtId="0" fontId="0" fillId="33" borderId="0" xfId="0" applyFill="1" applyAlignment="1" applyProtection="1">
      <alignment horizontal="left"/>
      <protection/>
    </xf>
    <xf numFmtId="0" fontId="0" fillId="33" borderId="0" xfId="0" applyFill="1" applyAlignment="1" applyProtection="1">
      <alignment/>
      <protection/>
    </xf>
    <xf numFmtId="0" fontId="118" fillId="33" borderId="0" xfId="0" applyFont="1" applyFill="1" applyAlignment="1" applyProtection="1">
      <alignment horizontal="left"/>
      <protection/>
    </xf>
    <xf numFmtId="0" fontId="0" fillId="34" borderId="0" xfId="0" applyFill="1" applyAlignment="1" applyProtection="1">
      <alignment wrapText="1"/>
      <protection/>
    </xf>
    <xf numFmtId="0" fontId="0" fillId="33" borderId="0" xfId="0" applyFill="1" applyAlignment="1" applyProtection="1">
      <alignment wrapText="1"/>
      <protection/>
    </xf>
    <xf numFmtId="3" fontId="0" fillId="5" borderId="11" xfId="0" applyNumberFormat="1" applyFill="1" applyBorder="1" applyAlignment="1" applyProtection="1">
      <alignment horizontal="center"/>
      <protection/>
    </xf>
    <xf numFmtId="3" fontId="0" fillId="33" borderId="0" xfId="0" applyNumberFormat="1" applyFill="1" applyBorder="1" applyAlignment="1" applyProtection="1">
      <alignment horizontal="center"/>
      <protection/>
    </xf>
    <xf numFmtId="0" fontId="117" fillId="36" borderId="11" xfId="0" applyFont="1" applyFill="1" applyBorder="1" applyAlignment="1" applyProtection="1">
      <alignment horizontal="center" wrapText="1"/>
      <protection/>
    </xf>
    <xf numFmtId="0" fontId="0" fillId="5" borderId="11" xfId="0" applyFill="1" applyBorder="1" applyAlignment="1" applyProtection="1" quotePrefix="1">
      <alignment horizontal="center"/>
      <protection/>
    </xf>
    <xf numFmtId="165" fontId="0" fillId="33" borderId="0" xfId="0" applyNumberFormat="1" applyFill="1" applyBorder="1" applyAlignment="1" applyProtection="1">
      <alignment horizontal="center"/>
      <protection/>
    </xf>
    <xf numFmtId="167" fontId="0" fillId="33" borderId="0" xfId="0" applyNumberFormat="1" applyFill="1" applyBorder="1" applyAlignment="1" applyProtection="1">
      <alignment horizontal="center"/>
      <protection/>
    </xf>
    <xf numFmtId="0" fontId="0" fillId="9" borderId="11" xfId="0" applyFill="1" applyBorder="1" applyAlignment="1" applyProtection="1">
      <alignment/>
      <protection/>
    </xf>
    <xf numFmtId="0" fontId="98" fillId="33" borderId="0" xfId="0" applyFont="1" applyFill="1" applyAlignment="1" applyProtection="1">
      <alignment horizontal="left"/>
      <protection/>
    </xf>
    <xf numFmtId="0" fontId="0" fillId="0" borderId="0" xfId="0" applyFont="1" applyFill="1" applyAlignment="1" applyProtection="1">
      <alignment/>
      <protection/>
    </xf>
    <xf numFmtId="0" fontId="0" fillId="0" borderId="0" xfId="0" applyFill="1" applyAlignment="1" applyProtection="1">
      <alignment wrapText="1"/>
      <protection/>
    </xf>
    <xf numFmtId="0" fontId="118" fillId="33" borderId="0" xfId="0" applyFont="1" applyFill="1" applyBorder="1" applyAlignment="1" applyProtection="1">
      <alignment/>
      <protection/>
    </xf>
    <xf numFmtId="0" fontId="118" fillId="33" borderId="0" xfId="0" applyFont="1" applyFill="1" applyAlignment="1" applyProtection="1">
      <alignment horizontal="left"/>
      <protection/>
    </xf>
    <xf numFmtId="0" fontId="119" fillId="34" borderId="0" xfId="0" applyFont="1" applyFill="1" applyAlignment="1" applyProtection="1">
      <alignment/>
      <protection/>
    </xf>
    <xf numFmtId="0" fontId="0" fillId="34" borderId="0" xfId="0" applyFill="1" applyAlignment="1">
      <alignment/>
    </xf>
    <xf numFmtId="0" fontId="117" fillId="33" borderId="0" xfId="0" applyFont="1" applyFill="1" applyBorder="1" applyAlignment="1" applyProtection="1">
      <alignment horizontal="center"/>
      <protection/>
    </xf>
    <xf numFmtId="0" fontId="0" fillId="33" borderId="0" xfId="0" applyFill="1" applyAlignment="1">
      <alignment/>
    </xf>
    <xf numFmtId="0" fontId="115" fillId="33" borderId="0" xfId="0" applyFont="1" applyFill="1" applyAlignment="1">
      <alignment/>
    </xf>
    <xf numFmtId="0" fontId="0" fillId="33" borderId="12" xfId="0" applyFill="1" applyBorder="1" applyAlignment="1">
      <alignment horizontal="center"/>
    </xf>
    <xf numFmtId="0" fontId="118" fillId="33" borderId="0" xfId="0" applyFont="1" applyFill="1" applyAlignment="1">
      <alignment horizontal="left"/>
    </xf>
    <xf numFmtId="0" fontId="101" fillId="33" borderId="0" xfId="0" applyFont="1" applyFill="1" applyAlignment="1">
      <alignment horizontal="left"/>
    </xf>
    <xf numFmtId="0" fontId="98" fillId="33" borderId="0" xfId="0" applyFont="1" applyFill="1" applyAlignment="1">
      <alignment horizontal="left" wrapText="1"/>
    </xf>
    <xf numFmtId="0" fontId="98" fillId="33" borderId="0" xfId="0" applyFont="1" applyFill="1" applyAlignment="1">
      <alignment/>
    </xf>
    <xf numFmtId="0" fontId="108" fillId="33" borderId="0" xfId="54" applyFill="1" applyAlignment="1" applyProtection="1">
      <alignment/>
      <protection/>
    </xf>
    <xf numFmtId="0" fontId="115" fillId="33" borderId="0" xfId="0" applyFont="1" applyFill="1" applyAlignment="1">
      <alignment horizontal="left"/>
    </xf>
    <xf numFmtId="168" fontId="0" fillId="9" borderId="11" xfId="0" applyNumberFormat="1" applyFill="1" applyBorder="1" applyAlignment="1" applyProtection="1">
      <alignment/>
      <protection/>
    </xf>
    <xf numFmtId="0" fontId="120" fillId="33" borderId="0" xfId="0" applyFont="1" applyFill="1" applyAlignment="1">
      <alignment vertical="top" wrapText="1"/>
    </xf>
    <xf numFmtId="0" fontId="0" fillId="34" borderId="0" xfId="0" applyFill="1" applyAlignment="1" applyProtection="1">
      <alignment vertical="center"/>
      <protection/>
    </xf>
    <xf numFmtId="0" fontId="121" fillId="33" borderId="13" xfId="0" applyFont="1" applyFill="1" applyBorder="1" applyAlignment="1">
      <alignment vertical="center"/>
    </xf>
    <xf numFmtId="0" fontId="0" fillId="33" borderId="0" xfId="0" applyFill="1" applyAlignment="1">
      <alignment vertical="center"/>
    </xf>
    <xf numFmtId="0" fontId="0" fillId="0" borderId="0" xfId="0" applyAlignment="1">
      <alignment vertical="center"/>
    </xf>
    <xf numFmtId="0" fontId="118" fillId="33" borderId="0" xfId="0" applyFont="1" applyFill="1" applyAlignment="1">
      <alignment/>
    </xf>
    <xf numFmtId="0" fontId="0" fillId="0" borderId="0" xfId="0" applyFont="1" applyFill="1" applyAlignment="1">
      <alignment/>
    </xf>
    <xf numFmtId="0" fontId="118" fillId="33" borderId="0" xfId="0" applyFont="1" applyFill="1" applyAlignment="1">
      <alignment/>
    </xf>
    <xf numFmtId="4" fontId="0" fillId="0" borderId="0" xfId="0" applyNumberFormat="1" applyAlignment="1">
      <alignment/>
    </xf>
    <xf numFmtId="0" fontId="0" fillId="34" borderId="0" xfId="0" applyFill="1" applyAlignment="1" applyProtection="1">
      <alignment/>
      <protection/>
    </xf>
    <xf numFmtId="0" fontId="0" fillId="34" borderId="0" xfId="0" applyFill="1" applyAlignment="1">
      <alignment/>
    </xf>
    <xf numFmtId="0" fontId="0" fillId="34" borderId="0" xfId="0" applyFill="1" applyAlignment="1">
      <alignment vertical="center"/>
    </xf>
    <xf numFmtId="0" fontId="0" fillId="37" borderId="0" xfId="0" applyFont="1" applyFill="1" applyAlignment="1" applyProtection="1">
      <alignment/>
      <protection/>
    </xf>
    <xf numFmtId="0" fontId="0" fillId="33" borderId="0" xfId="0" applyFont="1" applyFill="1" applyBorder="1" applyAlignment="1" applyProtection="1">
      <alignment/>
      <protection/>
    </xf>
    <xf numFmtId="0" fontId="0" fillId="33" borderId="0" xfId="0" applyFont="1" applyFill="1" applyBorder="1" applyAlignment="1" applyProtection="1">
      <alignment horizontal="left" wrapText="1"/>
      <protection/>
    </xf>
    <xf numFmtId="0" fontId="0" fillId="34" borderId="0" xfId="0" applyFont="1" applyFill="1" applyAlignment="1" applyProtection="1">
      <alignment wrapText="1"/>
      <protection/>
    </xf>
    <xf numFmtId="0" fontId="122" fillId="33" borderId="0" xfId="51" applyFont="1" applyFill="1" applyBorder="1" applyAlignment="1" applyProtection="1">
      <alignment vertical="top"/>
      <protection/>
    </xf>
    <xf numFmtId="0" fontId="0" fillId="0" borderId="0" xfId="0" applyFont="1" applyFill="1" applyAlignment="1">
      <alignment vertical="top"/>
    </xf>
    <xf numFmtId="0" fontId="66" fillId="33" borderId="0" xfId="0" applyFont="1" applyFill="1" applyAlignment="1" applyProtection="1">
      <alignment vertical="top"/>
      <protection/>
    </xf>
    <xf numFmtId="0" fontId="66" fillId="33" borderId="0" xfId="60" applyFont="1" applyFill="1" applyBorder="1" applyAlignment="1" applyProtection="1">
      <alignment vertical="top"/>
      <protection/>
    </xf>
    <xf numFmtId="0" fontId="0" fillId="0" borderId="0" xfId="0" applyFont="1" applyAlignment="1">
      <alignment horizontal="right" vertical="top"/>
    </xf>
    <xf numFmtId="0" fontId="0" fillId="0" borderId="0" xfId="0" applyFont="1" applyAlignment="1">
      <alignment vertical="top"/>
    </xf>
    <xf numFmtId="0" fontId="0" fillId="33" borderId="0" xfId="0" applyFont="1" applyFill="1" applyAlignment="1" applyProtection="1">
      <alignment vertical="top"/>
      <protection/>
    </xf>
    <xf numFmtId="0" fontId="101" fillId="35" borderId="10" xfId="0" applyFont="1" applyFill="1" applyBorder="1" applyAlignment="1" applyProtection="1">
      <alignment horizontal="center"/>
      <protection/>
    </xf>
    <xf numFmtId="0" fontId="115" fillId="33" borderId="0" xfId="0" applyFont="1" applyFill="1" applyAlignment="1" applyProtection="1">
      <alignment vertical="top"/>
      <protection/>
    </xf>
    <xf numFmtId="0" fontId="0" fillId="0" borderId="0" xfId="0" applyFont="1" applyFill="1" applyAlignment="1" applyProtection="1">
      <alignment vertical="top"/>
      <protection/>
    </xf>
    <xf numFmtId="165" fontId="66" fillId="38" borderId="11" xfId="60" applyNumberFormat="1" applyFont="1" applyFill="1" applyBorder="1" applyAlignment="1" applyProtection="1">
      <alignment horizontal="center" vertical="top"/>
      <protection locked="0"/>
    </xf>
    <xf numFmtId="0" fontId="115" fillId="0" borderId="0" xfId="0" applyFont="1" applyFill="1" applyAlignment="1" applyProtection="1">
      <alignment horizontal="right" vertical="top"/>
      <protection/>
    </xf>
    <xf numFmtId="0" fontId="0" fillId="0" borderId="0" xfId="0" applyFont="1" applyAlignment="1" applyProtection="1">
      <alignment vertical="top"/>
      <protection/>
    </xf>
    <xf numFmtId="0" fontId="0" fillId="0" borderId="0" xfId="0" applyFont="1" applyAlignment="1">
      <alignment horizontal="center" vertical="top"/>
    </xf>
    <xf numFmtId="0" fontId="0" fillId="0" borderId="0" xfId="0" applyFont="1" applyFill="1" applyAlignment="1">
      <alignment horizontal="center" vertical="top"/>
    </xf>
    <xf numFmtId="0" fontId="66" fillId="33" borderId="0" xfId="0" applyFont="1" applyFill="1" applyAlignment="1" applyProtection="1">
      <alignment/>
      <protection/>
    </xf>
    <xf numFmtId="0" fontId="0" fillId="0" borderId="0" xfId="0" applyFont="1" applyFill="1" applyAlignment="1">
      <alignment horizontal="right" vertical="top"/>
    </xf>
    <xf numFmtId="0" fontId="118" fillId="33" borderId="0" xfId="0" applyFont="1" applyFill="1" applyAlignment="1">
      <alignment horizontal="left"/>
    </xf>
    <xf numFmtId="0" fontId="114" fillId="33" borderId="0" xfId="0" applyFont="1" applyFill="1" applyAlignment="1" applyProtection="1">
      <alignment/>
      <protection/>
    </xf>
    <xf numFmtId="0" fontId="117" fillId="35" borderId="10" xfId="0" applyFont="1" applyFill="1" applyBorder="1" applyAlignment="1" applyProtection="1">
      <alignment horizontal="center" wrapText="1"/>
      <protection/>
    </xf>
    <xf numFmtId="0" fontId="101" fillId="33" borderId="0" xfId="0" applyFont="1" applyFill="1" applyAlignment="1">
      <alignment horizontal="left" wrapText="1"/>
    </xf>
    <xf numFmtId="0" fontId="66" fillId="33" borderId="0" xfId="0" applyFont="1" applyFill="1" applyAlignment="1">
      <alignment horizontal="left" wrapText="1"/>
    </xf>
    <xf numFmtId="0" fontId="108" fillId="33" borderId="0" xfId="54" applyFill="1" applyAlignment="1" applyProtection="1">
      <alignment horizontal="left" wrapText="1"/>
      <protection/>
    </xf>
    <xf numFmtId="0" fontId="67" fillId="33" borderId="0" xfId="0" applyFont="1" applyFill="1" applyAlignment="1">
      <alignment horizontal="left" wrapText="1"/>
    </xf>
    <xf numFmtId="0" fontId="0" fillId="33" borderId="0" xfId="0" applyFill="1" applyAlignment="1">
      <alignment horizontal="left" wrapText="1"/>
    </xf>
    <xf numFmtId="167" fontId="0" fillId="9" borderId="11" xfId="0" applyNumberFormat="1" applyFill="1" applyBorder="1" applyAlignment="1" applyProtection="1">
      <alignment/>
      <protection/>
    </xf>
    <xf numFmtId="0" fontId="6" fillId="0" borderId="0" xfId="59" applyFont="1" applyAlignment="1" applyProtection="1">
      <alignment vertical="center"/>
      <protection/>
    </xf>
    <xf numFmtId="0" fontId="7" fillId="0" borderId="0" xfId="59" applyFont="1" applyAlignment="1" applyProtection="1">
      <alignment horizontal="left"/>
      <protection/>
    </xf>
    <xf numFmtId="0" fontId="7" fillId="0" borderId="0" xfId="59" applyFont="1" applyAlignment="1" applyProtection="1">
      <alignment horizontal="center"/>
      <protection/>
    </xf>
    <xf numFmtId="0" fontId="7" fillId="0" borderId="0" xfId="59" applyFont="1" applyProtection="1">
      <alignment/>
      <protection/>
    </xf>
    <xf numFmtId="0" fontId="7" fillId="0" borderId="0" xfId="59" applyFont="1" applyProtection="1">
      <alignment/>
      <protection locked="0"/>
    </xf>
    <xf numFmtId="0" fontId="123" fillId="0" borderId="0" xfId="59" applyFont="1" applyAlignment="1" applyProtection="1">
      <alignment vertical="center"/>
      <protection locked="0"/>
    </xf>
    <xf numFmtId="0" fontId="8" fillId="0" borderId="0" xfId="59" applyFont="1" applyBorder="1" applyAlignment="1" applyProtection="1">
      <alignment horizontal="left"/>
      <protection/>
    </xf>
    <xf numFmtId="0" fontId="9" fillId="0" borderId="0" xfId="59" applyFont="1" applyBorder="1" applyAlignment="1" applyProtection="1">
      <alignment horizontal="left"/>
      <protection/>
    </xf>
    <xf numFmtId="0" fontId="9" fillId="0" borderId="0" xfId="59" applyFont="1" applyProtection="1">
      <alignment/>
      <protection locked="0"/>
    </xf>
    <xf numFmtId="0" fontId="124" fillId="0" borderId="0" xfId="59" applyFont="1" applyAlignment="1" applyProtection="1">
      <alignment vertical="center"/>
      <protection locked="0"/>
    </xf>
    <xf numFmtId="0" fontId="125" fillId="0" borderId="0" xfId="59" applyFont="1" applyAlignment="1" applyProtection="1">
      <alignment vertical="center"/>
      <protection locked="0"/>
    </xf>
    <xf numFmtId="0" fontId="10" fillId="0" borderId="0" xfId="59" applyFont="1" applyBorder="1" applyAlignment="1" applyProtection="1">
      <alignment/>
      <protection locked="0"/>
    </xf>
    <xf numFmtId="0" fontId="2" fillId="0" borderId="0" xfId="59" applyAlignment="1" applyProtection="1">
      <alignment/>
      <protection locked="0"/>
    </xf>
    <xf numFmtId="0" fontId="10" fillId="0" borderId="0" xfId="59" applyFont="1" applyBorder="1" applyAlignment="1" applyProtection="1">
      <alignment vertical="center"/>
      <protection locked="0"/>
    </xf>
    <xf numFmtId="0" fontId="11" fillId="0" borderId="0" xfId="63" applyFont="1" applyFill="1" applyProtection="1">
      <alignment/>
      <protection locked="0"/>
    </xf>
    <xf numFmtId="0" fontId="10" fillId="0" borderId="11" xfId="59" applyFont="1" applyBorder="1" applyAlignment="1" applyProtection="1">
      <alignment horizontal="center" vertical="center" wrapText="1"/>
      <protection/>
    </xf>
    <xf numFmtId="0" fontId="11" fillId="0" borderId="0" xfId="59" applyNumberFormat="1" applyFont="1" applyBorder="1" applyAlignment="1" applyProtection="1">
      <alignment horizontal="center" vertical="center"/>
      <protection/>
    </xf>
    <xf numFmtId="0" fontId="11" fillId="0" borderId="11" xfId="59" applyNumberFormat="1" applyFont="1" applyFill="1" applyBorder="1" applyAlignment="1" applyProtection="1">
      <alignment horizontal="left" vertical="center" wrapText="1" indent="2"/>
      <protection/>
    </xf>
    <xf numFmtId="3" fontId="11" fillId="0" borderId="11" xfId="59" applyNumberFormat="1" applyFont="1" applyFill="1" applyBorder="1" applyAlignment="1" applyProtection="1">
      <alignment horizontal="center" vertical="center"/>
      <protection/>
    </xf>
    <xf numFmtId="178" fontId="11" fillId="0" borderId="11" xfId="59" applyNumberFormat="1" applyFont="1" applyFill="1" applyBorder="1" applyAlignment="1" applyProtection="1">
      <alignment horizontal="center" vertical="center"/>
      <protection/>
    </xf>
    <xf numFmtId="0" fontId="126" fillId="0" borderId="0" xfId="59" applyFont="1" applyAlignment="1">
      <alignment vertical="center"/>
      <protection/>
    </xf>
    <xf numFmtId="0" fontId="6" fillId="0" borderId="0" xfId="59" applyFont="1" applyAlignment="1" applyProtection="1">
      <alignment vertical="center"/>
      <protection locked="0"/>
    </xf>
    <xf numFmtId="0" fontId="13" fillId="0" borderId="0" xfId="63" applyFont="1" applyFill="1" applyProtection="1">
      <alignment/>
      <protection locked="0"/>
    </xf>
    <xf numFmtId="0" fontId="10" fillId="0" borderId="11" xfId="59" applyFont="1" applyBorder="1" applyAlignment="1" applyProtection="1">
      <alignment vertical="center"/>
      <protection/>
    </xf>
    <xf numFmtId="167" fontId="11" fillId="39" borderId="11" xfId="63" applyNumberFormat="1" applyFont="1" applyFill="1" applyBorder="1" applyAlignment="1" applyProtection="1">
      <alignment horizontal="center" vertical="center"/>
      <protection locked="0"/>
    </xf>
    <xf numFmtId="0" fontId="11" fillId="0" borderId="11" xfId="59" applyFont="1" applyBorder="1" applyAlignment="1" applyProtection="1">
      <alignment horizontal="left" wrapText="1"/>
      <protection locked="0"/>
    </xf>
    <xf numFmtId="0" fontId="10" fillId="0" borderId="11" xfId="59" applyFont="1" applyBorder="1" applyAlignment="1" applyProtection="1">
      <alignment horizontal="center" vertical="center" wrapText="1"/>
      <protection locked="0"/>
    </xf>
    <xf numFmtId="0" fontId="11" fillId="0" borderId="11" xfId="59" applyFont="1" applyBorder="1" applyProtection="1">
      <alignment/>
      <protection locked="0"/>
    </xf>
    <xf numFmtId="0" fontId="13" fillId="0" borderId="0" xfId="63" applyFont="1" applyFill="1" applyBorder="1" applyAlignment="1" applyProtection="1">
      <alignment vertical="top"/>
      <protection locked="0"/>
    </xf>
    <xf numFmtId="0" fontId="11" fillId="0" borderId="11" xfId="66" applyFont="1" applyFill="1" applyBorder="1" applyAlignment="1" applyProtection="1">
      <alignment horizontal="left" indent="1"/>
      <protection/>
    </xf>
    <xf numFmtId="9" fontId="11" fillId="39" borderId="11" xfId="65" applyNumberFormat="1" applyFont="1" applyFill="1" applyBorder="1" applyAlignment="1" applyProtection="1">
      <alignment horizontal="center"/>
      <protection locked="0"/>
    </xf>
    <xf numFmtId="3" fontId="11" fillId="39" borderId="11" xfId="63" applyNumberFormat="1" applyFont="1" applyFill="1" applyBorder="1" applyAlignment="1" applyProtection="1">
      <alignment horizontal="center"/>
      <protection locked="0"/>
    </xf>
    <xf numFmtId="0" fontId="15" fillId="0" borderId="0" xfId="66" applyFont="1" applyFill="1" applyBorder="1" applyAlignment="1" applyProtection="1">
      <alignment horizontal="left" indent="1"/>
      <protection locked="0"/>
    </xf>
    <xf numFmtId="0" fontId="8" fillId="0" borderId="0" xfId="59" applyFont="1" applyBorder="1" applyAlignment="1" applyProtection="1">
      <alignment horizontal="left"/>
      <protection locked="0"/>
    </xf>
    <xf numFmtId="0" fontId="10" fillId="0" borderId="11" xfId="59" applyFont="1" applyBorder="1" applyAlignment="1" applyProtection="1">
      <alignment horizontal="center" vertical="center"/>
      <protection/>
    </xf>
    <xf numFmtId="0" fontId="10" fillId="0" borderId="14" xfId="59" applyFont="1" applyBorder="1" applyAlignment="1" applyProtection="1">
      <alignment/>
      <protection/>
    </xf>
    <xf numFmtId="0" fontId="2" fillId="0" borderId="15" xfId="59" applyBorder="1" applyAlignment="1">
      <alignment/>
      <protection/>
    </xf>
    <xf numFmtId="0" fontId="2" fillId="0" borderId="16" xfId="59" applyBorder="1" applyAlignment="1">
      <alignment/>
      <protection/>
    </xf>
    <xf numFmtId="0" fontId="13" fillId="0" borderId="0" xfId="63" applyFont="1" applyFill="1" applyBorder="1" applyProtection="1">
      <alignment/>
      <protection locked="0"/>
    </xf>
    <xf numFmtId="3" fontId="11" fillId="39" borderId="11" xfId="59" applyNumberFormat="1" applyFont="1" applyFill="1" applyBorder="1" applyAlignment="1" applyProtection="1">
      <alignment horizontal="center" vertical="center"/>
      <protection locked="0"/>
    </xf>
    <xf numFmtId="166" fontId="11" fillId="39" borderId="11" xfId="59" applyNumberFormat="1" applyFont="1" applyFill="1" applyBorder="1" applyAlignment="1" applyProtection="1">
      <alignment horizontal="center"/>
      <protection locked="0"/>
    </xf>
    <xf numFmtId="167" fontId="11" fillId="39" borderId="11" xfId="59" applyNumberFormat="1" applyFont="1" applyFill="1" applyBorder="1" applyAlignment="1" applyProtection="1">
      <alignment horizontal="center" vertical="center"/>
      <protection locked="0"/>
    </xf>
    <xf numFmtId="2" fontId="11" fillId="39" borderId="11" xfId="59" applyNumberFormat="1" applyFont="1" applyFill="1" applyBorder="1" applyAlignment="1" applyProtection="1">
      <alignment horizontal="center"/>
      <protection locked="0"/>
    </xf>
    <xf numFmtId="2" fontId="11" fillId="39" borderId="11" xfId="59" applyNumberFormat="1" applyFont="1" applyFill="1" applyBorder="1" applyAlignment="1" applyProtection="1">
      <alignment horizontal="center" vertical="center"/>
      <protection locked="0"/>
    </xf>
    <xf numFmtId="0" fontId="11" fillId="39" borderId="11" xfId="59" applyFont="1" applyFill="1" applyBorder="1" applyAlignment="1" applyProtection="1">
      <alignment horizontal="center"/>
      <protection locked="0"/>
    </xf>
    <xf numFmtId="0" fontId="9" fillId="0" borderId="0" xfId="59" applyFont="1" applyBorder="1" applyAlignment="1" applyProtection="1">
      <alignment horizontal="center"/>
      <protection locked="0"/>
    </xf>
    <xf numFmtId="0" fontId="10" fillId="0" borderId="0" xfId="59" applyFont="1" applyFill="1" applyBorder="1" applyAlignment="1" applyProtection="1">
      <alignment horizontal="center"/>
      <protection locked="0"/>
    </xf>
    <xf numFmtId="0" fontId="2" fillId="0" borderId="0" xfId="59" applyFont="1" applyBorder="1" applyAlignment="1" applyProtection="1">
      <alignment horizontal="center"/>
      <protection locked="0"/>
    </xf>
    <xf numFmtId="0" fontId="10" fillId="0" borderId="0" xfId="59" applyFont="1" applyBorder="1" applyAlignment="1" applyProtection="1">
      <alignment horizontal="center"/>
      <protection locked="0"/>
    </xf>
    <xf numFmtId="0" fontId="16" fillId="0" borderId="0" xfId="65" applyFont="1" applyFill="1" applyBorder="1" applyAlignment="1" applyProtection="1">
      <alignment horizontal="left" indent="1"/>
      <protection locked="0"/>
    </xf>
    <xf numFmtId="9" fontId="16" fillId="0" borderId="0" xfId="65" applyNumberFormat="1" applyFont="1" applyFill="1" applyBorder="1" applyAlignment="1" applyProtection="1">
      <alignment horizontal="right"/>
      <protection locked="0"/>
    </xf>
    <xf numFmtId="0" fontId="16" fillId="0" borderId="0" xfId="65" applyFont="1" applyFill="1" applyBorder="1" applyAlignment="1" applyProtection="1">
      <alignment horizontal="left"/>
      <protection locked="0"/>
    </xf>
    <xf numFmtId="0" fontId="16" fillId="0" borderId="0" xfId="61" applyFont="1" applyFill="1" applyBorder="1" applyAlignment="1" applyProtection="1">
      <alignment horizontal="left" indent="2"/>
      <protection locked="0"/>
    </xf>
    <xf numFmtId="3" fontId="11" fillId="0" borderId="11" xfId="63" applyNumberFormat="1" applyFont="1" applyFill="1" applyBorder="1" applyAlignment="1" applyProtection="1">
      <alignment horizontal="center"/>
      <protection/>
    </xf>
    <xf numFmtId="0" fontId="11" fillId="0" borderId="11" xfId="66" applyFont="1" applyFill="1" applyBorder="1" applyAlignment="1" applyProtection="1">
      <alignment horizontal="left" indent="2"/>
      <protection/>
    </xf>
    <xf numFmtId="2" fontId="11" fillId="0" borderId="11" xfId="59" applyNumberFormat="1" applyFont="1" applyBorder="1" applyAlignment="1" applyProtection="1">
      <alignment horizontal="center"/>
      <protection/>
    </xf>
    <xf numFmtId="175" fontId="11" fillId="0" borderId="11" xfId="59" applyNumberFormat="1" applyFont="1" applyBorder="1" applyAlignment="1" applyProtection="1">
      <alignment horizontal="center"/>
      <protection/>
    </xf>
    <xf numFmtId="0" fontId="10" fillId="0" borderId="0" xfId="59" applyFont="1" applyAlignment="1" applyProtection="1">
      <alignment vertical="center"/>
      <protection locked="0"/>
    </xf>
    <xf numFmtId="0" fontId="13" fillId="0" borderId="0" xfId="59" applyFont="1" applyProtection="1">
      <alignment/>
      <protection locked="0"/>
    </xf>
    <xf numFmtId="0" fontId="13" fillId="0" borderId="0" xfId="59" applyFont="1" applyBorder="1" applyProtection="1">
      <alignment/>
      <protection locked="0"/>
    </xf>
    <xf numFmtId="0" fontId="2" fillId="0" borderId="0" xfId="59" applyBorder="1" applyAlignment="1">
      <alignment/>
      <protection/>
    </xf>
    <xf numFmtId="0" fontId="11" fillId="0" borderId="0" xfId="59" applyFont="1" applyBorder="1" applyProtection="1">
      <alignment/>
      <protection locked="0"/>
    </xf>
    <xf numFmtId="3" fontId="11" fillId="0" borderId="11" xfId="59" applyNumberFormat="1" applyFont="1" applyBorder="1" applyAlignment="1" applyProtection="1">
      <alignment horizontal="center" vertical="center"/>
      <protection/>
    </xf>
    <xf numFmtId="0" fontId="10" fillId="0" borderId="0" xfId="59" applyFont="1" applyFill="1" applyAlignment="1" applyProtection="1">
      <alignment vertical="center"/>
      <protection locked="0"/>
    </xf>
    <xf numFmtId="0" fontId="11" fillId="0" borderId="0" xfId="59" applyFont="1" applyFill="1" applyProtection="1">
      <alignment/>
      <protection locked="0"/>
    </xf>
    <xf numFmtId="3" fontId="11" fillId="0" borderId="0" xfId="59" applyNumberFormat="1" applyFont="1" applyFill="1" applyBorder="1" applyAlignment="1" applyProtection="1">
      <alignment horizontal="center" vertical="center"/>
      <protection/>
    </xf>
    <xf numFmtId="0" fontId="11" fillId="0" borderId="0" xfId="59" applyFont="1" applyFill="1" applyBorder="1" applyAlignment="1" applyProtection="1">
      <alignment horizontal="center"/>
      <protection/>
    </xf>
    <xf numFmtId="167" fontId="11" fillId="0" borderId="0" xfId="59" applyNumberFormat="1" applyFont="1" applyFill="1" applyBorder="1" applyAlignment="1" applyProtection="1">
      <alignment horizontal="center" vertical="center"/>
      <protection/>
    </xf>
    <xf numFmtId="0" fontId="11" fillId="0" borderId="0" xfId="59" applyNumberFormat="1" applyFont="1" applyFill="1" applyBorder="1" applyAlignment="1" applyProtection="1">
      <alignment horizontal="left" vertical="center" wrapText="1" indent="2"/>
      <protection/>
    </xf>
    <xf numFmtId="0" fontId="8" fillId="0" borderId="0" xfId="59" applyFont="1" applyFill="1" applyBorder="1" applyAlignment="1" applyProtection="1">
      <alignment horizontal="left"/>
      <protection/>
    </xf>
    <xf numFmtId="0" fontId="17" fillId="0" borderId="0" xfId="59" applyFont="1" applyFill="1" applyBorder="1" applyAlignment="1" applyProtection="1">
      <alignment horizontal="left"/>
      <protection/>
    </xf>
    <xf numFmtId="165" fontId="17" fillId="0" borderId="0" xfId="46" applyNumberFormat="1" applyFont="1" applyFill="1" applyBorder="1" applyAlignment="1" applyProtection="1">
      <alignment horizontal="center"/>
      <protection/>
    </xf>
    <xf numFmtId="165" fontId="17" fillId="0" borderId="0" xfId="59" applyNumberFormat="1" applyFont="1" applyFill="1" applyBorder="1" applyAlignment="1" applyProtection="1">
      <alignment horizontal="center"/>
      <protection locked="0"/>
    </xf>
    <xf numFmtId="0" fontId="17" fillId="0" borderId="0" xfId="59" applyFont="1" applyFill="1" applyBorder="1" applyAlignment="1" applyProtection="1">
      <alignment horizontal="left"/>
      <protection locked="0"/>
    </xf>
    <xf numFmtId="0" fontId="17" fillId="0" borderId="0" xfId="59" applyFont="1" applyFill="1" applyBorder="1" applyProtection="1">
      <alignment/>
      <protection locked="0"/>
    </xf>
    <xf numFmtId="0" fontId="17" fillId="0" borderId="0" xfId="59" applyFont="1" applyFill="1" applyProtection="1">
      <alignment/>
      <protection locked="0"/>
    </xf>
    <xf numFmtId="0" fontId="10" fillId="0" borderId="11" xfId="59" applyFont="1" applyFill="1" applyBorder="1" applyAlignment="1" applyProtection="1">
      <alignment horizontal="center" vertical="center" wrapText="1"/>
      <protection/>
    </xf>
    <xf numFmtId="0" fontId="10" fillId="0" borderId="0" xfId="59" applyFont="1" applyFill="1" applyBorder="1" applyAlignment="1" applyProtection="1">
      <alignment horizontal="center" vertical="center"/>
      <protection locked="0"/>
    </xf>
    <xf numFmtId="0" fontId="2" fillId="0" borderId="0" xfId="59" applyFill="1" applyAlignment="1" applyProtection="1">
      <alignment/>
      <protection locked="0"/>
    </xf>
    <xf numFmtId="0" fontId="13" fillId="0" borderId="0" xfId="59" applyFont="1" applyFill="1" applyProtection="1">
      <alignment/>
      <protection locked="0"/>
    </xf>
    <xf numFmtId="0" fontId="13" fillId="0" borderId="0" xfId="59" applyFont="1" applyFill="1" applyBorder="1" applyProtection="1">
      <alignment/>
      <protection locked="0"/>
    </xf>
    <xf numFmtId="0" fontId="10" fillId="0" borderId="14" xfId="59" applyFont="1" applyFill="1" applyBorder="1" applyAlignment="1" applyProtection="1">
      <alignment/>
      <protection/>
    </xf>
    <xf numFmtId="0" fontId="11" fillId="0" borderId="0" xfId="62" applyFont="1" applyFill="1" applyBorder="1" applyAlignment="1" applyProtection="1">
      <alignment horizontal="left"/>
      <protection locked="0"/>
    </xf>
    <xf numFmtId="0" fontId="13" fillId="0" borderId="0" xfId="59" applyFont="1" applyFill="1" applyBorder="1" applyAlignment="1" applyProtection="1">
      <alignment/>
      <protection locked="0"/>
    </xf>
    <xf numFmtId="0" fontId="11" fillId="0" borderId="0" xfId="59" applyFont="1" applyFill="1" applyBorder="1" applyProtection="1">
      <alignment/>
      <protection locked="0"/>
    </xf>
    <xf numFmtId="3" fontId="11" fillId="0" borderId="0" xfId="59" applyNumberFormat="1" applyFont="1" applyFill="1" applyBorder="1" applyAlignment="1" applyProtection="1">
      <alignment horizontal="center" vertical="center"/>
      <protection locked="0"/>
    </xf>
    <xf numFmtId="0" fontId="11" fillId="0" borderId="0" xfId="59" applyFont="1" applyFill="1" applyBorder="1" applyAlignment="1" applyProtection="1" quotePrefix="1">
      <alignment horizontal="center"/>
      <protection locked="0"/>
    </xf>
    <xf numFmtId="0" fontId="13" fillId="0" borderId="13" xfId="59" applyFont="1" applyBorder="1" applyProtection="1">
      <alignment/>
      <protection locked="0"/>
    </xf>
    <xf numFmtId="0" fontId="13" fillId="0" borderId="13" xfId="59" applyFont="1" applyBorder="1" applyAlignment="1" applyProtection="1">
      <alignment horizontal="left"/>
      <protection locked="0"/>
    </xf>
    <xf numFmtId="0" fontId="13" fillId="0" borderId="13" xfId="59" applyFont="1" applyBorder="1" applyAlignment="1" applyProtection="1">
      <alignment horizontal="center"/>
      <protection locked="0"/>
    </xf>
    <xf numFmtId="0" fontId="8" fillId="0" borderId="0" xfId="59" applyFont="1" applyBorder="1" applyAlignment="1" applyProtection="1">
      <alignment horizontal="left" vertical="center"/>
      <protection/>
    </xf>
    <xf numFmtId="0" fontId="9" fillId="0" borderId="0" xfId="59" applyFont="1" applyAlignment="1" applyProtection="1">
      <alignment horizontal="left"/>
      <protection/>
    </xf>
    <xf numFmtId="0" fontId="9" fillId="0" borderId="0" xfId="59" applyFont="1" applyAlignment="1" applyProtection="1">
      <alignment horizontal="center"/>
      <protection locked="0"/>
    </xf>
    <xf numFmtId="0" fontId="9" fillId="0" borderId="0" xfId="59" applyFont="1" applyBorder="1" applyProtection="1">
      <alignment/>
      <protection locked="0"/>
    </xf>
    <xf numFmtId="0" fontId="13" fillId="0" borderId="0" xfId="63" applyFont="1" applyFill="1" applyAlignment="1" applyProtection="1">
      <alignment horizontal="left" vertical="center"/>
      <protection locked="0"/>
    </xf>
    <xf numFmtId="0" fontId="11" fillId="0" borderId="0" xfId="59" applyFont="1" applyAlignment="1" applyProtection="1">
      <alignment horizontal="left"/>
      <protection/>
    </xf>
    <xf numFmtId="0" fontId="13" fillId="0" borderId="0" xfId="59" applyFont="1" applyAlignment="1" applyProtection="1">
      <alignment horizontal="left" vertical="center"/>
      <protection/>
    </xf>
    <xf numFmtId="0" fontId="13" fillId="0" borderId="0" xfId="59" applyFont="1" applyAlignment="1" applyProtection="1">
      <alignment horizontal="left" vertical="center"/>
      <protection locked="0"/>
    </xf>
    <xf numFmtId="0" fontId="13" fillId="0" borderId="0" xfId="63" applyFont="1" applyFill="1" applyBorder="1" applyAlignment="1" applyProtection="1">
      <alignment horizontal="left" vertical="center"/>
      <protection locked="0"/>
    </xf>
    <xf numFmtId="0" fontId="13" fillId="0" borderId="0" xfId="59" applyFont="1" applyAlignment="1" applyProtection="1">
      <alignment horizontal="left"/>
      <protection/>
    </xf>
    <xf numFmtId="0" fontId="11" fillId="0" borderId="0" xfId="59" applyFont="1" applyAlignment="1" applyProtection="1" quotePrefix="1">
      <alignment horizontal="left"/>
      <protection/>
    </xf>
    <xf numFmtId="0" fontId="13" fillId="0" borderId="0" xfId="63" applyFont="1" applyFill="1" applyBorder="1" applyAlignment="1" applyProtection="1">
      <alignment horizontal="left" vertical="center"/>
      <protection/>
    </xf>
    <xf numFmtId="0" fontId="13" fillId="0" borderId="0" xfId="59" applyFont="1" applyBorder="1" applyAlignment="1" applyProtection="1">
      <alignment horizontal="left" vertical="center"/>
      <protection locked="0"/>
    </xf>
    <xf numFmtId="0" fontId="13" fillId="0" borderId="0" xfId="59" applyFont="1" applyFill="1" applyBorder="1" applyAlignment="1" applyProtection="1">
      <alignment horizontal="left" vertical="center"/>
      <protection/>
    </xf>
    <xf numFmtId="0" fontId="13" fillId="0" borderId="0" xfId="59" applyFont="1" applyFill="1" applyBorder="1" applyAlignment="1" applyProtection="1">
      <alignment horizontal="left" vertical="center"/>
      <protection locked="0"/>
    </xf>
    <xf numFmtId="0" fontId="11" fillId="0" borderId="0" xfId="59" applyFont="1" applyAlignment="1" quotePrefix="1">
      <alignment/>
      <protection/>
    </xf>
    <xf numFmtId="0" fontId="11" fillId="0" borderId="0" xfId="59" applyFont="1" applyAlignment="1">
      <alignment/>
      <protection/>
    </xf>
    <xf numFmtId="0" fontId="19" fillId="0" borderId="0" xfId="55" applyFont="1" applyAlignment="1" applyProtection="1">
      <alignment/>
      <protection/>
    </xf>
    <xf numFmtId="0" fontId="13" fillId="0" borderId="0" xfId="63" applyFont="1" applyFill="1" applyAlignment="1" applyProtection="1">
      <alignment horizontal="right" vertical="top"/>
      <protection locked="0"/>
    </xf>
    <xf numFmtId="0" fontId="13" fillId="0" borderId="0" xfId="63" applyFont="1" applyFill="1" applyAlignment="1" applyProtection="1">
      <alignment horizontal="left" vertical="top"/>
      <protection locked="0"/>
    </xf>
    <xf numFmtId="0" fontId="2" fillId="0" borderId="0" xfId="59" applyFont="1" applyAlignment="1" applyProtection="1">
      <alignment/>
      <protection locked="0"/>
    </xf>
    <xf numFmtId="0" fontId="2" fillId="0" borderId="11" xfId="59" applyFont="1" applyBorder="1" applyAlignment="1" applyProtection="1">
      <alignment/>
      <protection/>
    </xf>
    <xf numFmtId="0" fontId="10" fillId="0" borderId="11" xfId="66" applyFont="1" applyFill="1" applyBorder="1" applyAlignment="1" applyProtection="1">
      <alignment horizontal="center" vertical="center" wrapText="1"/>
      <protection/>
    </xf>
    <xf numFmtId="3" fontId="11" fillId="0" borderId="11" xfId="59" applyNumberFormat="1" applyFont="1" applyBorder="1" applyAlignment="1" applyProtection="1">
      <alignment horizontal="center"/>
      <protection/>
    </xf>
    <xf numFmtId="0" fontId="21" fillId="0" borderId="11" xfId="65" applyFont="1" applyFill="1" applyBorder="1" applyAlignment="1" applyProtection="1">
      <alignment horizontal="left"/>
      <protection/>
    </xf>
    <xf numFmtId="167" fontId="11" fillId="0" borderId="11" xfId="59" applyNumberFormat="1" applyFont="1" applyFill="1" applyBorder="1" applyAlignment="1" applyProtection="1">
      <alignment horizontal="center" vertical="center"/>
      <protection/>
    </xf>
    <xf numFmtId="0" fontId="21" fillId="0" borderId="11" xfId="65" applyFont="1" applyFill="1" applyBorder="1" applyAlignment="1" applyProtection="1">
      <alignment horizontal="left" vertical="center"/>
      <protection/>
    </xf>
    <xf numFmtId="0" fontId="11" fillId="0" borderId="11" xfId="59" applyNumberFormat="1" applyFont="1" applyBorder="1" applyAlignment="1" applyProtection="1">
      <alignment horizontal="center"/>
      <protection/>
    </xf>
    <xf numFmtId="0" fontId="22" fillId="0" borderId="0" xfId="59" applyFont="1" applyAlignment="1" applyProtection="1">
      <alignment vertical="center"/>
      <protection locked="0"/>
    </xf>
    <xf numFmtId="178" fontId="11" fillId="0" borderId="11" xfId="59" applyNumberFormat="1" applyFont="1" applyFill="1" applyBorder="1" applyAlignment="1" applyProtection="1">
      <alignment horizontal="center"/>
      <protection/>
    </xf>
    <xf numFmtId="0" fontId="7" fillId="0" borderId="11" xfId="59" applyFont="1" applyBorder="1" applyProtection="1">
      <alignment/>
      <protection/>
    </xf>
    <xf numFmtId="0" fontId="17" fillId="0" borderId="0" xfId="59" applyFont="1" applyProtection="1">
      <alignment/>
      <protection locked="0"/>
    </xf>
    <xf numFmtId="0" fontId="10" fillId="0" borderId="11" xfId="59" applyFont="1" applyBorder="1" applyAlignment="1">
      <alignment horizontal="center" vertical="center" wrapText="1"/>
      <protection/>
    </xf>
    <xf numFmtId="0" fontId="10" fillId="0" borderId="11" xfId="59" applyFont="1" applyBorder="1" applyAlignment="1">
      <alignment horizontal="center"/>
      <protection/>
    </xf>
    <xf numFmtId="0" fontId="10" fillId="0" borderId="11" xfId="66" applyFont="1" applyFill="1" applyBorder="1" applyAlignment="1" applyProtection="1">
      <alignment horizontal="left" vertical="center" wrapText="1"/>
      <protection/>
    </xf>
    <xf numFmtId="165" fontId="9" fillId="0" borderId="0" xfId="46" applyNumberFormat="1" applyFont="1" applyBorder="1" applyAlignment="1" applyProtection="1">
      <alignment horizontal="center"/>
      <protection locked="0"/>
    </xf>
    <xf numFmtId="165" fontId="9" fillId="0" borderId="0" xfId="59" applyNumberFormat="1" applyFont="1" applyBorder="1" applyAlignment="1" applyProtection="1">
      <alignment horizontal="center"/>
      <protection locked="0"/>
    </xf>
    <xf numFmtId="0" fontId="9" fillId="0" borderId="0" xfId="59" applyFont="1" applyFill="1" applyBorder="1" applyAlignment="1" applyProtection="1">
      <alignment horizontal="left"/>
      <protection locked="0"/>
    </xf>
    <xf numFmtId="0" fontId="17" fillId="0" borderId="0" xfId="59" applyFont="1" applyBorder="1" applyProtection="1">
      <alignment/>
      <protection locked="0"/>
    </xf>
    <xf numFmtId="0" fontId="25" fillId="0" borderId="0" xfId="59" applyFont="1" applyBorder="1" applyAlignment="1" applyProtection="1">
      <alignment horizontal="left"/>
      <protection locked="0"/>
    </xf>
    <xf numFmtId="0" fontId="25" fillId="0" borderId="0" xfId="59" applyFont="1" applyBorder="1" applyAlignment="1" applyProtection="1">
      <alignment horizontal="center"/>
      <protection locked="0"/>
    </xf>
    <xf numFmtId="0" fontId="10" fillId="0" borderId="11" xfId="59" applyFont="1" applyFill="1" applyBorder="1" applyAlignment="1" applyProtection="1">
      <alignment horizontal="center" vertical="center"/>
      <protection/>
    </xf>
    <xf numFmtId="0" fontId="11" fillId="0" borderId="11" xfId="59" applyFont="1" applyBorder="1" applyAlignment="1" applyProtection="1">
      <alignment vertical="center"/>
      <protection/>
    </xf>
    <xf numFmtId="0" fontId="7" fillId="0" borderId="13" xfId="59" applyFont="1" applyBorder="1" applyProtection="1">
      <alignment/>
      <protection locked="0"/>
    </xf>
    <xf numFmtId="0" fontId="7" fillId="0" borderId="13" xfId="59" applyFont="1" applyBorder="1" applyAlignment="1" applyProtection="1">
      <alignment horizontal="left"/>
      <protection locked="0"/>
    </xf>
    <xf numFmtId="0" fontId="7" fillId="0" borderId="13" xfId="59" applyFont="1" applyBorder="1" applyAlignment="1" applyProtection="1">
      <alignment horizontal="center"/>
      <protection locked="0"/>
    </xf>
    <xf numFmtId="0" fontId="7" fillId="0" borderId="0" xfId="59" applyFont="1" applyBorder="1" applyProtection="1">
      <alignment/>
      <protection locked="0"/>
    </xf>
    <xf numFmtId="0" fontId="13" fillId="0" borderId="0" xfId="63" applyFont="1" applyFill="1" applyAlignment="1" applyProtection="1">
      <alignment horizontal="left" vertical="center"/>
      <protection/>
    </xf>
    <xf numFmtId="0" fontId="26" fillId="0" borderId="0" xfId="59" applyFont="1" applyFill="1" applyAlignment="1" applyProtection="1">
      <alignment horizontal="left" vertical="center"/>
      <protection locked="0"/>
    </xf>
    <xf numFmtId="0" fontId="21" fillId="0" borderId="0" xfId="64" applyFont="1" applyBorder="1" applyAlignment="1" applyProtection="1">
      <alignment horizontal="left" indent="2"/>
      <protection locked="0"/>
    </xf>
    <xf numFmtId="0" fontId="21" fillId="0" borderId="0" xfId="64" applyFont="1" applyFill="1" applyBorder="1" applyAlignment="1" applyProtection="1">
      <alignment horizontal="left"/>
      <protection locked="0"/>
    </xf>
    <xf numFmtId="0" fontId="16" fillId="0" borderId="0" xfId="64" applyFont="1" applyFill="1" applyBorder="1" applyProtection="1">
      <alignment/>
      <protection locked="0"/>
    </xf>
    <xf numFmtId="0" fontId="11" fillId="0" borderId="0" xfId="59" applyFont="1" quotePrefix="1">
      <alignment/>
      <protection/>
    </xf>
    <xf numFmtId="0" fontId="11" fillId="0" borderId="0" xfId="59" applyFont="1">
      <alignment/>
      <protection/>
    </xf>
    <xf numFmtId="0" fontId="11" fillId="0" borderId="0" xfId="59" applyFont="1" applyBorder="1" applyAlignment="1" applyProtection="1">
      <alignment horizontal="left" vertical="center"/>
      <protection/>
    </xf>
    <xf numFmtId="0" fontId="11" fillId="0" borderId="0" xfId="59" applyFont="1" applyFill="1" applyBorder="1" applyAlignment="1" applyProtection="1">
      <alignment horizontal="left" vertical="center"/>
      <protection/>
    </xf>
    <xf numFmtId="0" fontId="11" fillId="0" borderId="0" xfId="59" applyFont="1" applyFill="1" applyBorder="1" applyAlignment="1" applyProtection="1">
      <alignment horizontal="left" vertical="center"/>
      <protection locked="0"/>
    </xf>
    <xf numFmtId="0" fontId="11" fillId="0" borderId="0" xfId="59" applyFont="1" applyBorder="1" applyAlignment="1" applyProtection="1">
      <alignment horizontal="left" vertical="center"/>
      <protection locked="0"/>
    </xf>
    <xf numFmtId="0" fontId="2" fillId="0" borderId="15" xfId="59" applyFill="1" applyBorder="1" applyAlignment="1">
      <alignment/>
      <protection/>
    </xf>
    <xf numFmtId="179" fontId="9" fillId="0" borderId="0" xfId="46" applyNumberFormat="1" applyFont="1" applyBorder="1" applyAlignment="1" applyProtection="1">
      <alignment horizontal="center"/>
      <protection/>
    </xf>
    <xf numFmtId="165" fontId="9" fillId="0" borderId="0" xfId="0" applyNumberFormat="1" applyFont="1" applyBorder="1" applyAlignment="1" applyProtection="1">
      <alignment horizontal="center"/>
      <protection/>
    </xf>
    <xf numFmtId="0" fontId="11" fillId="0" borderId="0" xfId="0" applyFont="1" applyAlignment="1" applyProtection="1">
      <alignment/>
      <protection/>
    </xf>
    <xf numFmtId="0" fontId="2" fillId="0" borderId="15" xfId="59" applyBorder="1" applyAlignment="1" applyProtection="1">
      <alignment/>
      <protection/>
    </xf>
    <xf numFmtId="0" fontId="2" fillId="0" borderId="16" xfId="59" applyBorder="1" applyAlignment="1" applyProtection="1">
      <alignment/>
      <protection/>
    </xf>
    <xf numFmtId="3" fontId="11" fillId="40" borderId="11" xfId="59" applyNumberFormat="1" applyFont="1" applyFill="1" applyBorder="1" applyAlignment="1" applyProtection="1">
      <alignment horizontal="center" vertical="center"/>
      <protection/>
    </xf>
    <xf numFmtId="0" fontId="11" fillId="40" borderId="11" xfId="59" applyNumberFormat="1" applyFont="1" applyFill="1" applyBorder="1" applyAlignment="1" applyProtection="1">
      <alignment horizontal="center" vertical="center"/>
      <protection/>
    </xf>
    <xf numFmtId="0" fontId="2" fillId="40" borderId="15" xfId="59" applyFill="1" applyBorder="1" applyAlignment="1">
      <alignment/>
      <protection/>
    </xf>
    <xf numFmtId="0" fontId="10" fillId="40" borderId="11" xfId="66" applyFont="1" applyFill="1" applyBorder="1" applyAlignment="1" applyProtection="1">
      <alignment horizontal="center" vertical="center" wrapText="1"/>
      <protection/>
    </xf>
    <xf numFmtId="3" fontId="11" fillId="40" borderId="11" xfId="63" applyNumberFormat="1" applyFont="1" applyFill="1" applyBorder="1" applyAlignment="1" applyProtection="1">
      <alignment horizontal="center"/>
      <protection/>
    </xf>
    <xf numFmtId="167" fontId="11" fillId="40" borderId="11" xfId="59" applyNumberFormat="1" applyFont="1" applyFill="1" applyBorder="1" applyAlignment="1" applyProtection="1">
      <alignment horizontal="center" vertical="center"/>
      <protection/>
    </xf>
    <xf numFmtId="0" fontId="11" fillId="40" borderId="11" xfId="59" applyNumberFormat="1" applyFont="1" applyFill="1" applyBorder="1" applyAlignment="1" applyProtection="1">
      <alignment horizontal="center"/>
      <protection/>
    </xf>
    <xf numFmtId="178" fontId="11" fillId="40" borderId="11" xfId="59" applyNumberFormat="1" applyFont="1" applyFill="1" applyBorder="1" applyAlignment="1" applyProtection="1">
      <alignment horizontal="center"/>
      <protection/>
    </xf>
    <xf numFmtId="0" fontId="10" fillId="40" borderId="11" xfId="59" applyFont="1" applyFill="1" applyBorder="1" applyAlignment="1" applyProtection="1">
      <alignment horizontal="center" vertical="center" wrapText="1"/>
      <protection/>
    </xf>
    <xf numFmtId="1" fontId="0" fillId="33" borderId="0" xfId="0" applyNumberFormat="1" applyFill="1" applyAlignment="1">
      <alignment/>
    </xf>
    <xf numFmtId="0" fontId="10" fillId="0" borderId="14" xfId="66" applyFont="1" applyFill="1" applyBorder="1" applyAlignment="1" applyProtection="1">
      <alignment vertical="center"/>
      <protection/>
    </xf>
    <xf numFmtId="0" fontId="127" fillId="0" borderId="14" xfId="66" applyFont="1" applyFill="1" applyBorder="1" applyAlignment="1" applyProtection="1">
      <alignment vertical="center"/>
      <protection/>
    </xf>
    <xf numFmtId="0" fontId="126" fillId="0" borderId="16" xfId="59" applyFont="1" applyBorder="1" applyAlignment="1">
      <alignment/>
      <protection/>
    </xf>
    <xf numFmtId="0" fontId="114" fillId="33" borderId="0" xfId="0" applyFont="1" applyFill="1" applyAlignment="1" applyProtection="1">
      <alignment/>
      <protection/>
    </xf>
    <xf numFmtId="0" fontId="114" fillId="33" borderId="0" xfId="0" applyFont="1" applyFill="1" applyBorder="1" applyAlignment="1" applyProtection="1">
      <alignment/>
      <protection/>
    </xf>
    <xf numFmtId="0" fontId="118" fillId="33" borderId="0" xfId="0" applyFont="1" applyFill="1" applyAlignment="1">
      <alignment horizontal="left"/>
    </xf>
    <xf numFmtId="0" fontId="66" fillId="33" borderId="0" xfId="0" applyFont="1" applyFill="1" applyAlignment="1">
      <alignment horizontal="left" wrapText="1"/>
    </xf>
    <xf numFmtId="0" fontId="115" fillId="34" borderId="0" xfId="0" applyFont="1" applyFill="1" applyAlignment="1" applyProtection="1">
      <alignment/>
      <protection/>
    </xf>
    <xf numFmtId="0" fontId="0" fillId="0" borderId="16" xfId="0" applyBorder="1" applyAlignment="1">
      <alignment/>
    </xf>
    <xf numFmtId="1" fontId="115" fillId="34" borderId="0" xfId="0" applyNumberFormat="1" applyFont="1" applyFill="1" applyAlignment="1" applyProtection="1">
      <alignment/>
      <protection/>
    </xf>
    <xf numFmtId="188" fontId="0" fillId="34" borderId="0" xfId="0" applyNumberFormat="1" applyFont="1" applyFill="1" applyAlignment="1" applyProtection="1">
      <alignment/>
      <protection/>
    </xf>
    <xf numFmtId="0" fontId="115" fillId="34" borderId="0" xfId="0" applyFont="1" applyFill="1" applyAlignment="1" applyProtection="1">
      <alignment horizontal="right" shrinkToFit="1"/>
      <protection/>
    </xf>
    <xf numFmtId="3" fontId="0" fillId="5" borderId="11" xfId="0" applyNumberFormat="1" applyFill="1" applyBorder="1" applyAlignment="1" applyProtection="1" quotePrefix="1">
      <alignment horizontal="center"/>
      <protection/>
    </xf>
    <xf numFmtId="3" fontId="119" fillId="34" borderId="0" xfId="0" applyNumberFormat="1" applyFont="1" applyFill="1" applyAlignment="1" applyProtection="1">
      <alignment/>
      <protection/>
    </xf>
    <xf numFmtId="0" fontId="118" fillId="33" borderId="0" xfId="0" applyFont="1" applyFill="1" applyAlignment="1" applyProtection="1">
      <alignment/>
      <protection/>
    </xf>
    <xf numFmtId="0" fontId="0" fillId="0" borderId="0" xfId="0" applyBorder="1" applyAlignment="1">
      <alignment wrapText="1"/>
    </xf>
    <xf numFmtId="0" fontId="118" fillId="33" borderId="0" xfId="0" applyFont="1" applyFill="1" applyAlignment="1">
      <alignment/>
    </xf>
    <xf numFmtId="0" fontId="2" fillId="0" borderId="15" xfId="59" applyFont="1" applyBorder="1" applyAlignment="1">
      <alignment/>
      <protection/>
    </xf>
    <xf numFmtId="0" fontId="2" fillId="0" borderId="16" xfId="59" applyFont="1" applyBorder="1" applyAlignment="1">
      <alignment/>
      <protection/>
    </xf>
    <xf numFmtId="0" fontId="27" fillId="0" borderId="0" xfId="59" applyFont="1" applyBorder="1" applyAlignment="1" applyProtection="1">
      <alignment vertical="center"/>
      <protection/>
    </xf>
    <xf numFmtId="0" fontId="119" fillId="34" borderId="0" xfId="0" applyFont="1" applyFill="1" applyAlignment="1" applyProtection="1">
      <alignment horizontal="right"/>
      <protection/>
    </xf>
    <xf numFmtId="0" fontId="10" fillId="41" borderId="11" xfId="59" applyFont="1" applyFill="1" applyBorder="1" applyAlignment="1" applyProtection="1">
      <alignment horizontal="center" vertical="center" wrapText="1"/>
      <protection/>
    </xf>
    <xf numFmtId="178" fontId="11" fillId="41" borderId="11" xfId="59" applyNumberFormat="1" applyFont="1" applyFill="1" applyBorder="1" applyAlignment="1" applyProtection="1">
      <alignment horizontal="center" vertical="center"/>
      <protection/>
    </xf>
    <xf numFmtId="0" fontId="2" fillId="41" borderId="16" xfId="59" applyFill="1" applyBorder="1" applyAlignment="1">
      <alignment/>
      <protection/>
    </xf>
    <xf numFmtId="0" fontId="11" fillId="41" borderId="17" xfId="59" applyNumberFormat="1" applyFont="1" applyFill="1" applyBorder="1" applyAlignment="1" applyProtection="1">
      <alignment horizontal="center" vertical="center"/>
      <protection/>
    </xf>
    <xf numFmtId="0" fontId="2" fillId="41" borderId="18" xfId="59" applyFill="1" applyBorder="1" applyAlignment="1">
      <alignment horizontal="center" vertical="center"/>
      <protection/>
    </xf>
    <xf numFmtId="0" fontId="2" fillId="41" borderId="10" xfId="59" applyFill="1" applyBorder="1" applyAlignment="1">
      <alignment horizontal="center" vertical="center"/>
      <protection/>
    </xf>
    <xf numFmtId="0" fontId="11" fillId="41" borderId="11" xfId="59" applyNumberFormat="1" applyFont="1" applyFill="1" applyBorder="1" applyAlignment="1" applyProtection="1">
      <alignment horizontal="center" vertical="center"/>
      <protection/>
    </xf>
    <xf numFmtId="9" fontId="11" fillId="41" borderId="11" xfId="59" applyNumberFormat="1" applyFont="1" applyFill="1" applyBorder="1" applyAlignment="1" applyProtection="1">
      <alignment horizontal="center" vertical="center"/>
      <protection/>
    </xf>
    <xf numFmtId="0" fontId="2" fillId="41" borderId="15" xfId="59" applyFont="1" applyFill="1" applyBorder="1" applyAlignment="1">
      <alignment/>
      <protection/>
    </xf>
    <xf numFmtId="0" fontId="115" fillId="33" borderId="0" xfId="0" applyFont="1" applyFill="1" applyAlignment="1" quotePrefix="1">
      <alignment/>
    </xf>
    <xf numFmtId="0" fontId="119" fillId="0" borderId="0" xfId="0" applyFont="1" applyFill="1" applyAlignment="1" applyProtection="1">
      <alignment/>
      <protection/>
    </xf>
    <xf numFmtId="0" fontId="10" fillId="42" borderId="14" xfId="59" applyFont="1" applyFill="1" applyBorder="1" applyAlignment="1" applyProtection="1">
      <alignment/>
      <protection/>
    </xf>
    <xf numFmtId="0" fontId="11" fillId="42" borderId="11" xfId="59" applyNumberFormat="1" applyFont="1" applyFill="1" applyBorder="1" applyAlignment="1" applyProtection="1">
      <alignment horizontal="left" vertical="center" wrapText="1" indent="2"/>
      <protection/>
    </xf>
    <xf numFmtId="3" fontId="115" fillId="34" borderId="0" xfId="0" applyNumberFormat="1" applyFont="1" applyFill="1" applyAlignment="1" applyProtection="1">
      <alignment/>
      <protection/>
    </xf>
    <xf numFmtId="178" fontId="0" fillId="5" borderId="11" xfId="0" applyNumberFormat="1" applyFill="1" applyBorder="1" applyAlignment="1" applyProtection="1">
      <alignment horizontal="center"/>
      <protection/>
    </xf>
    <xf numFmtId="3" fontId="11" fillId="42" borderId="11" xfId="59" applyNumberFormat="1" applyFont="1" applyFill="1" applyBorder="1" applyAlignment="1" applyProtection="1">
      <alignment horizontal="center" vertical="center"/>
      <protection/>
    </xf>
    <xf numFmtId="0" fontId="2" fillId="42" borderId="15" xfId="59" applyFill="1" applyBorder="1" applyAlignment="1">
      <alignment/>
      <protection/>
    </xf>
    <xf numFmtId="0" fontId="0" fillId="33" borderId="0" xfId="0" applyFill="1" applyAlignment="1" applyProtection="1">
      <alignment/>
      <protection/>
    </xf>
    <xf numFmtId="0" fontId="2" fillId="42" borderId="16" xfId="59" applyFill="1" applyBorder="1" applyAlignment="1">
      <alignment/>
      <protection/>
    </xf>
    <xf numFmtId="3" fontId="0" fillId="34" borderId="0" xfId="0" applyNumberFormat="1" applyFill="1" applyAlignment="1" applyProtection="1">
      <alignment/>
      <protection/>
    </xf>
    <xf numFmtId="3" fontId="115" fillId="34" borderId="0" xfId="0" applyNumberFormat="1" applyFont="1" applyFill="1" applyAlignment="1" applyProtection="1">
      <alignment horizontal="right" shrinkToFit="1"/>
      <protection/>
    </xf>
    <xf numFmtId="3" fontId="0" fillId="0" borderId="0" xfId="0" applyNumberFormat="1" applyFill="1" applyAlignment="1" applyProtection="1">
      <alignment/>
      <protection/>
    </xf>
    <xf numFmtId="0" fontId="128" fillId="0" borderId="0" xfId="0" applyFont="1" applyAlignment="1">
      <alignment horizontal="center"/>
    </xf>
    <xf numFmtId="0" fontId="10" fillId="0" borderId="11" xfId="59" applyFont="1" applyFill="1" applyBorder="1" applyAlignment="1" applyProtection="1">
      <alignment horizontal="center" vertical="center" wrapText="1"/>
      <protection locked="0"/>
    </xf>
    <xf numFmtId="0" fontId="2" fillId="0" borderId="16" xfId="59" applyBorder="1" applyAlignment="1" applyProtection="1">
      <alignment/>
      <protection locked="0"/>
    </xf>
    <xf numFmtId="3" fontId="11" fillId="42" borderId="11" xfId="59" applyNumberFormat="1" applyFont="1" applyFill="1" applyBorder="1" applyAlignment="1" applyProtection="1">
      <alignment horizontal="center" vertical="center"/>
      <protection locked="0"/>
    </xf>
    <xf numFmtId="0" fontId="0" fillId="33" borderId="0" xfId="0" applyFill="1" applyAlignment="1">
      <alignment vertical="top" wrapText="1"/>
    </xf>
    <xf numFmtId="0" fontId="118" fillId="0" borderId="0" xfId="0" applyFont="1" applyAlignment="1">
      <alignment/>
    </xf>
    <xf numFmtId="0" fontId="0" fillId="33" borderId="0" xfId="0" applyFill="1" applyAlignment="1" applyProtection="1">
      <alignment/>
      <protection/>
    </xf>
    <xf numFmtId="0" fontId="114" fillId="33" borderId="0" xfId="0" applyFont="1" applyFill="1" applyAlignment="1" applyProtection="1">
      <alignment/>
      <protection/>
    </xf>
    <xf numFmtId="0" fontId="114" fillId="33" borderId="0" xfId="0" applyFont="1" applyFill="1" applyBorder="1" applyAlignment="1" applyProtection="1">
      <alignment/>
      <protection/>
    </xf>
    <xf numFmtId="0" fontId="0" fillId="33" borderId="0" xfId="0" applyFill="1" applyBorder="1" applyAlignment="1" applyProtection="1">
      <alignment/>
      <protection/>
    </xf>
    <xf numFmtId="0" fontId="19" fillId="0" borderId="0" xfId="55" applyFont="1" applyAlignment="1" applyProtection="1">
      <alignment horizontal="left"/>
      <protection/>
    </xf>
    <xf numFmtId="0" fontId="115" fillId="0" borderId="0" xfId="0" applyFont="1" applyAlignment="1">
      <alignment/>
    </xf>
    <xf numFmtId="0" fontId="115" fillId="33" borderId="0" xfId="0" applyFont="1" applyFill="1" applyBorder="1" applyAlignment="1" applyProtection="1">
      <alignment/>
      <protection/>
    </xf>
    <xf numFmtId="0" fontId="6" fillId="0" borderId="0" xfId="0" applyFont="1" applyFill="1" applyAlignment="1" applyProtection="1">
      <alignment vertical="center"/>
      <protection/>
    </xf>
    <xf numFmtId="0" fontId="7" fillId="0" borderId="0" xfId="0" applyFont="1" applyFill="1" applyAlignment="1" applyProtection="1">
      <alignment horizontal="left"/>
      <protection/>
    </xf>
    <xf numFmtId="0" fontId="7" fillId="0" borderId="0" xfId="0" applyFont="1" applyFill="1" applyAlignment="1" applyProtection="1">
      <alignment horizontal="center"/>
      <protection/>
    </xf>
    <xf numFmtId="0" fontId="7" fillId="0" borderId="0" xfId="0" applyFont="1" applyFill="1" applyAlignment="1" applyProtection="1">
      <alignment/>
      <protection/>
    </xf>
    <xf numFmtId="0" fontId="10" fillId="0" borderId="0" xfId="0" applyFont="1" applyFill="1" applyBorder="1" applyAlignment="1" applyProtection="1">
      <alignment horizontal="left"/>
      <protection/>
    </xf>
    <xf numFmtId="0" fontId="17" fillId="0" borderId="0" xfId="0" applyFont="1" applyFill="1" applyAlignment="1" applyProtection="1">
      <alignment/>
      <protection/>
    </xf>
    <xf numFmtId="0" fontId="11" fillId="0" borderId="0" xfId="0" applyFont="1" applyFill="1" applyBorder="1" applyAlignment="1" applyProtection="1">
      <alignment horizontal="left"/>
      <protection/>
    </xf>
    <xf numFmtId="0" fontId="24" fillId="0" borderId="0" xfId="0" applyFont="1" applyBorder="1" applyAlignment="1" applyProtection="1">
      <alignment horizontal="left"/>
      <protection/>
    </xf>
    <xf numFmtId="0" fontId="8" fillId="0" borderId="0" xfId="0" applyFont="1" applyBorder="1" applyAlignment="1" applyProtection="1">
      <alignment horizontal="left"/>
      <protection/>
    </xf>
    <xf numFmtId="0" fontId="10" fillId="0" borderId="0" xfId="0" applyFont="1" applyFill="1" applyBorder="1" applyAlignment="1" applyProtection="1">
      <alignment vertical="center"/>
      <protection/>
    </xf>
    <xf numFmtId="0" fontId="11" fillId="0" borderId="0" xfId="63" applyFont="1" applyFill="1" applyProtection="1">
      <alignment/>
      <protection/>
    </xf>
    <xf numFmtId="0" fontId="11" fillId="0" borderId="0" xfId="63" applyFont="1" applyFill="1" applyBorder="1" applyProtection="1">
      <alignment/>
      <protection/>
    </xf>
    <xf numFmtId="0" fontId="129" fillId="0" borderId="0" xfId="0" applyFont="1" applyFill="1" applyAlignment="1" applyProtection="1">
      <alignment/>
      <protection/>
    </xf>
    <xf numFmtId="2" fontId="11" fillId="0" borderId="0" xfId="0" applyNumberFormat="1" applyFont="1" applyFill="1" applyBorder="1" applyAlignment="1" applyProtection="1">
      <alignment horizontal="left"/>
      <protection/>
    </xf>
    <xf numFmtId="0" fontId="9" fillId="0" borderId="0" xfId="0" applyFont="1" applyFill="1" applyAlignment="1" applyProtection="1">
      <alignment/>
      <protection/>
    </xf>
    <xf numFmtId="167" fontId="11" fillId="0" borderId="11" xfId="0" applyNumberFormat="1" applyFont="1" applyFill="1" applyBorder="1" applyAlignment="1" applyProtection="1" quotePrefix="1">
      <alignment horizontal="center" vertical="center"/>
      <protection/>
    </xf>
    <xf numFmtId="4" fontId="11" fillId="0" borderId="11" xfId="0" applyNumberFormat="1" applyFont="1" applyFill="1" applyBorder="1" applyAlignment="1" applyProtection="1">
      <alignment horizontal="center" vertical="center"/>
      <protection/>
    </xf>
    <xf numFmtId="0" fontId="22" fillId="0" borderId="0" xfId="0" applyFont="1" applyFill="1" applyAlignment="1" applyProtection="1">
      <alignment vertical="center"/>
      <protection/>
    </xf>
    <xf numFmtId="0" fontId="9" fillId="0" borderId="0" xfId="0" applyFont="1" applyFill="1" applyBorder="1" applyAlignment="1" applyProtection="1">
      <alignment horizontal="left"/>
      <protection/>
    </xf>
    <xf numFmtId="0" fontId="13" fillId="0" borderId="0" xfId="63" applyFont="1" applyFill="1" applyBorder="1" applyAlignment="1" applyProtection="1">
      <alignment vertical="top"/>
      <protection/>
    </xf>
    <xf numFmtId="0" fontId="11" fillId="0" borderId="11" xfId="0" applyFont="1" applyFill="1" applyBorder="1" applyAlignment="1" applyProtection="1">
      <alignment horizontal="left" vertical="center"/>
      <protection/>
    </xf>
    <xf numFmtId="0" fontId="13" fillId="0" borderId="0" xfId="63" applyFont="1" applyFill="1" applyProtection="1">
      <alignment/>
      <protection/>
    </xf>
    <xf numFmtId="0" fontId="13" fillId="0" borderId="0" xfId="63" applyFont="1" applyFill="1" applyBorder="1" applyProtection="1">
      <alignment/>
      <protection/>
    </xf>
    <xf numFmtId="0" fontId="11" fillId="0" borderId="11" xfId="63" applyFont="1" applyFill="1" applyBorder="1" applyAlignment="1" applyProtection="1">
      <alignment horizontal="left"/>
      <protection/>
    </xf>
    <xf numFmtId="0" fontId="11" fillId="0" borderId="11" xfId="63" applyFont="1" applyFill="1" applyBorder="1" applyAlignment="1" applyProtection="1" quotePrefix="1">
      <alignment horizontal="left"/>
      <protection/>
    </xf>
    <xf numFmtId="167" fontId="11" fillId="0" borderId="11" xfId="66" applyNumberFormat="1" applyFont="1" applyFill="1" applyBorder="1" applyAlignment="1" applyProtection="1">
      <alignment horizontal="center" vertical="center" wrapText="1"/>
      <protection/>
    </xf>
    <xf numFmtId="3" fontId="11" fillId="0" borderId="11" xfId="66" applyNumberFormat="1" applyFont="1" applyFill="1" applyBorder="1" applyAlignment="1" applyProtection="1">
      <alignment horizontal="center" vertical="center" wrapText="1"/>
      <protection/>
    </xf>
    <xf numFmtId="0" fontId="11" fillId="0" borderId="11" xfId="0" applyFont="1" applyFill="1" applyBorder="1" applyAlignment="1" applyProtection="1">
      <alignment horizontal="left"/>
      <protection/>
    </xf>
    <xf numFmtId="9" fontId="11" fillId="43" borderId="11" xfId="66" applyNumberFormat="1" applyFont="1" applyFill="1" applyBorder="1" applyAlignment="1" applyProtection="1">
      <alignment horizontal="center"/>
      <protection locked="0"/>
    </xf>
    <xf numFmtId="3" fontId="11" fillId="43" borderId="11" xfId="66" applyNumberFormat="1" applyFont="1" applyFill="1" applyBorder="1" applyAlignment="1" applyProtection="1">
      <alignment horizontal="center"/>
      <protection locked="0"/>
    </xf>
    <xf numFmtId="0" fontId="11" fillId="0" borderId="11" xfId="0" applyFont="1" applyFill="1" applyBorder="1" applyAlignment="1" applyProtection="1">
      <alignment vertical="top" wrapText="1"/>
      <protection/>
    </xf>
    <xf numFmtId="0" fontId="2" fillId="39" borderId="11" xfId="0" applyFont="1" applyFill="1" applyBorder="1" applyAlignment="1" applyProtection="1">
      <alignment/>
      <protection/>
    </xf>
    <xf numFmtId="9" fontId="11" fillId="39" borderId="11" xfId="0" applyNumberFormat="1" applyFont="1" applyFill="1" applyBorder="1" applyAlignment="1" applyProtection="1">
      <alignment horizontal="center" vertical="center"/>
      <protection locked="0"/>
    </xf>
    <xf numFmtId="0" fontId="8" fillId="0" borderId="0" xfId="0" applyFont="1" applyFill="1" applyBorder="1" applyAlignment="1" applyProtection="1">
      <alignment horizontal="left"/>
      <protection/>
    </xf>
    <xf numFmtId="165" fontId="9" fillId="0" borderId="0" xfId="46" applyNumberFormat="1" applyFont="1" applyFill="1" applyBorder="1" applyAlignment="1" applyProtection="1">
      <alignment horizontal="center"/>
      <protection/>
    </xf>
    <xf numFmtId="165" fontId="9" fillId="0" borderId="0" xfId="0" applyNumberFormat="1" applyFont="1" applyFill="1" applyBorder="1" applyAlignment="1" applyProtection="1">
      <alignment horizontal="center"/>
      <protection/>
    </xf>
    <xf numFmtId="0" fontId="10" fillId="0" borderId="11" xfId="0" applyFont="1" applyFill="1" applyBorder="1" applyAlignment="1" applyProtection="1">
      <alignment horizontal="center" vertical="center"/>
      <protection/>
    </xf>
    <xf numFmtId="4" fontId="10" fillId="0" borderId="11" xfId="0" applyNumberFormat="1" applyFont="1" applyFill="1" applyBorder="1" applyAlignment="1" applyProtection="1">
      <alignment horizontal="center" vertical="center"/>
      <protection/>
    </xf>
    <xf numFmtId="3" fontId="11" fillId="0" borderId="11" xfId="0" applyNumberFormat="1" applyFont="1" applyFill="1" applyBorder="1" applyAlignment="1" applyProtection="1" quotePrefix="1">
      <alignment horizontal="center" vertical="center"/>
      <protection/>
    </xf>
    <xf numFmtId="0" fontId="0" fillId="0" borderId="0" xfId="0" applyAlignment="1" applyProtection="1">
      <alignment vertical="center" wrapText="1"/>
      <protection/>
    </xf>
    <xf numFmtId="0" fontId="11" fillId="0" borderId="11" xfId="0" applyFont="1" applyFill="1" applyBorder="1" applyAlignment="1" applyProtection="1">
      <alignment horizontal="center" vertical="center"/>
      <protection/>
    </xf>
    <xf numFmtId="0" fontId="9" fillId="0" borderId="0" xfId="0" applyFont="1" applyFill="1" applyBorder="1" applyAlignment="1" applyProtection="1">
      <alignment/>
      <protection/>
    </xf>
    <xf numFmtId="0" fontId="17" fillId="0" borderId="0" xfId="0" applyFont="1" applyFill="1" applyBorder="1" applyAlignment="1" applyProtection="1">
      <alignment/>
      <protection/>
    </xf>
    <xf numFmtId="0" fontId="25" fillId="0" borderId="0" xfId="0" applyFont="1" applyFill="1" applyBorder="1" applyAlignment="1" applyProtection="1">
      <alignment horizontal="left"/>
      <protection/>
    </xf>
    <xf numFmtId="0" fontId="25" fillId="0" borderId="0" xfId="0" applyFont="1" applyFill="1" applyBorder="1" applyAlignment="1" applyProtection="1">
      <alignment horizontal="center"/>
      <protection/>
    </xf>
    <xf numFmtId="0" fontId="29" fillId="0" borderId="0" xfId="63" applyFont="1" applyFill="1" applyBorder="1" applyProtection="1">
      <alignment/>
      <protection/>
    </xf>
    <xf numFmtId="0" fontId="11" fillId="0" borderId="11" xfId="0" applyFont="1" applyFill="1" applyBorder="1" applyAlignment="1" applyProtection="1">
      <alignment vertical="center"/>
      <protection/>
    </xf>
    <xf numFmtId="0" fontId="29" fillId="0" borderId="0" xfId="0" applyFont="1" applyFill="1" applyBorder="1" applyAlignment="1" applyProtection="1">
      <alignment vertical="center"/>
      <protection/>
    </xf>
    <xf numFmtId="0" fontId="29" fillId="0" borderId="0" xfId="63" applyFont="1" applyFill="1" applyProtection="1">
      <alignment/>
      <protection/>
    </xf>
    <xf numFmtId="0" fontId="29" fillId="0" borderId="0" xfId="0" applyFont="1" applyFill="1" applyBorder="1" applyAlignment="1" applyProtection="1">
      <alignment horizontal="left" vertical="center" indent="1"/>
      <protection/>
    </xf>
    <xf numFmtId="3" fontId="11" fillId="0" borderId="11" xfId="0" applyNumberFormat="1" applyFont="1" applyFill="1" applyBorder="1" applyAlignment="1" applyProtection="1">
      <alignment horizontal="center" vertical="center"/>
      <protection/>
    </xf>
    <xf numFmtId="0" fontId="129" fillId="0" borderId="0" xfId="0" applyFont="1" applyFill="1" applyAlignment="1" applyProtection="1">
      <alignment horizontal="left" indent="1"/>
      <protection/>
    </xf>
    <xf numFmtId="0" fontId="7" fillId="0" borderId="13" xfId="0" applyFont="1" applyFill="1" applyBorder="1" applyAlignment="1" applyProtection="1">
      <alignment/>
      <protection/>
    </xf>
    <xf numFmtId="0" fontId="7" fillId="0" borderId="13" xfId="0" applyFont="1" applyFill="1" applyBorder="1" applyAlignment="1" applyProtection="1">
      <alignment horizontal="left"/>
      <protection/>
    </xf>
    <xf numFmtId="0" fontId="7" fillId="0" borderId="13" xfId="0" applyFont="1" applyFill="1" applyBorder="1" applyAlignment="1" applyProtection="1">
      <alignment horizontal="center"/>
      <protection/>
    </xf>
    <xf numFmtId="0" fontId="8" fillId="0" borderId="0" xfId="0" applyFont="1" applyFill="1" applyBorder="1" applyAlignment="1" applyProtection="1">
      <alignment horizontal="left" vertical="center"/>
      <protection/>
    </xf>
    <xf numFmtId="0" fontId="9" fillId="0" borderId="0" xfId="0" applyFont="1" applyFill="1" applyAlignment="1" applyProtection="1">
      <alignment horizontal="left"/>
      <protection/>
    </xf>
    <xf numFmtId="0" fontId="9" fillId="0" borderId="0" xfId="0" applyFont="1" applyFill="1" applyAlignment="1" applyProtection="1">
      <alignment horizontal="center"/>
      <protection/>
    </xf>
    <xf numFmtId="0" fontId="130" fillId="0" borderId="0" xfId="0" applyFont="1" applyFill="1" applyAlignment="1" applyProtection="1">
      <alignment horizontal="center"/>
      <protection/>
    </xf>
    <xf numFmtId="0" fontId="13" fillId="0" borderId="0" xfId="0" applyFont="1" applyFill="1" applyAlignment="1" applyProtection="1">
      <alignment horizontal="left" vertical="center"/>
      <protection/>
    </xf>
    <xf numFmtId="0" fontId="11" fillId="0" borderId="0" xfId="0" applyFont="1" applyFill="1" applyAlignment="1" applyProtection="1">
      <alignment horizontal="left"/>
      <protection/>
    </xf>
    <xf numFmtId="0" fontId="11" fillId="0" borderId="0" xfId="0" applyFont="1" applyFill="1" applyAlignment="1" applyProtection="1" quotePrefix="1">
      <alignment horizontal="left"/>
      <protection/>
    </xf>
    <xf numFmtId="0" fontId="18" fillId="0" borderId="0" xfId="55" applyAlignment="1" applyProtection="1">
      <alignment horizontal="left"/>
      <protection/>
    </xf>
    <xf numFmtId="0" fontId="11" fillId="0" borderId="0" xfId="0" applyFont="1" applyAlignment="1">
      <alignment horizontal="left"/>
    </xf>
    <xf numFmtId="0" fontId="11" fillId="0" borderId="0" xfId="0" applyFont="1" applyFill="1" applyBorder="1" applyAlignment="1" applyProtection="1">
      <alignment horizontal="left" vertical="center"/>
      <protection/>
    </xf>
    <xf numFmtId="0" fontId="11" fillId="0" borderId="0" xfId="0" applyFont="1" applyFill="1" applyAlignment="1" applyProtection="1" quotePrefix="1">
      <alignment horizontal="right"/>
      <protection/>
    </xf>
    <xf numFmtId="0" fontId="131" fillId="0" borderId="0" xfId="0" applyFont="1" applyFill="1" applyAlignment="1" applyProtection="1">
      <alignment horizontal="left"/>
      <protection/>
    </xf>
    <xf numFmtId="0" fontId="13" fillId="0" borderId="0" xfId="63" applyFont="1" applyFill="1" applyAlignment="1" applyProtection="1">
      <alignment horizontal="right" vertical="top"/>
      <protection/>
    </xf>
    <xf numFmtId="0" fontId="13" fillId="0" borderId="0" xfId="63" applyFont="1" applyFill="1" applyAlignment="1" applyProtection="1">
      <alignment horizontal="left" vertical="top"/>
      <protection/>
    </xf>
    <xf numFmtId="3" fontId="11" fillId="43" borderId="11" xfId="66" applyNumberFormat="1" applyFont="1" applyFill="1" applyBorder="1" applyAlignment="1" applyProtection="1">
      <alignment horizontal="center" vertical="center"/>
      <protection/>
    </xf>
    <xf numFmtId="4" fontId="11" fillId="43" borderId="11" xfId="66" applyNumberFormat="1" applyFont="1" applyFill="1" applyBorder="1" applyAlignment="1" applyProtection="1">
      <alignment horizontal="center"/>
      <protection/>
    </xf>
    <xf numFmtId="0" fontId="10" fillId="0" borderId="11" xfId="63" applyFont="1" applyFill="1" applyBorder="1" applyAlignment="1" applyProtection="1">
      <alignment horizontal="left"/>
      <protection/>
    </xf>
    <xf numFmtId="0" fontId="10" fillId="0" borderId="11" xfId="63" applyFont="1" applyFill="1" applyBorder="1" applyAlignment="1" applyProtection="1" quotePrefix="1">
      <alignment horizontal="left"/>
      <protection/>
    </xf>
    <xf numFmtId="0" fontId="0" fillId="0" borderId="11" xfId="0" applyBorder="1" applyAlignment="1">
      <alignment/>
    </xf>
    <xf numFmtId="0" fontId="2" fillId="0" borderId="11" xfId="0" applyFont="1" applyBorder="1" applyAlignment="1" applyProtection="1">
      <alignment/>
      <protection/>
    </xf>
    <xf numFmtId="0" fontId="114" fillId="33" borderId="0" xfId="0" applyFont="1" applyFill="1" applyAlignment="1" applyProtection="1">
      <alignment/>
      <protection/>
    </xf>
    <xf numFmtId="0" fontId="0" fillId="0" borderId="0" xfId="0" applyAlignment="1">
      <alignment vertical="center"/>
    </xf>
    <xf numFmtId="0" fontId="0" fillId="44" borderId="11" xfId="0" applyFill="1" applyBorder="1" applyAlignment="1" applyProtection="1">
      <alignment horizontal="right"/>
      <protection/>
    </xf>
    <xf numFmtId="0" fontId="0" fillId="0" borderId="0" xfId="0" applyFill="1" applyAlignment="1" applyProtection="1">
      <alignment vertical="center"/>
      <protection/>
    </xf>
    <xf numFmtId="0" fontId="0" fillId="0" borderId="0" xfId="0" applyFill="1" applyAlignment="1">
      <alignment vertical="center"/>
    </xf>
    <xf numFmtId="0" fontId="121" fillId="0" borderId="0" xfId="0" applyFont="1" applyFill="1" applyBorder="1" applyAlignment="1">
      <alignment vertical="center"/>
    </xf>
    <xf numFmtId="0" fontId="0" fillId="34" borderId="0" xfId="0" applyFill="1" applyAlignment="1" applyProtection="1">
      <alignment horizontal="center"/>
      <protection/>
    </xf>
    <xf numFmtId="0" fontId="0" fillId="0" borderId="0" xfId="0" applyFill="1" applyAlignment="1" applyProtection="1">
      <alignment horizontal="center"/>
      <protection/>
    </xf>
    <xf numFmtId="0" fontId="0" fillId="0" borderId="0" xfId="0" applyFill="1" applyAlignment="1">
      <alignment horizontal="center"/>
    </xf>
    <xf numFmtId="178" fontId="0" fillId="16" borderId="11" xfId="0" applyNumberFormat="1" applyFill="1" applyBorder="1" applyAlignment="1" applyProtection="1">
      <alignment horizontal="center"/>
      <protection locked="0"/>
    </xf>
    <xf numFmtId="0" fontId="118" fillId="33" borderId="0" xfId="0" applyFont="1" applyFill="1" applyAlignment="1">
      <alignment/>
    </xf>
    <xf numFmtId="0" fontId="114" fillId="33" borderId="0" xfId="0" applyFont="1" applyFill="1" applyAlignment="1" applyProtection="1">
      <alignment vertical="center"/>
      <protection/>
    </xf>
    <xf numFmtId="0" fontId="115" fillId="33" borderId="0" xfId="0" applyFont="1" applyFill="1" applyAlignment="1" applyProtection="1">
      <alignment/>
      <protection/>
    </xf>
    <xf numFmtId="0" fontId="117" fillId="45" borderId="11" xfId="0" applyFont="1" applyFill="1" applyBorder="1" applyAlignment="1" applyProtection="1">
      <alignment horizontal="center" wrapText="1"/>
      <protection/>
    </xf>
    <xf numFmtId="0" fontId="114" fillId="33" borderId="0" xfId="0" applyFont="1" applyFill="1" applyBorder="1" applyAlignment="1" applyProtection="1">
      <alignment/>
      <protection/>
    </xf>
    <xf numFmtId="0" fontId="0" fillId="33" borderId="0" xfId="0" applyFill="1" applyAlignment="1" applyProtection="1">
      <alignment horizontal="left"/>
      <protection/>
    </xf>
    <xf numFmtId="0" fontId="114" fillId="33" borderId="0" xfId="0" applyFont="1" applyFill="1" applyAlignment="1" applyProtection="1">
      <alignment/>
      <protection/>
    </xf>
    <xf numFmtId="0" fontId="0" fillId="33" borderId="0" xfId="0" applyFill="1" applyAlignment="1">
      <alignment vertical="center"/>
    </xf>
    <xf numFmtId="0" fontId="101" fillId="35" borderId="11" xfId="0" applyFont="1" applyFill="1" applyBorder="1" applyAlignment="1" applyProtection="1">
      <alignment horizontal="center"/>
      <protection/>
    </xf>
    <xf numFmtId="0" fontId="0" fillId="0" borderId="0" xfId="0" applyFont="1" applyFill="1" applyBorder="1" applyAlignment="1" applyProtection="1">
      <alignment/>
      <protection/>
    </xf>
    <xf numFmtId="9" fontId="98" fillId="33" borderId="0" xfId="69" applyFont="1" applyFill="1" applyBorder="1" applyAlignment="1" applyProtection="1">
      <alignment/>
      <protection/>
    </xf>
    <xf numFmtId="0" fontId="98" fillId="33" borderId="0" xfId="0" applyFont="1" applyFill="1" applyBorder="1" applyAlignment="1" applyProtection="1">
      <alignment/>
      <protection/>
    </xf>
    <xf numFmtId="0" fontId="67" fillId="33" borderId="0" xfId="0" applyFont="1" applyFill="1" applyBorder="1" applyAlignment="1" applyProtection="1">
      <alignment horizontal="right" vertical="top"/>
      <protection/>
    </xf>
    <xf numFmtId="0" fontId="0" fillId="34" borderId="0" xfId="0" applyFill="1" applyBorder="1" applyAlignment="1" applyProtection="1">
      <alignment/>
      <protection/>
    </xf>
    <xf numFmtId="0" fontId="0" fillId="0" borderId="0" xfId="0" applyFill="1" applyBorder="1" applyAlignment="1" applyProtection="1">
      <alignment/>
      <protection/>
    </xf>
    <xf numFmtId="0" fontId="0" fillId="0" borderId="0" xfId="0" applyFont="1" applyFill="1" applyBorder="1" applyAlignment="1" applyProtection="1">
      <alignment/>
      <protection/>
    </xf>
    <xf numFmtId="0" fontId="0" fillId="0" borderId="0" xfId="0" applyFill="1" applyBorder="1" applyAlignment="1" applyProtection="1">
      <alignment vertical="center"/>
      <protection/>
    </xf>
    <xf numFmtId="0" fontId="0" fillId="34" borderId="0" xfId="0" applyFill="1" applyAlignment="1" applyProtection="1">
      <alignment vertical="center" wrapText="1"/>
      <protection/>
    </xf>
    <xf numFmtId="0" fontId="0" fillId="46" borderId="11" xfId="0" applyFont="1" applyFill="1" applyBorder="1" applyAlignment="1" applyProtection="1">
      <alignment horizontal="left"/>
      <protection locked="0"/>
    </xf>
    <xf numFmtId="0" fontId="114" fillId="33" borderId="0" xfId="0" applyFont="1" applyFill="1" applyAlignment="1" applyProtection="1">
      <alignment vertical="center" wrapText="1"/>
      <protection/>
    </xf>
    <xf numFmtId="0" fontId="114" fillId="33" borderId="0" xfId="0" applyFont="1" applyFill="1" applyAlignment="1" applyProtection="1">
      <alignment horizontal="left"/>
      <protection/>
    </xf>
    <xf numFmtId="0" fontId="118" fillId="33" borderId="0" xfId="0" applyFont="1" applyFill="1" applyAlignment="1" applyProtection="1">
      <alignment horizontal="left"/>
      <protection/>
    </xf>
    <xf numFmtId="0" fontId="0" fillId="0" borderId="0" xfId="0" applyAlignment="1">
      <alignment vertical="center"/>
    </xf>
    <xf numFmtId="0" fontId="0" fillId="0" borderId="0" xfId="0" applyAlignment="1">
      <alignment/>
    </xf>
    <xf numFmtId="0" fontId="118" fillId="33" borderId="0" xfId="0" applyFont="1" applyFill="1" applyAlignment="1" applyProtection="1">
      <alignment/>
      <protection/>
    </xf>
    <xf numFmtId="0" fontId="114" fillId="33" borderId="0" xfId="0" applyFont="1" applyFill="1" applyBorder="1" applyAlignment="1" applyProtection="1">
      <alignment/>
      <protection/>
    </xf>
    <xf numFmtId="0" fontId="0" fillId="33" borderId="0" xfId="0" applyFill="1" applyAlignment="1" applyProtection="1">
      <alignment horizontal="left"/>
      <protection/>
    </xf>
    <xf numFmtId="0" fontId="114" fillId="33" borderId="0" xfId="0" applyFont="1" applyFill="1" applyAlignment="1" applyProtection="1">
      <alignment vertical="center"/>
      <protection/>
    </xf>
    <xf numFmtId="0" fontId="0" fillId="33" borderId="0" xfId="0" applyFill="1" applyAlignment="1" applyProtection="1">
      <alignment/>
      <protection/>
    </xf>
    <xf numFmtId="0" fontId="114" fillId="33" borderId="0" xfId="0" applyFont="1" applyFill="1" applyAlignment="1" applyProtection="1">
      <alignment/>
      <protection/>
    </xf>
    <xf numFmtId="0" fontId="114" fillId="33" borderId="0" xfId="0" applyFont="1" applyFill="1" applyAlignment="1" applyProtection="1">
      <alignment vertical="center" wrapText="1"/>
      <protection/>
    </xf>
    <xf numFmtId="0" fontId="118" fillId="33" borderId="0" xfId="0" applyFont="1" applyFill="1" applyAlignment="1">
      <alignment horizontal="left"/>
    </xf>
    <xf numFmtId="0" fontId="0" fillId="33" borderId="0" xfId="0" applyFill="1" applyBorder="1" applyAlignment="1" applyProtection="1">
      <alignment/>
      <protection/>
    </xf>
    <xf numFmtId="0" fontId="66" fillId="33" borderId="0" xfId="0" applyFont="1" applyFill="1" applyAlignment="1">
      <alignment horizontal="left" wrapText="1"/>
    </xf>
    <xf numFmtId="0" fontId="0" fillId="0" borderId="0" xfId="0" applyAlignment="1">
      <alignment/>
    </xf>
    <xf numFmtId="0" fontId="0" fillId="0" borderId="0" xfId="0" applyAlignment="1">
      <alignment vertical="center"/>
    </xf>
    <xf numFmtId="0" fontId="114" fillId="0" borderId="0" xfId="0" applyFont="1" applyAlignment="1">
      <alignment horizontal="left"/>
    </xf>
    <xf numFmtId="0" fontId="0" fillId="0" borderId="0" xfId="0" applyFont="1" applyAlignment="1">
      <alignment horizontal="left" wrapText="1"/>
    </xf>
    <xf numFmtId="0" fontId="0" fillId="0" borderId="0" xfId="0" applyFont="1" applyBorder="1" applyAlignment="1">
      <alignment horizontal="left" wrapText="1"/>
    </xf>
    <xf numFmtId="0" fontId="117" fillId="35" borderId="11" xfId="0" applyFont="1" applyFill="1" applyBorder="1" applyAlignment="1" applyProtection="1">
      <alignment horizontal="center"/>
      <protection/>
    </xf>
    <xf numFmtId="0" fontId="117" fillId="35" borderId="11" xfId="0" applyFont="1" applyFill="1" applyBorder="1" applyAlignment="1" applyProtection="1">
      <alignment horizontal="center" wrapText="1"/>
      <protection/>
    </xf>
    <xf numFmtId="0" fontId="115" fillId="0" borderId="0" xfId="0" applyFont="1" applyAlignment="1">
      <alignment horizontal="left"/>
    </xf>
    <xf numFmtId="3" fontId="0" fillId="5" borderId="17" xfId="0" applyNumberFormat="1" applyFill="1" applyBorder="1" applyAlignment="1" applyProtection="1">
      <alignment horizontal="center"/>
      <protection/>
    </xf>
    <xf numFmtId="0" fontId="0" fillId="34" borderId="0" xfId="0" applyFill="1" applyAlignment="1" applyProtection="1">
      <alignment vertical="top"/>
      <protection/>
    </xf>
    <xf numFmtId="0" fontId="0" fillId="33" borderId="0" xfId="0" applyFill="1" applyAlignment="1" applyProtection="1">
      <alignment vertical="top" wrapText="1"/>
      <protection/>
    </xf>
    <xf numFmtId="0" fontId="0" fillId="0" borderId="0" xfId="0" applyAlignment="1">
      <alignment vertical="top"/>
    </xf>
    <xf numFmtId="3" fontId="0" fillId="47" borderId="11" xfId="0" applyNumberFormat="1" applyFill="1" applyBorder="1" applyAlignment="1" applyProtection="1">
      <alignment horizontal="center"/>
      <protection/>
    </xf>
    <xf numFmtId="0" fontId="115" fillId="0" borderId="0" xfId="0" applyFont="1" applyAlignment="1">
      <alignment vertical="center"/>
    </xf>
    <xf numFmtId="0" fontId="0" fillId="33" borderId="0" xfId="0" applyFill="1" applyAlignment="1" applyProtection="1">
      <alignment wrapText="1"/>
      <protection/>
    </xf>
    <xf numFmtId="0" fontId="0" fillId="33" borderId="0" xfId="0" applyFont="1" applyFill="1" applyAlignment="1" applyProtection="1">
      <alignment/>
      <protection/>
    </xf>
    <xf numFmtId="0" fontId="118" fillId="33" borderId="0" xfId="0" applyFont="1" applyFill="1" applyAlignment="1" applyProtection="1">
      <alignment/>
      <protection/>
    </xf>
    <xf numFmtId="0" fontId="0" fillId="33" borderId="0" xfId="0" applyFill="1" applyAlignment="1" applyProtection="1">
      <alignment/>
      <protection/>
    </xf>
    <xf numFmtId="0" fontId="114" fillId="33" borderId="0" xfId="0" applyFont="1" applyFill="1" applyAlignment="1" applyProtection="1">
      <alignment/>
      <protection/>
    </xf>
    <xf numFmtId="0" fontId="0" fillId="33" borderId="0" xfId="0" applyFill="1" applyAlignment="1">
      <alignment vertical="center"/>
    </xf>
    <xf numFmtId="0" fontId="0" fillId="0" borderId="0" xfId="0" applyAlignment="1">
      <alignment vertical="center"/>
    </xf>
    <xf numFmtId="0" fontId="0" fillId="33" borderId="0" xfId="0" applyFill="1" applyAlignment="1" applyProtection="1">
      <alignment vertical="center"/>
      <protection/>
    </xf>
    <xf numFmtId="0" fontId="0" fillId="33" borderId="19" xfId="0" applyFill="1" applyBorder="1" applyAlignment="1" applyProtection="1">
      <alignment/>
      <protection/>
    </xf>
    <xf numFmtId="0" fontId="0" fillId="0" borderId="0" xfId="0" applyFill="1" applyBorder="1" applyAlignment="1" applyProtection="1">
      <alignment wrapText="1"/>
      <protection/>
    </xf>
    <xf numFmtId="0" fontId="119" fillId="34" borderId="0" xfId="0" applyFont="1" applyFill="1" applyAlignment="1" applyProtection="1">
      <alignment wrapText="1"/>
      <protection/>
    </xf>
    <xf numFmtId="0" fontId="117" fillId="33" borderId="0" xfId="0" applyFont="1" applyFill="1" applyBorder="1" applyAlignment="1" applyProtection="1">
      <alignment horizontal="center" wrapText="1"/>
      <protection/>
    </xf>
    <xf numFmtId="0" fontId="114" fillId="33" borderId="0" xfId="0" applyFont="1" applyFill="1" applyAlignment="1">
      <alignment/>
    </xf>
    <xf numFmtId="0" fontId="0" fillId="33" borderId="0" xfId="0" applyFill="1" applyAlignment="1">
      <alignment vertical="top"/>
    </xf>
    <xf numFmtId="3" fontId="0" fillId="34" borderId="0" xfId="0" applyNumberFormat="1" applyFill="1" applyAlignment="1" applyProtection="1">
      <alignment vertical="top"/>
      <protection/>
    </xf>
    <xf numFmtId="0" fontId="0" fillId="0" borderId="0" xfId="0" applyFill="1" applyAlignment="1" applyProtection="1">
      <alignment vertical="top"/>
      <protection/>
    </xf>
    <xf numFmtId="4" fontId="115" fillId="34" borderId="0" xfId="0" applyNumberFormat="1" applyFont="1" applyFill="1" applyAlignment="1" applyProtection="1">
      <alignment/>
      <protection/>
    </xf>
    <xf numFmtId="3" fontId="114" fillId="5" borderId="11" xfId="0" applyNumberFormat="1" applyFont="1" applyFill="1" applyBorder="1" applyAlignment="1" applyProtection="1">
      <alignment horizontal="center"/>
      <protection/>
    </xf>
    <xf numFmtId="178" fontId="114" fillId="5" borderId="11" xfId="0" applyNumberFormat="1" applyFont="1" applyFill="1" applyBorder="1" applyAlignment="1" applyProtection="1">
      <alignment horizontal="center" vertical="center"/>
      <protection/>
    </xf>
    <xf numFmtId="3" fontId="114" fillId="5" borderId="11" xfId="0" applyNumberFormat="1" applyFont="1" applyFill="1" applyBorder="1" applyAlignment="1" applyProtection="1">
      <alignment horizontal="center" vertical="center"/>
      <protection/>
    </xf>
    <xf numFmtId="167" fontId="114" fillId="5" borderId="11" xfId="0" applyNumberFormat="1" applyFont="1" applyFill="1" applyBorder="1" applyAlignment="1" applyProtection="1">
      <alignment horizontal="center"/>
      <protection/>
    </xf>
    <xf numFmtId="178" fontId="114" fillId="5" borderId="11" xfId="0" applyNumberFormat="1" applyFont="1" applyFill="1" applyBorder="1" applyAlignment="1" applyProtection="1">
      <alignment horizontal="center"/>
      <protection/>
    </xf>
    <xf numFmtId="0" fontId="117" fillId="35" borderId="11" xfId="0" applyFont="1" applyFill="1" applyBorder="1" applyAlignment="1" applyProtection="1">
      <alignment horizontal="center" wrapText="1"/>
      <protection/>
    </xf>
    <xf numFmtId="166" fontId="2" fillId="47" borderId="11" xfId="69" applyNumberFormat="1" applyFont="1" applyFill="1" applyBorder="1" applyAlignment="1" applyProtection="1">
      <alignment horizontal="left" vertical="top"/>
      <protection/>
    </xf>
    <xf numFmtId="3" fontId="0" fillId="0" borderId="20" xfId="0" applyNumberFormat="1" applyBorder="1" applyAlignment="1">
      <alignment/>
    </xf>
    <xf numFmtId="4" fontId="0" fillId="0" borderId="21" xfId="0" applyNumberFormat="1" applyBorder="1" applyAlignment="1">
      <alignment/>
    </xf>
    <xf numFmtId="3" fontId="0" fillId="0" borderId="22" xfId="0" applyNumberFormat="1" applyBorder="1" applyAlignment="1">
      <alignment/>
    </xf>
    <xf numFmtId="4" fontId="0" fillId="0" borderId="23" xfId="0" applyNumberFormat="1" applyBorder="1" applyAlignment="1">
      <alignment/>
    </xf>
    <xf numFmtId="0" fontId="114" fillId="48" borderId="24" xfId="0" applyFont="1" applyFill="1" applyBorder="1" applyAlignment="1">
      <alignment/>
    </xf>
    <xf numFmtId="4" fontId="114" fillId="48" borderId="25" xfId="0" applyNumberFormat="1" applyFont="1" applyFill="1" applyBorder="1" applyAlignment="1">
      <alignment horizontal="right"/>
    </xf>
    <xf numFmtId="168" fontId="0" fillId="0" borderId="21" xfId="0" applyNumberFormat="1" applyBorder="1" applyAlignment="1">
      <alignment/>
    </xf>
    <xf numFmtId="168" fontId="0" fillId="0" borderId="23" xfId="0" applyNumberFormat="1" applyBorder="1" applyAlignment="1">
      <alignment/>
    </xf>
    <xf numFmtId="168" fontId="114" fillId="48" borderId="25" xfId="0" applyNumberFormat="1" applyFont="1" applyFill="1" applyBorder="1" applyAlignment="1">
      <alignment horizontal="right"/>
    </xf>
    <xf numFmtId="172" fontId="0" fillId="0" borderId="21" xfId="0" applyNumberFormat="1" applyBorder="1" applyAlignment="1">
      <alignment/>
    </xf>
    <xf numFmtId="172" fontId="66" fillId="0" borderId="21" xfId="0" applyNumberFormat="1" applyFont="1" applyBorder="1" applyAlignment="1">
      <alignment/>
    </xf>
    <xf numFmtId="3" fontId="66" fillId="0" borderId="23" xfId="0" applyNumberFormat="1" applyFont="1" applyBorder="1" applyAlignment="1">
      <alignment/>
    </xf>
    <xf numFmtId="171" fontId="114" fillId="48" borderId="25" xfId="0" applyNumberFormat="1" applyFont="1" applyFill="1" applyBorder="1" applyAlignment="1">
      <alignment horizontal="right"/>
    </xf>
    <xf numFmtId="3" fontId="0" fillId="0" borderId="21" xfId="0" applyNumberFormat="1" applyBorder="1" applyAlignment="1">
      <alignment/>
    </xf>
    <xf numFmtId="3" fontId="0" fillId="0" borderId="23" xfId="0" applyNumberFormat="1" applyBorder="1" applyAlignment="1">
      <alignment/>
    </xf>
    <xf numFmtId="0" fontId="0" fillId="0" borderId="0" xfId="0" applyAlignment="1">
      <alignment/>
    </xf>
    <xf numFmtId="0" fontId="0" fillId="0" borderId="0" xfId="0" applyAlignment="1">
      <alignment vertical="top"/>
    </xf>
    <xf numFmtId="0" fontId="101" fillId="35" borderId="26" xfId="0" applyFont="1" applyFill="1" applyBorder="1" applyAlignment="1" applyProtection="1">
      <alignment horizontal="center" vertical="top"/>
      <protection/>
    </xf>
    <xf numFmtId="0" fontId="101" fillId="35" borderId="27" xfId="0" applyFont="1" applyFill="1" applyBorder="1" applyAlignment="1" applyProtection="1">
      <alignment horizontal="center" vertical="top"/>
      <protection/>
    </xf>
    <xf numFmtId="2" fontId="0" fillId="0" borderId="0" xfId="0" applyNumberFormat="1" applyBorder="1" applyAlignment="1">
      <alignment horizontal="center" vertical="top"/>
    </xf>
    <xf numFmtId="0" fontId="0" fillId="0" borderId="0" xfId="0" applyBorder="1" applyAlignment="1">
      <alignment vertical="top"/>
    </xf>
    <xf numFmtId="0" fontId="0" fillId="38" borderId="28" xfId="0" applyFont="1" applyFill="1" applyBorder="1" applyAlignment="1" applyProtection="1">
      <alignment vertical="top"/>
      <protection locked="0"/>
    </xf>
    <xf numFmtId="0" fontId="0" fillId="0" borderId="29" xfId="0" applyBorder="1" applyAlignment="1">
      <alignment vertical="top"/>
    </xf>
    <xf numFmtId="0" fontId="0" fillId="0" borderId="30" xfId="0" applyBorder="1" applyAlignment="1">
      <alignment vertical="top"/>
    </xf>
    <xf numFmtId="0" fontId="0" fillId="0" borderId="31" xfId="0" applyBorder="1" applyAlignment="1">
      <alignment vertical="top"/>
    </xf>
    <xf numFmtId="0" fontId="0" fillId="0" borderId="29" xfId="0" applyNumberFormat="1" applyFill="1" applyBorder="1" applyAlignment="1">
      <alignment vertical="top"/>
    </xf>
    <xf numFmtId="0" fontId="0" fillId="0" borderId="30" xfId="0" applyNumberFormat="1" applyFill="1" applyBorder="1" applyAlignment="1">
      <alignment vertical="top"/>
    </xf>
    <xf numFmtId="0" fontId="0" fillId="0" borderId="31" xfId="0" applyNumberFormat="1" applyFill="1" applyBorder="1" applyAlignment="1">
      <alignment vertical="top"/>
    </xf>
    <xf numFmtId="0" fontId="0" fillId="38" borderId="32" xfId="0" applyFont="1" applyFill="1" applyBorder="1" applyAlignment="1" applyProtection="1">
      <alignment vertical="top"/>
      <protection locked="0"/>
    </xf>
    <xf numFmtId="0" fontId="0" fillId="38" borderId="29" xfId="0" applyFont="1" applyFill="1" applyBorder="1" applyAlignment="1" applyProtection="1">
      <alignment vertical="top"/>
      <protection locked="0"/>
    </xf>
    <xf numFmtId="3" fontId="0" fillId="38" borderId="29" xfId="0" applyNumberFormat="1" applyFont="1" applyFill="1" applyBorder="1" applyAlignment="1" applyProtection="1">
      <alignment vertical="top"/>
      <protection locked="0"/>
    </xf>
    <xf numFmtId="3" fontId="0" fillId="38" borderId="28" xfId="0" applyNumberFormat="1" applyFont="1" applyFill="1" applyBorder="1" applyAlignment="1" applyProtection="1">
      <alignment vertical="top"/>
      <protection locked="0"/>
    </xf>
    <xf numFmtId="3" fontId="0" fillId="0" borderId="0" xfId="0" applyNumberFormat="1" applyAlignment="1">
      <alignment vertical="top"/>
    </xf>
    <xf numFmtId="0" fontId="0" fillId="33" borderId="0" xfId="0" applyFill="1" applyAlignment="1" applyProtection="1">
      <alignment vertical="top"/>
      <protection/>
    </xf>
    <xf numFmtId="0" fontId="0" fillId="44" borderId="11" xfId="0" applyFill="1" applyBorder="1" applyAlignment="1" applyProtection="1">
      <alignment vertical="top"/>
      <protection/>
    </xf>
    <xf numFmtId="179" fontId="0" fillId="44" borderId="11" xfId="69" applyNumberFormat="1" applyFont="1" applyFill="1" applyBorder="1" applyAlignment="1" applyProtection="1">
      <alignment vertical="top"/>
      <protection/>
    </xf>
    <xf numFmtId="0" fontId="0" fillId="0" borderId="0" xfId="0" applyNumberFormat="1" applyFill="1" applyBorder="1" applyAlignment="1">
      <alignment horizontal="center" vertical="top"/>
    </xf>
    <xf numFmtId="167" fontId="0" fillId="9" borderId="11" xfId="0" applyNumberFormat="1" applyFill="1" applyBorder="1" applyAlignment="1" applyProtection="1">
      <alignment horizontal="right" vertical="top"/>
      <protection/>
    </xf>
    <xf numFmtId="3" fontId="0" fillId="9" borderId="11" xfId="0" applyNumberFormat="1" applyFill="1" applyBorder="1" applyAlignment="1" applyProtection="1">
      <alignment vertical="top"/>
      <protection/>
    </xf>
    <xf numFmtId="0" fontId="0" fillId="9" borderId="11" xfId="0" applyFill="1" applyBorder="1" applyAlignment="1" applyProtection="1">
      <alignment vertical="top"/>
      <protection/>
    </xf>
    <xf numFmtId="167" fontId="0" fillId="9" borderId="11" xfId="0" applyNumberFormat="1" applyFill="1" applyBorder="1" applyAlignment="1" applyProtection="1">
      <alignment vertical="top"/>
      <protection/>
    </xf>
    <xf numFmtId="4" fontId="0" fillId="9" borderId="11" xfId="0" applyNumberFormat="1" applyFill="1" applyBorder="1" applyAlignment="1" applyProtection="1">
      <alignment vertical="top"/>
      <protection/>
    </xf>
    <xf numFmtId="178" fontId="0" fillId="16" borderId="11" xfId="0" applyNumberFormat="1" applyFill="1" applyBorder="1" applyAlignment="1" applyProtection="1">
      <alignment horizontal="center" vertical="top"/>
      <protection/>
    </xf>
    <xf numFmtId="9" fontId="0" fillId="9" borderId="11" xfId="69" applyFont="1" applyFill="1" applyBorder="1" applyAlignment="1" applyProtection="1">
      <alignment horizontal="right" vertical="top"/>
      <protection/>
    </xf>
    <xf numFmtId="174" fontId="0" fillId="9" borderId="11" xfId="0" applyNumberFormat="1" applyFill="1" applyBorder="1" applyAlignment="1" applyProtection="1">
      <alignment horizontal="right" vertical="top"/>
      <protection/>
    </xf>
    <xf numFmtId="177" fontId="0" fillId="9" borderId="11" xfId="0" applyNumberFormat="1" applyFill="1" applyBorder="1" applyAlignment="1" applyProtection="1">
      <alignment horizontal="right" vertical="top"/>
      <protection/>
    </xf>
    <xf numFmtId="3" fontId="66" fillId="49" borderId="33" xfId="60" applyNumberFormat="1" applyFont="1" applyFill="1" applyBorder="1" applyAlignment="1" applyProtection="1">
      <alignment horizontal="left" vertical="top"/>
      <protection locked="0"/>
    </xf>
    <xf numFmtId="3" fontId="66" fillId="49" borderId="34" xfId="60" applyNumberFormat="1" applyFont="1" applyFill="1" applyBorder="1" applyAlignment="1" applyProtection="1">
      <alignment horizontal="left" vertical="top"/>
      <protection locked="0"/>
    </xf>
    <xf numFmtId="0" fontId="114" fillId="0" borderId="0" xfId="0" applyFont="1" applyAlignment="1">
      <alignment vertical="top"/>
    </xf>
    <xf numFmtId="0" fontId="0" fillId="16" borderId="11" xfId="0" applyNumberFormat="1" applyFill="1" applyBorder="1" applyAlignment="1" applyProtection="1">
      <alignment horizontal="center"/>
      <protection locked="0"/>
    </xf>
    <xf numFmtId="0" fontId="118" fillId="40" borderId="0" xfId="0" applyFont="1" applyFill="1" applyAlignment="1">
      <alignment vertical="top"/>
    </xf>
    <xf numFmtId="9" fontId="0" fillId="44" borderId="11" xfId="0" applyNumberFormat="1" applyFill="1" applyBorder="1" applyAlignment="1" applyProtection="1">
      <alignment horizontal="right"/>
      <protection locked="0"/>
    </xf>
    <xf numFmtId="0" fontId="0" fillId="44" borderId="11" xfId="0" applyFill="1" applyBorder="1" applyAlignment="1" applyProtection="1">
      <alignment horizontal="right"/>
      <protection locked="0"/>
    </xf>
    <xf numFmtId="179" fontId="0" fillId="44" borderId="11" xfId="69" applyNumberFormat="1" applyFont="1" applyFill="1" applyBorder="1" applyAlignment="1" applyProtection="1">
      <alignment/>
      <protection locked="0"/>
    </xf>
    <xf numFmtId="0" fontId="0" fillId="44" borderId="11" xfId="0" applyFill="1" applyBorder="1" applyAlignment="1" applyProtection="1">
      <alignment/>
      <protection locked="0"/>
    </xf>
    <xf numFmtId="168" fontId="0" fillId="9" borderId="11" xfId="0" applyNumberFormat="1" applyFill="1" applyBorder="1" applyAlignment="1" applyProtection="1">
      <alignment/>
      <protection locked="0"/>
    </xf>
    <xf numFmtId="178" fontId="115" fillId="34" borderId="0" xfId="0" applyNumberFormat="1" applyFont="1" applyFill="1" applyAlignment="1" applyProtection="1">
      <alignment/>
      <protection/>
    </xf>
    <xf numFmtId="178" fontId="0" fillId="16" borderId="11" xfId="0" applyNumberFormat="1" applyFill="1" applyBorder="1" applyAlignment="1" applyProtection="1" quotePrefix="1">
      <alignment horizontal="center"/>
      <protection locked="0"/>
    </xf>
    <xf numFmtId="0" fontId="0" fillId="16" borderId="11" xfId="0" applyNumberFormat="1" applyFill="1" applyBorder="1" applyAlignment="1" applyProtection="1" quotePrefix="1">
      <alignment horizontal="center"/>
      <protection/>
    </xf>
    <xf numFmtId="0" fontId="118" fillId="33" borderId="0" xfId="0" applyFont="1" applyFill="1" applyAlignment="1">
      <alignment/>
    </xf>
    <xf numFmtId="0" fontId="101" fillId="21" borderId="11" xfId="0" applyFont="1" applyFill="1" applyBorder="1" applyAlignment="1">
      <alignment horizontal="center"/>
    </xf>
    <xf numFmtId="0" fontId="0" fillId="33" borderId="0" xfId="0" applyFill="1" applyAlignment="1" applyProtection="1">
      <alignment wrapText="1"/>
      <protection/>
    </xf>
    <xf numFmtId="0" fontId="0" fillId="0" borderId="0" xfId="0" applyAlignment="1">
      <alignment vertical="top"/>
    </xf>
    <xf numFmtId="0" fontId="0" fillId="0" borderId="0" xfId="0" applyAlignment="1">
      <alignment vertical="center" wrapText="1"/>
    </xf>
    <xf numFmtId="0" fontId="108" fillId="0" borderId="0" xfId="54" applyAlignment="1" applyProtection="1">
      <alignment vertical="top" wrapText="1"/>
      <protection/>
    </xf>
    <xf numFmtId="0" fontId="108" fillId="0" borderId="0" xfId="54" applyAlignment="1" applyProtection="1">
      <alignment horizontal="left"/>
      <protection/>
    </xf>
    <xf numFmtId="179" fontId="0" fillId="44" borderId="11" xfId="0" applyNumberFormat="1" applyFill="1" applyBorder="1" applyAlignment="1" applyProtection="1">
      <alignment horizontal="right"/>
      <protection locked="0"/>
    </xf>
    <xf numFmtId="167" fontId="0" fillId="5" borderId="11" xfId="0" applyNumberFormat="1" applyFont="1" applyFill="1" applyBorder="1" applyAlignment="1" applyProtection="1">
      <alignment horizontal="center"/>
      <protection/>
    </xf>
    <xf numFmtId="0" fontId="67" fillId="33" borderId="0" xfId="0" applyFont="1" applyFill="1" applyAlignment="1" applyProtection="1">
      <alignment vertical="top"/>
      <protection/>
    </xf>
    <xf numFmtId="0" fontId="66" fillId="33" borderId="0" xfId="0" applyFont="1" applyFill="1" applyAlignment="1" applyProtection="1">
      <alignment vertical="top"/>
      <protection/>
    </xf>
    <xf numFmtId="0" fontId="114" fillId="0" borderId="0" xfId="0" applyFont="1" applyAlignment="1">
      <alignment horizontal="left"/>
    </xf>
    <xf numFmtId="14" fontId="66" fillId="33" borderId="0" xfId="0" applyNumberFormat="1" applyFont="1" applyFill="1" applyAlignment="1" applyProtection="1">
      <alignment vertical="top"/>
      <protection/>
    </xf>
    <xf numFmtId="0" fontId="132" fillId="33" borderId="0" xfId="54" applyFont="1" applyFill="1" applyAlignment="1" applyProtection="1">
      <alignment vertical="top"/>
      <protection/>
    </xf>
    <xf numFmtId="203" fontId="0" fillId="0" borderId="21" xfId="0" applyNumberFormat="1" applyBorder="1" applyAlignment="1">
      <alignment/>
    </xf>
    <xf numFmtId="167" fontId="0" fillId="9" borderId="11" xfId="0" applyNumberFormat="1" applyFill="1" applyBorder="1" applyAlignment="1" applyProtection="1">
      <alignment horizontal="right"/>
      <protection locked="0"/>
    </xf>
    <xf numFmtId="3" fontId="0" fillId="9" borderId="11" xfId="0" applyNumberFormat="1" applyFill="1" applyBorder="1" applyAlignment="1" applyProtection="1">
      <alignment/>
      <protection locked="0"/>
    </xf>
    <xf numFmtId="0" fontId="0" fillId="9" borderId="11" xfId="0" applyFill="1" applyBorder="1" applyAlignment="1" applyProtection="1">
      <alignment/>
      <protection locked="0"/>
    </xf>
    <xf numFmtId="167" fontId="0" fillId="9" borderId="11" xfId="0" applyNumberFormat="1" applyFill="1" applyBorder="1" applyAlignment="1" applyProtection="1">
      <alignment/>
      <protection locked="0"/>
    </xf>
    <xf numFmtId="9" fontId="0" fillId="9" borderId="11" xfId="69" applyFont="1" applyFill="1" applyBorder="1" applyAlignment="1" applyProtection="1">
      <alignment horizontal="right"/>
      <protection locked="0"/>
    </xf>
    <xf numFmtId="174" fontId="0" fillId="9" borderId="11" xfId="0" applyNumberFormat="1" applyFill="1" applyBorder="1" applyAlignment="1" applyProtection="1">
      <alignment horizontal="right"/>
      <protection locked="0"/>
    </xf>
    <xf numFmtId="177" fontId="0" fillId="9" borderId="11" xfId="0" applyNumberFormat="1" applyFill="1" applyBorder="1" applyAlignment="1" applyProtection="1">
      <alignment horizontal="right"/>
      <protection locked="0"/>
    </xf>
    <xf numFmtId="3" fontId="32" fillId="33" borderId="0" xfId="60" applyNumberFormat="1" applyFont="1" applyFill="1" applyBorder="1" applyAlignment="1" applyProtection="1">
      <alignment wrapText="1"/>
      <protection/>
    </xf>
    <xf numFmtId="0" fontId="0" fillId="0" borderId="0" xfId="0" applyAlignment="1" applyProtection="1">
      <alignment/>
      <protection/>
    </xf>
    <xf numFmtId="0" fontId="114" fillId="0" borderId="0" xfId="0" applyFont="1" applyAlignment="1" applyProtection="1">
      <alignment horizontal="left"/>
      <protection/>
    </xf>
    <xf numFmtId="3" fontId="2" fillId="33" borderId="0" xfId="60" applyNumberFormat="1" applyFont="1" applyFill="1" applyBorder="1" applyAlignment="1" applyProtection="1">
      <alignment vertical="top" wrapText="1"/>
      <protection/>
    </xf>
    <xf numFmtId="3" fontId="77" fillId="33" borderId="0" xfId="60" applyNumberFormat="1" applyFont="1" applyFill="1" applyBorder="1" applyAlignment="1" applyProtection="1">
      <alignment horizontal="center" vertical="top" wrapText="1"/>
      <protection/>
    </xf>
    <xf numFmtId="14" fontId="66" fillId="0" borderId="0" xfId="60" applyNumberFormat="1" applyFont="1" applyFill="1" applyBorder="1" applyAlignment="1" applyProtection="1">
      <alignment vertical="top"/>
      <protection/>
    </xf>
    <xf numFmtId="0" fontId="0" fillId="0" borderId="0" xfId="0" applyFont="1" applyAlignment="1" applyProtection="1">
      <alignment horizontal="right" vertical="top"/>
      <protection/>
    </xf>
    <xf numFmtId="0" fontId="0" fillId="0" borderId="0" xfId="0" applyFont="1" applyFill="1" applyBorder="1" applyAlignment="1" applyProtection="1">
      <alignment vertical="top"/>
      <protection/>
    </xf>
    <xf numFmtId="3" fontId="98" fillId="33" borderId="0" xfId="60" applyNumberFormat="1" applyFont="1" applyFill="1" applyBorder="1" applyAlignment="1" applyProtection="1">
      <alignment horizontal="left" vertical="top"/>
      <protection/>
    </xf>
    <xf numFmtId="3" fontId="2" fillId="33" borderId="0" xfId="60" applyNumberFormat="1" applyFont="1" applyFill="1" applyBorder="1" applyAlignment="1" applyProtection="1">
      <alignment horizontal="left" vertical="top"/>
      <protection/>
    </xf>
    <xf numFmtId="0" fontId="115" fillId="33" borderId="0" xfId="0" applyFont="1" applyFill="1" applyAlignment="1" applyProtection="1">
      <alignment/>
      <protection/>
    </xf>
    <xf numFmtId="0" fontId="98" fillId="33" borderId="0" xfId="0" applyFont="1" applyFill="1" applyAlignment="1" applyProtection="1">
      <alignment horizontal="left" wrapText="1"/>
      <protection/>
    </xf>
    <xf numFmtId="3" fontId="126" fillId="33" borderId="0" xfId="60" applyNumberFormat="1" applyFont="1" applyFill="1" applyBorder="1" applyAlignment="1" applyProtection="1">
      <alignment horizontal="left" vertical="top"/>
      <protection/>
    </xf>
    <xf numFmtId="0" fontId="101" fillId="33" borderId="0" xfId="0" applyFont="1" applyFill="1" applyAlignment="1" applyProtection="1">
      <alignment horizontal="left"/>
      <protection/>
    </xf>
    <xf numFmtId="0" fontId="98" fillId="33" borderId="0" xfId="0" applyFont="1" applyFill="1" applyAlignment="1" applyProtection="1">
      <alignment/>
      <protection/>
    </xf>
    <xf numFmtId="0" fontId="101" fillId="33" borderId="0" xfId="0" applyFont="1" applyFill="1" applyAlignment="1" applyProtection="1">
      <alignment horizontal="left" wrapText="1"/>
      <protection/>
    </xf>
    <xf numFmtId="3" fontId="32" fillId="33" borderId="0" xfId="60" applyNumberFormat="1" applyFont="1" applyFill="1" applyBorder="1" applyAlignment="1" applyProtection="1">
      <alignment vertical="top" wrapText="1"/>
      <protection/>
    </xf>
    <xf numFmtId="3" fontId="0" fillId="0" borderId="29" xfId="0" applyNumberFormat="1" applyBorder="1" applyAlignment="1">
      <alignment vertical="top"/>
    </xf>
    <xf numFmtId="167" fontId="0" fillId="0" borderId="31" xfId="0" applyNumberFormat="1" applyBorder="1" applyAlignment="1">
      <alignment vertical="top"/>
    </xf>
    <xf numFmtId="0" fontId="0" fillId="33" borderId="0" xfId="0" applyFill="1" applyBorder="1" applyAlignment="1" applyProtection="1">
      <alignment/>
      <protection/>
    </xf>
    <xf numFmtId="0" fontId="0" fillId="33" borderId="0" xfId="0" applyFill="1" applyAlignment="1" applyProtection="1">
      <alignment horizontal="left"/>
      <protection/>
    </xf>
    <xf numFmtId="0" fontId="0" fillId="0" borderId="0" xfId="0" applyAlignment="1">
      <alignment/>
    </xf>
    <xf numFmtId="0" fontId="114" fillId="0" borderId="0" xfId="0" applyFont="1" applyAlignment="1">
      <alignment horizontal="left"/>
    </xf>
    <xf numFmtId="167" fontId="11" fillId="0" borderId="11" xfId="0" applyNumberFormat="1" applyFont="1" applyFill="1" applyBorder="1" applyAlignment="1" applyProtection="1">
      <alignment horizontal="center" vertical="center"/>
      <protection/>
    </xf>
    <xf numFmtId="3" fontId="11" fillId="50" borderId="11" xfId="66" applyNumberFormat="1" applyFont="1" applyFill="1" applyBorder="1" applyAlignment="1" applyProtection="1">
      <alignment horizontal="center" vertical="center" wrapText="1"/>
      <protection/>
    </xf>
    <xf numFmtId="9" fontId="11" fillId="50" borderId="11" xfId="0" applyNumberFormat="1" applyFont="1" applyFill="1" applyBorder="1" applyAlignment="1" applyProtection="1">
      <alignment horizontal="center" vertical="center"/>
      <protection/>
    </xf>
    <xf numFmtId="171" fontId="0" fillId="9" borderId="11" xfId="0" applyNumberFormat="1" applyFill="1" applyBorder="1" applyAlignment="1" applyProtection="1">
      <alignment horizontal="right"/>
      <protection locked="0"/>
    </xf>
    <xf numFmtId="168" fontId="11" fillId="0" borderId="11" xfId="0" applyNumberFormat="1" applyFont="1" applyFill="1" applyBorder="1" applyAlignment="1" applyProtection="1" quotePrefix="1">
      <alignment horizontal="center" vertical="center"/>
      <protection/>
    </xf>
    <xf numFmtId="167" fontId="11" fillId="50" borderId="11" xfId="66" applyNumberFormat="1" applyFont="1" applyFill="1" applyBorder="1" applyAlignment="1" applyProtection="1">
      <alignment horizontal="center" vertical="center" wrapText="1"/>
      <protection/>
    </xf>
    <xf numFmtId="175" fontId="11" fillId="50" borderId="11" xfId="0" applyNumberFormat="1" applyFont="1" applyFill="1" applyBorder="1" applyAlignment="1" applyProtection="1">
      <alignment horizontal="center" vertical="center"/>
      <protection/>
    </xf>
    <xf numFmtId="3" fontId="0" fillId="16" borderId="11" xfId="0" applyNumberFormat="1" applyFill="1" applyBorder="1" applyAlignment="1" applyProtection="1">
      <alignment horizontal="center"/>
      <protection/>
    </xf>
    <xf numFmtId="173" fontId="0" fillId="0" borderId="23" xfId="0" applyNumberFormat="1" applyBorder="1" applyAlignment="1">
      <alignment/>
    </xf>
    <xf numFmtId="9" fontId="0" fillId="0" borderId="31" xfId="69" applyFont="1" applyFill="1" applyBorder="1" applyAlignment="1">
      <alignment vertical="top"/>
    </xf>
    <xf numFmtId="9" fontId="11" fillId="50" borderId="11" xfId="66" applyNumberFormat="1" applyFont="1" applyFill="1" applyBorder="1" applyAlignment="1" applyProtection="1">
      <alignment horizontal="center"/>
      <protection locked="0"/>
    </xf>
    <xf numFmtId="9" fontId="0" fillId="0" borderId="30" xfId="69" applyFont="1" applyFill="1" applyBorder="1" applyAlignment="1">
      <alignment vertical="top"/>
    </xf>
    <xf numFmtId="171" fontId="0" fillId="9" borderId="11" xfId="0" applyNumberFormat="1" applyFill="1" applyBorder="1" applyAlignment="1" applyProtection="1">
      <alignment horizontal="right"/>
      <protection/>
    </xf>
    <xf numFmtId="167" fontId="0" fillId="9" borderId="11" xfId="0" applyNumberFormat="1" applyFill="1" applyBorder="1" applyAlignment="1" applyProtection="1">
      <alignment horizontal="right"/>
      <protection/>
    </xf>
    <xf numFmtId="9" fontId="0" fillId="0" borderId="32" xfId="69" applyFont="1" applyBorder="1" applyAlignment="1">
      <alignment vertical="top"/>
    </xf>
    <xf numFmtId="0" fontId="9" fillId="0" borderId="0" xfId="59" applyFont="1" applyFill="1" applyBorder="1" applyAlignment="1" applyProtection="1">
      <alignment horizontal="left"/>
      <protection/>
    </xf>
    <xf numFmtId="165" fontId="9" fillId="0" borderId="0" xfId="46" applyNumberFormat="1" applyFont="1" applyFill="1" applyBorder="1" applyAlignment="1" applyProtection="1">
      <alignment horizontal="center"/>
      <protection locked="0"/>
    </xf>
    <xf numFmtId="165" fontId="9" fillId="0" borderId="0" xfId="59" applyNumberFormat="1" applyFont="1" applyFill="1" applyBorder="1" applyAlignment="1" applyProtection="1">
      <alignment horizontal="center"/>
      <protection locked="0"/>
    </xf>
    <xf numFmtId="0" fontId="9" fillId="0" borderId="0" xfId="59" applyFont="1" applyFill="1" applyBorder="1" applyProtection="1">
      <alignment/>
      <protection locked="0"/>
    </xf>
    <xf numFmtId="9" fontId="11" fillId="0" borderId="11" xfId="59" applyNumberFormat="1" applyFont="1" applyFill="1" applyBorder="1" applyAlignment="1" applyProtection="1">
      <alignment horizontal="center" vertical="center"/>
      <protection locked="0"/>
    </xf>
    <xf numFmtId="3" fontId="11" fillId="0" borderId="11" xfId="59" applyNumberFormat="1" applyFont="1" applyFill="1" applyBorder="1" applyAlignment="1" applyProtection="1">
      <alignment horizontal="center" vertical="center"/>
      <protection locked="0"/>
    </xf>
    <xf numFmtId="167" fontId="11" fillId="0" borderId="11" xfId="59" applyNumberFormat="1" applyFont="1" applyFill="1" applyBorder="1" applyAlignment="1" applyProtection="1">
      <alignment horizontal="center" vertical="center"/>
      <protection locked="0"/>
    </xf>
    <xf numFmtId="0" fontId="11" fillId="0" borderId="11" xfId="59" applyNumberFormat="1" applyFont="1" applyFill="1" applyBorder="1" applyAlignment="1" applyProtection="1">
      <alignment horizontal="center"/>
      <protection/>
    </xf>
    <xf numFmtId="0" fontId="133" fillId="33" borderId="0" xfId="0" applyFont="1" applyFill="1" applyAlignment="1">
      <alignment vertical="top" wrapText="1"/>
    </xf>
    <xf numFmtId="0" fontId="0" fillId="33" borderId="0" xfId="0" applyFill="1" applyAlignment="1" applyProtection="1">
      <alignment vertical="center" wrapText="1"/>
      <protection/>
    </xf>
    <xf numFmtId="3" fontId="2" fillId="33" borderId="0" xfId="60" applyNumberFormat="1" applyFont="1" applyFill="1" applyBorder="1" applyAlignment="1" applyProtection="1">
      <alignment horizontal="right" vertical="center" wrapText="1"/>
      <protection/>
    </xf>
    <xf numFmtId="3" fontId="2" fillId="33" borderId="0" xfId="60" applyNumberFormat="1" applyFont="1" applyFill="1" applyBorder="1" applyAlignment="1" applyProtection="1">
      <alignment vertical="center" wrapText="1"/>
      <protection/>
    </xf>
    <xf numFmtId="0" fontId="115" fillId="34" borderId="0" xfId="0" applyFont="1" applyFill="1" applyAlignment="1">
      <alignment shrinkToFit="1"/>
    </xf>
    <xf numFmtId="0" fontId="115" fillId="34" borderId="0" xfId="0" applyFont="1" applyFill="1" applyAlignment="1">
      <alignment/>
    </xf>
    <xf numFmtId="0" fontId="134" fillId="0" borderId="0" xfId="0" applyFont="1" applyFill="1" applyAlignment="1" applyProtection="1">
      <alignment vertical="center"/>
      <protection/>
    </xf>
    <xf numFmtId="167" fontId="0" fillId="9" borderId="11" xfId="0" applyNumberFormat="1" applyFill="1" applyBorder="1" applyAlignment="1" applyProtection="1" quotePrefix="1">
      <alignment horizontal="right"/>
      <protection/>
    </xf>
    <xf numFmtId="9" fontId="0" fillId="9" borderId="11" xfId="69" applyFont="1" applyFill="1" applyBorder="1" applyAlignment="1" applyProtection="1">
      <alignment/>
      <protection locked="0"/>
    </xf>
    <xf numFmtId="0" fontId="0" fillId="0" borderId="0" xfId="0" applyFill="1" applyBorder="1" applyAlignment="1">
      <alignment vertical="top"/>
    </xf>
    <xf numFmtId="0" fontId="0" fillId="0" borderId="0" xfId="0" applyAlignment="1">
      <alignment/>
    </xf>
    <xf numFmtId="3" fontId="0" fillId="16" borderId="11" xfId="0" applyNumberFormat="1" applyFill="1" applyBorder="1" applyAlignment="1" applyProtection="1">
      <alignment horizontal="center" vertical="center"/>
      <protection/>
    </xf>
    <xf numFmtId="0" fontId="0" fillId="16" borderId="11" xfId="0" applyNumberFormat="1" applyFill="1" applyBorder="1" applyAlignment="1" applyProtection="1">
      <alignment horizontal="center" vertical="center"/>
      <protection locked="0"/>
    </xf>
    <xf numFmtId="178" fontId="0" fillId="16" borderId="11" xfId="0" applyNumberFormat="1" applyFill="1" applyBorder="1" applyAlignment="1" applyProtection="1">
      <alignment horizontal="center" vertical="center"/>
      <protection locked="0"/>
    </xf>
    <xf numFmtId="0" fontId="0" fillId="0" borderId="0" xfId="0" applyAlignment="1">
      <alignment/>
    </xf>
    <xf numFmtId="0" fontId="135" fillId="33" borderId="0" xfId="0" applyFont="1" applyFill="1" applyAlignment="1" applyProtection="1">
      <alignment/>
      <protection/>
    </xf>
    <xf numFmtId="3" fontId="0" fillId="16" borderId="11" xfId="0" applyNumberFormat="1" applyFill="1" applyBorder="1" applyAlignment="1" applyProtection="1">
      <alignment horizontal="center"/>
      <protection locked="0"/>
    </xf>
    <xf numFmtId="0" fontId="114" fillId="33" borderId="0" xfId="0" applyFont="1" applyFill="1" applyAlignment="1" applyProtection="1">
      <alignment wrapText="1"/>
      <protection/>
    </xf>
    <xf numFmtId="0" fontId="0" fillId="33" borderId="0" xfId="0" applyFill="1" applyAlignment="1" applyProtection="1">
      <alignment horizontal="left"/>
      <protection/>
    </xf>
    <xf numFmtId="0" fontId="0" fillId="33" borderId="0" xfId="0" applyFill="1" applyAlignment="1">
      <alignment vertical="center"/>
    </xf>
    <xf numFmtId="0" fontId="115" fillId="33" borderId="0" xfId="0" applyFont="1" applyFill="1" applyBorder="1" applyAlignment="1" applyProtection="1">
      <alignment horizontal="left"/>
      <protection/>
    </xf>
    <xf numFmtId="0" fontId="0" fillId="0" borderId="0" xfId="0" applyAlignment="1">
      <alignment/>
    </xf>
    <xf numFmtId="0" fontId="119" fillId="34" borderId="0" xfId="0" applyFont="1" applyFill="1" applyAlignment="1" applyProtection="1">
      <alignment vertical="center"/>
      <protection/>
    </xf>
    <xf numFmtId="3" fontId="119" fillId="34" borderId="0" xfId="0" applyNumberFormat="1" applyFont="1" applyFill="1" applyAlignment="1" applyProtection="1">
      <alignment vertical="center"/>
      <protection/>
    </xf>
    <xf numFmtId="0" fontId="98" fillId="33" borderId="0" xfId="0" applyFont="1" applyFill="1" applyAlignment="1" applyProtection="1">
      <alignment horizontal="left" vertical="center" wrapText="1"/>
      <protection/>
    </xf>
    <xf numFmtId="3" fontId="0" fillId="34" borderId="0" xfId="0" applyNumberFormat="1" applyFill="1" applyAlignment="1" applyProtection="1">
      <alignment vertical="center"/>
      <protection/>
    </xf>
    <xf numFmtId="3" fontId="0" fillId="16" borderId="11" xfId="0" applyNumberFormat="1" applyFill="1" applyBorder="1" applyAlignment="1" applyProtection="1">
      <alignment horizontal="center" vertical="top"/>
      <protection locked="0"/>
    </xf>
    <xf numFmtId="0" fontId="0" fillId="16" borderId="11" xfId="0" applyNumberFormat="1" applyFill="1" applyBorder="1" applyAlignment="1" applyProtection="1">
      <alignment horizontal="center" vertical="top"/>
      <protection locked="0"/>
    </xf>
    <xf numFmtId="178" fontId="0" fillId="16" borderId="11" xfId="0" applyNumberFormat="1" applyFill="1" applyBorder="1" applyAlignment="1" applyProtection="1">
      <alignment horizontal="center" vertical="top"/>
      <protection locked="0"/>
    </xf>
    <xf numFmtId="3" fontId="0" fillId="16" borderId="11" xfId="0" applyNumberFormat="1" applyFill="1" applyBorder="1" applyAlignment="1" applyProtection="1">
      <alignment horizontal="center" vertical="center"/>
      <protection locked="0"/>
    </xf>
    <xf numFmtId="0" fontId="66" fillId="33" borderId="0" xfId="0" applyFont="1" applyFill="1" applyBorder="1" applyAlignment="1" applyProtection="1">
      <alignment vertical="top"/>
      <protection/>
    </xf>
    <xf numFmtId="0" fontId="114" fillId="33" borderId="0" xfId="0" applyFont="1" applyFill="1" applyAlignment="1" applyProtection="1">
      <alignment wrapText="1"/>
      <protection/>
    </xf>
    <xf numFmtId="0" fontId="117" fillId="35" borderId="11" xfId="0" applyFont="1" applyFill="1" applyBorder="1" applyAlignment="1" applyProtection="1">
      <alignment horizontal="center" wrapText="1"/>
      <protection/>
    </xf>
    <xf numFmtId="0" fontId="114" fillId="33" borderId="0" xfId="0" applyFont="1" applyFill="1" applyBorder="1" applyAlignment="1" applyProtection="1">
      <alignment wrapText="1"/>
      <protection/>
    </xf>
    <xf numFmtId="0" fontId="0" fillId="0" borderId="0" xfId="0" applyFill="1" applyAlignment="1">
      <alignment/>
    </xf>
    <xf numFmtId="0" fontId="0" fillId="33" borderId="0" xfId="0" applyFill="1" applyAlignment="1" applyProtection="1">
      <alignment/>
      <protection/>
    </xf>
    <xf numFmtId="0" fontId="0" fillId="33" borderId="0" xfId="0" applyFill="1" applyAlignment="1">
      <alignment vertical="center"/>
    </xf>
    <xf numFmtId="0" fontId="114" fillId="33" borderId="0" xfId="0" applyFont="1" applyFill="1" applyAlignment="1" applyProtection="1">
      <alignment vertical="center" wrapText="1"/>
      <protection/>
    </xf>
    <xf numFmtId="0" fontId="114" fillId="33" borderId="0" xfId="0" applyFont="1" applyFill="1" applyAlignment="1" applyProtection="1">
      <alignment vertical="center" wrapText="1"/>
      <protection/>
    </xf>
    <xf numFmtId="0" fontId="108" fillId="33" borderId="0" xfId="54" applyFill="1" applyBorder="1" applyAlignment="1" applyProtection="1">
      <alignment vertical="center" wrapText="1"/>
      <protection/>
    </xf>
    <xf numFmtId="0" fontId="136" fillId="33" borderId="0" xfId="54" applyFont="1" applyFill="1" applyAlignment="1" applyProtection="1">
      <alignment/>
      <protection/>
    </xf>
    <xf numFmtId="0" fontId="114" fillId="33" borderId="0" xfId="0" applyFont="1" applyFill="1" applyAlignment="1" applyProtection="1">
      <alignment/>
      <protection/>
    </xf>
    <xf numFmtId="178" fontId="0" fillId="16" borderId="10" xfId="0" applyNumberFormat="1" applyFill="1" applyBorder="1" applyAlignment="1" applyProtection="1">
      <alignment horizontal="center" vertical="center"/>
      <protection locked="0"/>
    </xf>
    <xf numFmtId="3" fontId="0" fillId="16" borderId="10" xfId="0" applyNumberFormat="1" applyFill="1" applyBorder="1" applyAlignment="1" applyProtection="1">
      <alignment horizontal="center" vertical="center"/>
      <protection locked="0"/>
    </xf>
    <xf numFmtId="3" fontId="0" fillId="16" borderId="10" xfId="0" applyNumberFormat="1" applyFill="1" applyBorder="1" applyAlignment="1" applyProtection="1">
      <alignment horizontal="center" vertical="center"/>
      <protection/>
    </xf>
    <xf numFmtId="178" fontId="0" fillId="16" borderId="10" xfId="0" applyNumberFormat="1" applyFill="1" applyBorder="1" applyAlignment="1" applyProtection="1">
      <alignment horizontal="center"/>
      <protection locked="0"/>
    </xf>
    <xf numFmtId="3" fontId="0" fillId="16" borderId="17" xfId="0" applyNumberFormat="1" applyFill="1" applyBorder="1" applyAlignment="1" applyProtection="1">
      <alignment horizontal="center" vertical="top"/>
      <protection locked="0"/>
    </xf>
    <xf numFmtId="0" fontId="0" fillId="16" borderId="17" xfId="0" applyNumberFormat="1" applyFill="1" applyBorder="1" applyAlignment="1" applyProtection="1">
      <alignment horizontal="center" vertical="top"/>
      <protection locked="0"/>
    </xf>
    <xf numFmtId="178" fontId="0" fillId="16" borderId="17" xfId="0" applyNumberFormat="1" applyFill="1" applyBorder="1" applyAlignment="1" applyProtection="1">
      <alignment horizontal="center" vertical="top"/>
      <protection locked="0"/>
    </xf>
    <xf numFmtId="186" fontId="0" fillId="33" borderId="0" xfId="0" applyNumberFormat="1" applyFill="1" applyBorder="1" applyAlignment="1" applyProtection="1">
      <alignment horizontal="center"/>
      <protection/>
    </xf>
    <xf numFmtId="178" fontId="115" fillId="34" borderId="0" xfId="0" applyNumberFormat="1" applyFont="1" applyFill="1" applyAlignment="1" applyProtection="1">
      <alignment vertical="center"/>
      <protection/>
    </xf>
    <xf numFmtId="4" fontId="115" fillId="34" borderId="0" xfId="0" applyNumberFormat="1" applyFont="1" applyFill="1" applyAlignment="1" applyProtection="1">
      <alignment vertical="center"/>
      <protection/>
    </xf>
    <xf numFmtId="0" fontId="115" fillId="34" borderId="0" xfId="0" applyFont="1" applyFill="1" applyAlignment="1" applyProtection="1">
      <alignment vertical="center"/>
      <protection/>
    </xf>
    <xf numFmtId="166" fontId="0" fillId="0" borderId="32" xfId="69" applyNumberFormat="1" applyFont="1" applyBorder="1" applyAlignment="1">
      <alignment vertical="top"/>
    </xf>
    <xf numFmtId="0" fontId="114" fillId="33" borderId="0" xfId="0" applyFont="1" applyFill="1" applyAlignment="1" applyProtection="1">
      <alignment/>
      <protection/>
    </xf>
    <xf numFmtId="178" fontId="0" fillId="16" borderId="10" xfId="0" applyNumberFormat="1" applyFill="1" applyBorder="1" applyAlignment="1" applyProtection="1">
      <alignment horizontal="center" vertical="center"/>
      <protection locked="0"/>
    </xf>
    <xf numFmtId="3" fontId="0" fillId="16" borderId="10" xfId="0" applyNumberFormat="1" applyFill="1" applyBorder="1" applyAlignment="1" applyProtection="1">
      <alignment horizontal="center" vertical="center"/>
      <protection locked="0"/>
    </xf>
    <xf numFmtId="3" fontId="0" fillId="16" borderId="10" xfId="0" applyNumberFormat="1" applyFill="1" applyBorder="1" applyAlignment="1" applyProtection="1">
      <alignment horizontal="center" vertical="center"/>
      <protection/>
    </xf>
    <xf numFmtId="0" fontId="0" fillId="0" borderId="0" xfId="0" applyFill="1" applyBorder="1" applyAlignment="1" applyProtection="1">
      <alignment/>
      <protection/>
    </xf>
    <xf numFmtId="0" fontId="98" fillId="34" borderId="0" xfId="0" applyFont="1" applyFill="1" applyAlignment="1" applyProtection="1">
      <alignment/>
      <protection/>
    </xf>
    <xf numFmtId="0" fontId="0" fillId="0" borderId="0" xfId="0" applyFill="1" applyBorder="1" applyAlignment="1" applyProtection="1">
      <alignment horizontal="right" vertical="top" wrapText="1"/>
      <protection/>
    </xf>
    <xf numFmtId="179" fontId="0" fillId="0" borderId="0" xfId="69" applyNumberFormat="1" applyFont="1" applyFill="1" applyBorder="1" applyAlignment="1" applyProtection="1">
      <alignment horizontal="right" vertical="top" wrapText="1"/>
      <protection/>
    </xf>
    <xf numFmtId="167" fontId="66" fillId="0" borderId="0" xfId="0" applyNumberFormat="1" applyFont="1" applyFill="1" applyBorder="1" applyAlignment="1" applyProtection="1">
      <alignment horizontal="right" vertical="top" wrapText="1"/>
      <protection/>
    </xf>
    <xf numFmtId="3" fontId="0" fillId="0" borderId="0" xfId="0" applyNumberFormat="1" applyFill="1" applyBorder="1" applyAlignment="1" applyProtection="1">
      <alignment horizontal="right" vertical="top" wrapText="1"/>
      <protection/>
    </xf>
    <xf numFmtId="167" fontId="0" fillId="0" borderId="0" xfId="0" applyNumberFormat="1" applyFill="1" applyBorder="1" applyAlignment="1" applyProtection="1">
      <alignment horizontal="right" vertical="top" wrapText="1"/>
      <protection/>
    </xf>
    <xf numFmtId="4" fontId="0" fillId="0" borderId="0" xfId="0" applyNumberFormat="1" applyFill="1" applyBorder="1" applyAlignment="1" applyProtection="1">
      <alignment horizontal="right" vertical="top" wrapText="1"/>
      <protection/>
    </xf>
    <xf numFmtId="9" fontId="0" fillId="0" borderId="0" xfId="69" applyFont="1" applyFill="1" applyBorder="1" applyAlignment="1" applyProtection="1">
      <alignment horizontal="right" vertical="top" wrapText="1"/>
      <protection/>
    </xf>
    <xf numFmtId="174" fontId="0" fillId="0" borderId="0" xfId="0" applyNumberFormat="1" applyFill="1" applyBorder="1" applyAlignment="1" applyProtection="1">
      <alignment horizontal="right" vertical="top" wrapText="1"/>
      <protection/>
    </xf>
    <xf numFmtId="177" fontId="0" fillId="0" borderId="0" xfId="0" applyNumberFormat="1" applyFill="1" applyBorder="1" applyAlignment="1" applyProtection="1">
      <alignment horizontal="right" vertical="top" wrapText="1"/>
      <protection/>
    </xf>
    <xf numFmtId="167" fontId="66" fillId="0" borderId="0" xfId="0" applyNumberFormat="1" applyFont="1" applyFill="1" applyBorder="1" applyAlignment="1" applyProtection="1">
      <alignment horizontal="left" vertical="top" wrapText="1"/>
      <protection/>
    </xf>
    <xf numFmtId="171" fontId="66" fillId="0" borderId="0" xfId="0" applyNumberFormat="1" applyFont="1" applyFill="1" applyBorder="1" applyAlignment="1" applyProtection="1">
      <alignment vertical="top" wrapText="1"/>
      <protection/>
    </xf>
    <xf numFmtId="167" fontId="66" fillId="0" borderId="0" xfId="0" applyNumberFormat="1" applyFont="1" applyFill="1" applyBorder="1" applyAlignment="1" applyProtection="1">
      <alignment vertical="top" wrapText="1"/>
      <protection/>
    </xf>
    <xf numFmtId="167" fontId="66" fillId="33" borderId="0" xfId="0" applyNumberFormat="1" applyFont="1" applyFill="1" applyBorder="1" applyAlignment="1" applyProtection="1">
      <alignment horizontal="left" vertical="top" wrapText="1"/>
      <protection/>
    </xf>
    <xf numFmtId="168" fontId="66" fillId="0" borderId="0" xfId="0" applyNumberFormat="1" applyFont="1" applyFill="1" applyBorder="1" applyAlignment="1" applyProtection="1">
      <alignment vertical="top" wrapText="1"/>
      <protection/>
    </xf>
    <xf numFmtId="168" fontId="66" fillId="0" borderId="0" xfId="0" applyNumberFormat="1" applyFont="1" applyFill="1" applyBorder="1" applyAlignment="1" applyProtection="1">
      <alignment horizontal="left" vertical="top" wrapText="1"/>
      <protection/>
    </xf>
    <xf numFmtId="0" fontId="114" fillId="51" borderId="35" xfId="0" applyFont="1" applyFill="1" applyBorder="1" applyAlignment="1" applyProtection="1">
      <alignment vertical="top" wrapText="1"/>
      <protection/>
    </xf>
    <xf numFmtId="0" fontId="114" fillId="51" borderId="35" xfId="0" applyFont="1" applyFill="1" applyBorder="1" applyAlignment="1" applyProtection="1">
      <alignment horizontal="center" vertical="top" wrapText="1"/>
      <protection/>
    </xf>
    <xf numFmtId="0" fontId="0" fillId="0" borderId="0" xfId="0" applyFill="1" applyBorder="1" applyAlignment="1" applyProtection="1">
      <alignment vertical="top" wrapText="1"/>
      <protection/>
    </xf>
    <xf numFmtId="0" fontId="114" fillId="51" borderId="0" xfId="0" applyFont="1" applyFill="1" applyBorder="1" applyAlignment="1" applyProtection="1">
      <alignment vertical="top" wrapText="1"/>
      <protection/>
    </xf>
    <xf numFmtId="0" fontId="114" fillId="51" borderId="0" xfId="0" applyFont="1" applyFill="1" applyBorder="1" applyAlignment="1" applyProtection="1">
      <alignment horizontal="right" vertical="top" wrapText="1"/>
      <protection/>
    </xf>
    <xf numFmtId="0" fontId="114" fillId="51" borderId="0" xfId="0" applyFont="1" applyFill="1" applyBorder="1" applyAlignment="1" applyProtection="1">
      <alignment horizontal="left" vertical="top" wrapText="1"/>
      <protection/>
    </xf>
    <xf numFmtId="0" fontId="66" fillId="0" borderId="0" xfId="0" applyFont="1" applyBorder="1" applyAlignment="1" applyProtection="1">
      <alignment vertical="top" wrapText="1"/>
      <protection/>
    </xf>
    <xf numFmtId="0" fontId="0" fillId="0" borderId="0" xfId="0" applyFont="1" applyFill="1" applyBorder="1" applyAlignment="1" applyProtection="1">
      <alignment horizontal="right" vertical="top" wrapText="1"/>
      <protection/>
    </xf>
    <xf numFmtId="0" fontId="0" fillId="0" borderId="0" xfId="0" applyFont="1" applyFill="1" applyBorder="1" applyAlignment="1" applyProtection="1">
      <alignment horizontal="left" vertical="top" wrapText="1"/>
      <protection/>
    </xf>
    <xf numFmtId="0" fontId="0" fillId="0" borderId="0" xfId="0" applyBorder="1" applyAlignment="1" applyProtection="1">
      <alignment vertical="top" wrapText="1"/>
      <protection/>
    </xf>
    <xf numFmtId="9" fontId="0" fillId="0" borderId="0" xfId="0" applyNumberFormat="1" applyFont="1" applyFill="1" applyBorder="1" applyAlignment="1" applyProtection="1">
      <alignment horizontal="right" vertical="top" wrapText="1"/>
      <protection/>
    </xf>
    <xf numFmtId="165" fontId="66" fillId="0" borderId="0" xfId="60" applyNumberFormat="1" applyFont="1" applyFill="1" applyBorder="1" applyAlignment="1" applyProtection="1">
      <alignment horizontal="right" vertical="top" wrapText="1"/>
      <protection/>
    </xf>
    <xf numFmtId="3" fontId="66" fillId="0" borderId="0" xfId="60" applyNumberFormat="1" applyFont="1" applyFill="1" applyBorder="1" applyAlignment="1" applyProtection="1">
      <alignment horizontal="left" vertical="top" wrapText="1"/>
      <protection/>
    </xf>
    <xf numFmtId="0" fontId="114" fillId="51" borderId="36" xfId="0" applyFont="1" applyFill="1" applyBorder="1" applyAlignment="1" applyProtection="1">
      <alignment vertical="top" wrapText="1"/>
      <protection/>
    </xf>
    <xf numFmtId="0" fontId="0" fillId="51" borderId="36" xfId="0" applyFill="1" applyBorder="1" applyAlignment="1" applyProtection="1">
      <alignment horizontal="right" vertical="top" wrapText="1"/>
      <protection/>
    </xf>
    <xf numFmtId="0" fontId="0" fillId="51" borderId="36" xfId="0" applyFill="1" applyBorder="1" applyAlignment="1" applyProtection="1">
      <alignment horizontal="left" vertical="top" wrapText="1"/>
      <protection/>
    </xf>
    <xf numFmtId="0" fontId="0" fillId="51" borderId="36" xfId="0" applyFill="1" applyBorder="1" applyAlignment="1" applyProtection="1">
      <alignment vertical="top" wrapText="1"/>
      <protection/>
    </xf>
    <xf numFmtId="0" fontId="66" fillId="0" borderId="0" xfId="0" applyFont="1" applyFill="1" applyBorder="1" applyAlignment="1" applyProtection="1">
      <alignment vertical="top" wrapText="1"/>
      <protection/>
    </xf>
    <xf numFmtId="0" fontId="0" fillId="0" borderId="0" xfId="0" applyBorder="1" applyAlignment="1" applyProtection="1">
      <alignment horizontal="right" vertical="top" wrapText="1"/>
      <protection/>
    </xf>
    <xf numFmtId="0" fontId="0" fillId="0" borderId="0" xfId="0" applyBorder="1" applyAlignment="1" applyProtection="1">
      <alignment horizontal="left" vertical="top" wrapText="1"/>
      <protection/>
    </xf>
    <xf numFmtId="0" fontId="0" fillId="0" borderId="0" xfId="0" applyNumberFormat="1" applyFill="1" applyBorder="1" applyAlignment="1" applyProtection="1">
      <alignment horizontal="right" vertical="top" wrapText="1"/>
      <protection/>
    </xf>
    <xf numFmtId="0" fontId="0" fillId="0" borderId="0" xfId="0" applyFill="1" applyBorder="1" applyAlignment="1" applyProtection="1">
      <alignment horizontal="left" vertical="top" wrapText="1"/>
      <protection/>
    </xf>
    <xf numFmtId="0" fontId="0" fillId="0" borderId="0" xfId="0" applyFont="1" applyBorder="1" applyAlignment="1" applyProtection="1">
      <alignment vertical="top" wrapText="1"/>
      <protection/>
    </xf>
    <xf numFmtId="0" fontId="0" fillId="33" borderId="0" xfId="0" applyFill="1" applyBorder="1" applyAlignment="1" applyProtection="1">
      <alignment horizontal="right" vertical="top" wrapText="1"/>
      <protection/>
    </xf>
    <xf numFmtId="0" fontId="0" fillId="33" borderId="0" xfId="0" applyFill="1" applyBorder="1" applyAlignment="1" applyProtection="1">
      <alignment horizontal="left" vertical="top" wrapText="1"/>
      <protection/>
    </xf>
    <xf numFmtId="0" fontId="0" fillId="33" borderId="0" xfId="0" applyFill="1" applyBorder="1" applyAlignment="1" applyProtection="1">
      <alignment vertical="top" wrapText="1"/>
      <protection/>
    </xf>
    <xf numFmtId="9" fontId="0" fillId="0" borderId="0" xfId="0" applyNumberFormat="1" applyFill="1" applyBorder="1" applyAlignment="1" applyProtection="1">
      <alignment horizontal="right" vertical="top" wrapText="1"/>
      <protection/>
    </xf>
    <xf numFmtId="0" fontId="0" fillId="0" borderId="0" xfId="0" applyFont="1" applyFill="1" applyBorder="1" applyAlignment="1" applyProtection="1">
      <alignment vertical="top" wrapText="1"/>
      <protection/>
    </xf>
    <xf numFmtId="0" fontId="0" fillId="0" borderId="0" xfId="0" applyFill="1" applyBorder="1" applyAlignment="1" applyProtection="1" quotePrefix="1">
      <alignment horizontal="right" vertical="top" wrapText="1"/>
      <protection/>
    </xf>
    <xf numFmtId="0" fontId="0" fillId="0" borderId="0" xfId="0" applyFill="1" applyBorder="1" applyAlignment="1" applyProtection="1" quotePrefix="1">
      <alignment horizontal="left" vertical="top" wrapText="1"/>
      <protection/>
    </xf>
    <xf numFmtId="0" fontId="0" fillId="0" borderId="0" xfId="0" applyAlignment="1" applyProtection="1">
      <alignment vertical="top" wrapText="1"/>
      <protection/>
    </xf>
    <xf numFmtId="9" fontId="0" fillId="0" borderId="0" xfId="69" applyFont="1" applyBorder="1" applyAlignment="1" applyProtection="1">
      <alignment horizontal="right" vertical="top" wrapText="1"/>
      <protection/>
    </xf>
    <xf numFmtId="3" fontId="0" fillId="51" borderId="36" xfId="0" applyNumberFormat="1" applyFill="1" applyBorder="1" applyAlignment="1" applyProtection="1">
      <alignment horizontal="right" vertical="top" wrapText="1"/>
      <protection/>
    </xf>
    <xf numFmtId="3" fontId="0" fillId="0" borderId="0" xfId="0" applyNumberFormat="1" applyBorder="1" applyAlignment="1" applyProtection="1">
      <alignment horizontal="right" vertical="top" wrapText="1"/>
      <protection/>
    </xf>
    <xf numFmtId="167" fontId="0" fillId="0" borderId="0" xfId="0" applyNumberFormat="1" applyBorder="1" applyAlignment="1" applyProtection="1">
      <alignment horizontal="right" vertical="top" wrapText="1"/>
      <protection/>
    </xf>
    <xf numFmtId="3" fontId="0" fillId="0" borderId="0" xfId="0" applyNumberFormat="1" applyFont="1" applyFill="1" applyBorder="1" applyAlignment="1" applyProtection="1">
      <alignment horizontal="right" vertical="top" wrapText="1"/>
      <protection/>
    </xf>
    <xf numFmtId="0" fontId="118" fillId="33" borderId="0" xfId="0" applyFont="1" applyFill="1" applyBorder="1" applyAlignment="1" applyProtection="1">
      <alignment/>
      <protection/>
    </xf>
    <xf numFmtId="0" fontId="137" fillId="33" borderId="0" xfId="0" applyFont="1" applyFill="1" applyAlignment="1">
      <alignment/>
    </xf>
    <xf numFmtId="0" fontId="0" fillId="0" borderId="32" xfId="0" applyFont="1" applyFill="1" applyBorder="1" applyAlignment="1" applyProtection="1">
      <alignment vertical="top"/>
      <protection locked="0"/>
    </xf>
    <xf numFmtId="0" fontId="118" fillId="33" borderId="0" xfId="0" applyFont="1" applyFill="1" applyBorder="1" applyAlignment="1" applyProtection="1">
      <alignment/>
      <protection/>
    </xf>
    <xf numFmtId="0" fontId="0" fillId="38" borderId="11" xfId="0" applyFont="1" applyFill="1" applyBorder="1" applyAlignment="1" applyProtection="1">
      <alignment vertical="top"/>
      <protection locked="0"/>
    </xf>
    <xf numFmtId="9" fontId="0" fillId="38" borderId="11" xfId="0" applyNumberFormat="1" applyFont="1" applyFill="1" applyBorder="1" applyAlignment="1" applyProtection="1">
      <alignment vertical="top"/>
      <protection locked="0"/>
    </xf>
    <xf numFmtId="0" fontId="0" fillId="0" borderId="11" xfId="0" applyFont="1" applyFill="1" applyBorder="1" applyAlignment="1" applyProtection="1">
      <alignment vertical="top"/>
      <protection locked="0"/>
    </xf>
    <xf numFmtId="0" fontId="0" fillId="34" borderId="0" xfId="0" applyFill="1" applyAlignment="1">
      <alignment vertical="top"/>
    </xf>
    <xf numFmtId="0" fontId="0" fillId="0" borderId="0" xfId="0" applyFill="1" applyAlignment="1">
      <alignment vertical="top"/>
    </xf>
    <xf numFmtId="0" fontId="66" fillId="33" borderId="0" xfId="0" applyFont="1" applyFill="1" applyAlignment="1">
      <alignment vertical="center" wrapText="1"/>
    </xf>
    <xf numFmtId="3" fontId="119" fillId="34" borderId="0" xfId="0" applyNumberFormat="1" applyFont="1" applyFill="1" applyAlignment="1" applyProtection="1">
      <alignment horizontal="right" shrinkToFit="1"/>
      <protection/>
    </xf>
    <xf numFmtId="4" fontId="119" fillId="34" borderId="0" xfId="0" applyNumberFormat="1" applyFont="1" applyFill="1" applyAlignment="1" applyProtection="1">
      <alignment/>
      <protection/>
    </xf>
    <xf numFmtId="0" fontId="119" fillId="34" borderId="0" xfId="0" applyFont="1" applyFill="1" applyAlignment="1" applyProtection="1">
      <alignment horizontal="center"/>
      <protection/>
    </xf>
    <xf numFmtId="178" fontId="119" fillId="34" borderId="0" xfId="0" applyNumberFormat="1" applyFont="1" applyFill="1" applyAlignment="1" applyProtection="1">
      <alignment/>
      <protection/>
    </xf>
    <xf numFmtId="0" fontId="119" fillId="34" borderId="0" xfId="0" applyFont="1" applyFill="1" applyAlignment="1" applyProtection="1">
      <alignment vertical="center" wrapText="1"/>
      <protection/>
    </xf>
    <xf numFmtId="3" fontId="119" fillId="34" borderId="0" xfId="0" applyNumberFormat="1" applyFont="1" applyFill="1" applyAlignment="1" applyProtection="1">
      <alignment horizontal="right" vertical="center" shrinkToFit="1"/>
      <protection/>
    </xf>
    <xf numFmtId="9" fontId="119" fillId="34" borderId="0" xfId="69" applyFont="1" applyFill="1" applyAlignment="1" applyProtection="1">
      <alignment/>
      <protection/>
    </xf>
    <xf numFmtId="0" fontId="119" fillId="34" borderId="0" xfId="0" applyFont="1" applyFill="1" applyAlignment="1" applyProtection="1">
      <alignment horizontal="right" shrinkToFit="1"/>
      <protection/>
    </xf>
    <xf numFmtId="1" fontId="119" fillId="34" borderId="0" xfId="0" applyNumberFormat="1" applyFont="1" applyFill="1" applyAlignment="1" applyProtection="1">
      <alignment/>
      <protection/>
    </xf>
    <xf numFmtId="3" fontId="119" fillId="34" borderId="0" xfId="0" applyNumberFormat="1" applyFont="1" applyFill="1" applyAlignment="1" applyProtection="1">
      <alignment horizontal="right" wrapText="1" shrinkToFit="1"/>
      <protection/>
    </xf>
    <xf numFmtId="3" fontId="119" fillId="34" borderId="0" xfId="0" applyNumberFormat="1" applyFont="1" applyFill="1" applyAlignment="1" applyProtection="1">
      <alignment wrapText="1"/>
      <protection/>
    </xf>
    <xf numFmtId="0" fontId="119" fillId="34" borderId="0" xfId="0" applyFont="1" applyFill="1" applyAlignment="1">
      <alignment shrinkToFit="1"/>
    </xf>
    <xf numFmtId="0" fontId="119" fillId="34" borderId="0" xfId="0" applyFont="1" applyFill="1" applyAlignment="1">
      <alignment/>
    </xf>
    <xf numFmtId="0" fontId="119" fillId="34" borderId="0" xfId="0" applyFont="1" applyFill="1" applyAlignment="1" applyProtection="1">
      <alignment shrinkToFit="1"/>
      <protection/>
    </xf>
    <xf numFmtId="3" fontId="119" fillId="34" borderId="0" xfId="0" applyNumberFormat="1" applyFont="1" applyFill="1" applyAlignment="1" applyProtection="1">
      <alignment shrinkToFit="1"/>
      <protection/>
    </xf>
    <xf numFmtId="3" fontId="138" fillId="52" borderId="11" xfId="60" applyNumberFormat="1" applyFont="1" applyFill="1" applyBorder="1" applyAlignment="1" applyProtection="1">
      <alignment horizontal="left" vertical="top"/>
      <protection locked="0"/>
    </xf>
    <xf numFmtId="0" fontId="0" fillId="8" borderId="11" xfId="0" applyFill="1" applyBorder="1" applyAlignment="1" applyProtection="1">
      <alignment horizontal="left"/>
      <protection locked="0"/>
    </xf>
    <xf numFmtId="0" fontId="0" fillId="8" borderId="11" xfId="0" applyFont="1" applyFill="1" applyBorder="1" applyAlignment="1" applyProtection="1">
      <alignment horizontal="left"/>
      <protection locked="0"/>
    </xf>
    <xf numFmtId="9" fontId="0" fillId="8" borderId="11" xfId="0" applyNumberFormat="1" applyFont="1" applyFill="1" applyBorder="1" applyAlignment="1" applyProtection="1">
      <alignment horizontal="left"/>
      <protection locked="0"/>
    </xf>
    <xf numFmtId="165" fontId="66" fillId="8" borderId="11" xfId="60" applyNumberFormat="1" applyFont="1" applyFill="1" applyBorder="1" applyAlignment="1" applyProtection="1">
      <alignment horizontal="center" vertical="top"/>
      <protection locked="0"/>
    </xf>
    <xf numFmtId="3" fontId="66" fillId="52" borderId="11" xfId="60" applyNumberFormat="1" applyFont="1" applyFill="1" applyBorder="1" applyAlignment="1" applyProtection="1">
      <alignment horizontal="center" vertical="top" wrapText="1"/>
      <protection locked="0"/>
    </xf>
    <xf numFmtId="3" fontId="66" fillId="52" borderId="11" xfId="60" applyNumberFormat="1" applyFont="1" applyFill="1" applyBorder="1" applyAlignment="1" applyProtection="1">
      <alignment horizontal="center" vertical="top"/>
      <protection locked="0"/>
    </xf>
    <xf numFmtId="49" fontId="2" fillId="52" borderId="11" xfId="60" applyNumberFormat="1" applyFont="1" applyFill="1" applyBorder="1" applyAlignment="1" applyProtection="1">
      <alignment horizontal="center"/>
      <protection locked="0"/>
    </xf>
    <xf numFmtId="0" fontId="2" fillId="52" borderId="11" xfId="60" applyNumberFormat="1" applyFont="1" applyFill="1" applyBorder="1" applyAlignment="1" applyProtection="1">
      <alignment horizontal="center"/>
      <protection locked="0"/>
    </xf>
    <xf numFmtId="14" fontId="2" fillId="8" borderId="11" xfId="60" applyNumberFormat="1" applyFont="1" applyFill="1" applyBorder="1" applyAlignment="1" applyProtection="1">
      <alignment horizontal="center"/>
      <protection locked="0"/>
    </xf>
    <xf numFmtId="4" fontId="2" fillId="8" borderId="11" xfId="60" applyNumberFormat="1" applyFont="1" applyFill="1" applyBorder="1" applyAlignment="1" applyProtection="1">
      <alignment horizontal="center"/>
      <protection locked="0"/>
    </xf>
    <xf numFmtId="165" fontId="2" fillId="8" borderId="11" xfId="60" applyNumberFormat="1" applyFont="1" applyFill="1" applyBorder="1" applyAlignment="1" applyProtection="1">
      <alignment horizontal="center"/>
      <protection locked="0"/>
    </xf>
    <xf numFmtId="0" fontId="0" fillId="8" borderId="11" xfId="0" applyFill="1" applyBorder="1" applyAlignment="1" applyProtection="1">
      <alignment horizontal="center"/>
      <protection locked="0"/>
    </xf>
    <xf numFmtId="3" fontId="2" fillId="52" borderId="11" xfId="60" applyNumberFormat="1" applyFont="1" applyFill="1" applyBorder="1" applyAlignment="1" applyProtection="1">
      <alignment horizontal="left" vertical="top"/>
      <protection locked="0"/>
    </xf>
    <xf numFmtId="0" fontId="0" fillId="52" borderId="11" xfId="0" applyFill="1" applyBorder="1" applyAlignment="1" applyProtection="1">
      <alignment horizontal="left"/>
      <protection locked="0"/>
    </xf>
    <xf numFmtId="0" fontId="0" fillId="52" borderId="11" xfId="0" applyNumberFormat="1" applyFill="1" applyBorder="1" applyAlignment="1" applyProtection="1">
      <alignment horizontal="center"/>
      <protection locked="0"/>
    </xf>
    <xf numFmtId="0" fontId="0" fillId="52" borderId="11" xfId="0" applyFill="1" applyBorder="1" applyAlignment="1" applyProtection="1">
      <alignment horizontal="center"/>
      <protection locked="0"/>
    </xf>
    <xf numFmtId="3" fontId="0" fillId="8" borderId="11" xfId="0" applyNumberFormat="1" applyFill="1" applyBorder="1" applyAlignment="1" applyProtection="1">
      <alignment horizontal="left"/>
      <protection locked="0"/>
    </xf>
    <xf numFmtId="1" fontId="0" fillId="8" borderId="11" xfId="0" applyNumberFormat="1" applyFill="1" applyBorder="1" applyAlignment="1" applyProtection="1">
      <alignment horizontal="center"/>
      <protection locked="0"/>
    </xf>
    <xf numFmtId="3" fontId="2" fillId="8" borderId="11" xfId="60" applyNumberFormat="1" applyFont="1" applyFill="1" applyBorder="1" applyAlignment="1" applyProtection="1">
      <alignment horizontal="left" vertical="top"/>
      <protection locked="0"/>
    </xf>
    <xf numFmtId="3" fontId="2" fillId="8" borderId="11" xfId="60" applyNumberFormat="1" applyFont="1" applyFill="1" applyBorder="1" applyAlignment="1" applyProtection="1">
      <alignment horizontal="center" vertical="top"/>
      <protection locked="0"/>
    </xf>
    <xf numFmtId="3" fontId="2" fillId="52" borderId="11" xfId="60" applyNumberFormat="1" applyFont="1" applyFill="1" applyBorder="1" applyAlignment="1" applyProtection="1">
      <alignment horizontal="center" vertical="top"/>
      <protection locked="0"/>
    </xf>
    <xf numFmtId="3" fontId="2" fillId="52" borderId="11" xfId="60" applyNumberFormat="1" applyFont="1" applyFill="1" applyBorder="1" applyAlignment="1" applyProtection="1" quotePrefix="1">
      <alignment horizontal="center" vertical="top"/>
      <protection locked="0"/>
    </xf>
    <xf numFmtId="3" fontId="2" fillId="8" borderId="11" xfId="60" applyNumberFormat="1" applyFont="1" applyFill="1" applyBorder="1" applyAlignment="1" applyProtection="1" quotePrefix="1">
      <alignment horizontal="center" vertical="top"/>
      <protection locked="0"/>
    </xf>
    <xf numFmtId="0" fontId="2" fillId="8" borderId="11" xfId="60" applyNumberFormat="1" applyFont="1" applyFill="1" applyBorder="1" applyAlignment="1" applyProtection="1">
      <alignment horizontal="center" vertical="top"/>
      <protection locked="0"/>
    </xf>
    <xf numFmtId="0" fontId="2" fillId="8" borderId="11" xfId="60" applyNumberFormat="1" applyFont="1" applyFill="1" applyBorder="1" applyAlignment="1" applyProtection="1" quotePrefix="1">
      <alignment horizontal="center" vertical="top"/>
      <protection locked="0"/>
    </xf>
    <xf numFmtId="3" fontId="139" fillId="52" borderId="11" xfId="60" applyNumberFormat="1" applyFont="1" applyFill="1" applyBorder="1" applyAlignment="1" applyProtection="1">
      <alignment vertical="top"/>
      <protection locked="0"/>
    </xf>
    <xf numFmtId="0" fontId="2" fillId="8" borderId="11" xfId="60" applyNumberFormat="1" applyFont="1" applyFill="1" applyBorder="1" applyAlignment="1" applyProtection="1">
      <alignment horizontal="left" vertical="top"/>
      <protection locked="0"/>
    </xf>
    <xf numFmtId="3" fontId="2" fillId="52" borderId="11" xfId="60" applyNumberFormat="1" applyFont="1" applyFill="1" applyBorder="1" applyAlignment="1" applyProtection="1">
      <alignment vertical="top"/>
      <protection locked="0"/>
    </xf>
    <xf numFmtId="0" fontId="114" fillId="33" borderId="0" xfId="0" applyFont="1" applyFill="1" applyAlignment="1" applyProtection="1">
      <alignment vertical="center" wrapText="1"/>
      <protection/>
    </xf>
    <xf numFmtId="0" fontId="114" fillId="33" borderId="0" xfId="0" applyFont="1" applyFill="1" applyAlignment="1" applyProtection="1">
      <alignment vertical="center" wrapText="1"/>
      <protection/>
    </xf>
    <xf numFmtId="0" fontId="118" fillId="33" borderId="0" xfId="0" applyFont="1" applyFill="1" applyBorder="1" applyAlignment="1" applyProtection="1">
      <alignment/>
      <protection/>
    </xf>
    <xf numFmtId="0" fontId="114" fillId="33" borderId="0" xfId="0" applyFont="1" applyFill="1" applyAlignment="1" applyProtection="1">
      <alignment/>
      <protection/>
    </xf>
    <xf numFmtId="0" fontId="114" fillId="33" borderId="0" xfId="0" applyFont="1" applyFill="1" applyBorder="1" applyAlignment="1" applyProtection="1">
      <alignment/>
      <protection/>
    </xf>
    <xf numFmtId="0" fontId="66" fillId="33" borderId="0" xfId="0" applyFont="1" applyFill="1" applyAlignment="1">
      <alignment vertical="center" wrapText="1"/>
    </xf>
    <xf numFmtId="0" fontId="0" fillId="0" borderId="0" xfId="0" applyAlignment="1">
      <alignment/>
    </xf>
    <xf numFmtId="0" fontId="0" fillId="0" borderId="0" xfId="0" applyFill="1" applyAlignment="1">
      <alignment/>
    </xf>
    <xf numFmtId="0" fontId="0" fillId="33" borderId="0" xfId="0" applyFill="1" applyAlignment="1" applyProtection="1">
      <alignment/>
      <protection/>
    </xf>
    <xf numFmtId="0" fontId="118" fillId="33" borderId="0" xfId="0" applyFont="1" applyFill="1" applyAlignment="1" applyProtection="1">
      <alignment horizontal="left"/>
      <protection/>
    </xf>
    <xf numFmtId="0" fontId="114" fillId="0" borderId="0" xfId="0" applyFont="1" applyAlignment="1">
      <alignment horizontal="left"/>
    </xf>
    <xf numFmtId="0" fontId="114" fillId="33" borderId="0" xfId="0" applyFont="1" applyFill="1" applyAlignment="1" applyProtection="1">
      <alignment horizontal="left"/>
      <protection/>
    </xf>
    <xf numFmtId="0" fontId="101" fillId="21" borderId="11" xfId="0" applyFont="1" applyFill="1" applyBorder="1" applyAlignment="1">
      <alignment horizontal="center" wrapText="1"/>
    </xf>
    <xf numFmtId="0" fontId="98" fillId="34" borderId="0" xfId="0" applyFont="1" applyFill="1" applyAlignment="1" applyProtection="1">
      <alignment/>
      <protection/>
    </xf>
    <xf numFmtId="0" fontId="118" fillId="33" borderId="0" xfId="0" applyFont="1" applyFill="1" applyAlignment="1">
      <alignment/>
    </xf>
    <xf numFmtId="0" fontId="118" fillId="33" borderId="19" xfId="0" applyFont="1" applyFill="1" applyBorder="1" applyAlignment="1">
      <alignment/>
    </xf>
    <xf numFmtId="0" fontId="0" fillId="33" borderId="0" xfId="0" applyFill="1" applyAlignment="1">
      <alignment vertical="center"/>
    </xf>
    <xf numFmtId="0" fontId="108" fillId="0" borderId="0" xfId="54" applyAlignment="1" applyProtection="1">
      <alignment vertical="top"/>
      <protection/>
    </xf>
    <xf numFmtId="0" fontId="108" fillId="0" borderId="0" xfId="54" applyAlignment="1" applyProtection="1">
      <alignment/>
      <protection/>
    </xf>
    <xf numFmtId="0" fontId="108" fillId="0" borderId="0" xfId="54" applyAlignment="1" applyProtection="1">
      <alignment vertical="top" wrapText="1"/>
      <protection/>
    </xf>
    <xf numFmtId="0" fontId="140" fillId="33" borderId="0" xfId="0" applyFont="1" applyFill="1" applyAlignment="1">
      <alignment horizontal="right" vertical="top"/>
    </xf>
    <xf numFmtId="0" fontId="140" fillId="33" borderId="0" xfId="0" applyFont="1" applyFill="1" applyAlignment="1">
      <alignment horizontal="right" vertical="center"/>
    </xf>
    <xf numFmtId="0" fontId="141" fillId="0" borderId="0" xfId="0" applyFont="1" applyAlignment="1">
      <alignment/>
    </xf>
    <xf numFmtId="0" fontId="141" fillId="0" borderId="0" xfId="0" applyFont="1" applyAlignment="1">
      <alignment/>
    </xf>
    <xf numFmtId="0" fontId="142" fillId="0" borderId="0" xfId="0" applyFont="1" applyAlignment="1">
      <alignment horizontal="right" vertical="top"/>
    </xf>
    <xf numFmtId="0" fontId="142" fillId="0" borderId="0" xfId="0" applyFont="1" applyAlignment="1">
      <alignment horizontal="right" vertical="center"/>
    </xf>
    <xf numFmtId="0" fontId="142" fillId="0" borderId="0" xfId="0" applyFont="1" applyFill="1" applyBorder="1" applyAlignment="1" applyProtection="1">
      <alignment horizontal="right" vertical="top"/>
      <protection/>
    </xf>
    <xf numFmtId="0" fontId="142" fillId="0" borderId="0" xfId="0" applyFont="1" applyFill="1" applyBorder="1" applyAlignment="1" applyProtection="1">
      <alignment horizontal="right" vertical="center"/>
      <protection/>
    </xf>
    <xf numFmtId="0" fontId="142" fillId="0" borderId="0" xfId="0" applyFont="1" applyFill="1" applyAlignment="1">
      <alignment horizontal="right" vertical="center"/>
    </xf>
    <xf numFmtId="0" fontId="142" fillId="0" borderId="0" xfId="0" applyFont="1" applyFill="1" applyAlignment="1">
      <alignment horizontal="right" vertical="top"/>
    </xf>
    <xf numFmtId="0" fontId="142" fillId="33" borderId="0" xfId="0" applyFont="1" applyFill="1" applyAlignment="1">
      <alignment horizontal="right" vertical="center"/>
    </xf>
    <xf numFmtId="0" fontId="143" fillId="33" borderId="0" xfId="0" applyFont="1" applyFill="1" applyAlignment="1">
      <alignment/>
    </xf>
    <xf numFmtId="0" fontId="142" fillId="33" borderId="0" xfId="0" applyFont="1" applyFill="1" applyAlignment="1">
      <alignment horizontal="right" vertical="top"/>
    </xf>
    <xf numFmtId="0" fontId="142" fillId="33" borderId="0" xfId="0" applyFont="1" applyFill="1" applyAlignment="1">
      <alignment horizontal="right" vertical="center"/>
    </xf>
    <xf numFmtId="0" fontId="118" fillId="33" borderId="0" xfId="0" applyFont="1" applyFill="1" applyBorder="1" applyAlignment="1" applyProtection="1">
      <alignment/>
      <protection/>
    </xf>
    <xf numFmtId="0" fontId="120" fillId="33" borderId="0" xfId="0" applyFont="1" applyFill="1" applyBorder="1" applyAlignment="1" applyProtection="1">
      <alignment vertical="top" wrapText="1"/>
      <protection/>
    </xf>
    <xf numFmtId="0" fontId="117" fillId="35" borderId="11" xfId="0" applyFont="1" applyFill="1" applyBorder="1" applyAlignment="1" applyProtection="1">
      <alignment horizontal="center" wrapText="1"/>
      <protection/>
    </xf>
    <xf numFmtId="0" fontId="144" fillId="34" borderId="0" xfId="0" applyFont="1" applyFill="1" applyAlignment="1" applyProtection="1">
      <alignment/>
      <protection/>
    </xf>
    <xf numFmtId="0" fontId="0" fillId="33" borderId="0" xfId="0" applyFont="1" applyFill="1" applyBorder="1" applyAlignment="1" applyProtection="1">
      <alignment vertical="top" wrapText="1"/>
      <protection/>
    </xf>
    <xf numFmtId="0" fontId="0" fillId="33" borderId="0" xfId="0" applyFont="1" applyFill="1" applyBorder="1" applyAlignment="1" applyProtection="1">
      <alignment vertical="top"/>
      <protection/>
    </xf>
    <xf numFmtId="0" fontId="145" fillId="33" borderId="0" xfId="0" applyFont="1" applyFill="1" applyBorder="1" applyAlignment="1" applyProtection="1" quotePrefix="1">
      <alignment vertical="top" wrapText="1"/>
      <protection/>
    </xf>
    <xf numFmtId="0" fontId="66" fillId="33" borderId="0" xfId="0" applyFont="1" applyFill="1" applyAlignment="1">
      <alignment vertical="center" wrapText="1"/>
    </xf>
    <xf numFmtId="0" fontId="0" fillId="0" borderId="0" xfId="0" applyAlignment="1">
      <alignment vertical="center"/>
    </xf>
    <xf numFmtId="0" fontId="0" fillId="34" borderId="0" xfId="0" applyFont="1" applyFill="1" applyBorder="1" applyAlignment="1" applyProtection="1">
      <alignment/>
      <protection/>
    </xf>
    <xf numFmtId="0" fontId="66" fillId="53" borderId="11" xfId="60" applyNumberFormat="1" applyFont="1" applyFill="1" applyBorder="1" applyAlignment="1" applyProtection="1">
      <alignment horizontal="left" vertical="top"/>
      <protection locked="0"/>
    </xf>
    <xf numFmtId="3" fontId="0" fillId="53" borderId="11" xfId="0" applyNumberFormat="1" applyFont="1" applyFill="1" applyBorder="1" applyAlignment="1" applyProtection="1">
      <alignment horizontal="left"/>
      <protection locked="0"/>
    </xf>
    <xf numFmtId="185" fontId="66" fillId="0" borderId="0" xfId="60" applyNumberFormat="1" applyFont="1" applyFill="1" applyBorder="1" applyAlignment="1" applyProtection="1">
      <alignment horizontal="right" vertical="top" wrapText="1"/>
      <protection/>
    </xf>
    <xf numFmtId="178" fontId="0" fillId="47" borderId="11" xfId="0" applyNumberFormat="1" applyFill="1" applyBorder="1" applyAlignment="1" applyProtection="1">
      <alignment horizontal="center"/>
      <protection/>
    </xf>
    <xf numFmtId="3" fontId="0" fillId="54" borderId="11" xfId="0" applyNumberFormat="1" applyFill="1" applyBorder="1" applyAlignment="1" applyProtection="1">
      <alignment horizontal="center" vertical="center"/>
      <protection/>
    </xf>
    <xf numFmtId="0" fontId="145" fillId="44" borderId="0" xfId="0" applyFont="1" applyFill="1" applyBorder="1" applyAlignment="1" applyProtection="1" quotePrefix="1">
      <alignment vertical="top" wrapText="1"/>
      <protection/>
    </xf>
    <xf numFmtId="0" fontId="145" fillId="54" borderId="0" xfId="0" applyFont="1" applyFill="1" applyBorder="1" applyAlignment="1" applyProtection="1" quotePrefix="1">
      <alignment vertical="top" wrapText="1"/>
      <protection/>
    </xf>
    <xf numFmtId="0" fontId="145" fillId="47" borderId="0" xfId="0" applyFont="1" applyFill="1" applyBorder="1" applyAlignment="1" applyProtection="1" quotePrefix="1">
      <alignment vertical="top" wrapText="1"/>
      <protection/>
    </xf>
    <xf numFmtId="0" fontId="118" fillId="0" borderId="0" xfId="0" applyFont="1" applyFill="1" applyBorder="1" applyAlignment="1" applyProtection="1">
      <alignment/>
      <protection/>
    </xf>
    <xf numFmtId="0" fontId="0" fillId="34" borderId="0" xfId="0" applyFont="1" applyFill="1" applyAlignment="1" applyProtection="1">
      <alignment vertical="center"/>
      <protection/>
    </xf>
    <xf numFmtId="0" fontId="0" fillId="0" borderId="0" xfId="0" applyFont="1" applyFill="1" applyAlignment="1">
      <alignment vertical="center"/>
    </xf>
    <xf numFmtId="0" fontId="120" fillId="0" borderId="0" xfId="0" applyFont="1" applyAlignment="1">
      <alignment vertical="center" wrapText="1"/>
    </xf>
    <xf numFmtId="3" fontId="0" fillId="33" borderId="0" xfId="0" applyNumberFormat="1" applyFill="1" applyAlignment="1" applyProtection="1">
      <alignment/>
      <protection/>
    </xf>
    <xf numFmtId="3" fontId="114" fillId="5" borderId="11" xfId="0" applyNumberFormat="1" applyFont="1" applyFill="1" applyBorder="1" applyAlignment="1" applyProtection="1" quotePrefix="1">
      <alignment horizontal="center"/>
      <protection/>
    </xf>
    <xf numFmtId="0" fontId="0" fillId="33" borderId="0" xfId="0" applyFill="1" applyBorder="1" applyAlignment="1" applyProtection="1">
      <alignment vertical="top"/>
      <protection/>
    </xf>
    <xf numFmtId="0" fontId="115" fillId="34" borderId="0" xfId="0" applyFont="1" applyFill="1" applyAlignment="1" applyProtection="1">
      <alignment vertical="top"/>
      <protection/>
    </xf>
    <xf numFmtId="3" fontId="115" fillId="34" borderId="0" xfId="0" applyNumberFormat="1" applyFont="1" applyFill="1" applyAlignment="1" applyProtection="1">
      <alignment vertical="center"/>
      <protection/>
    </xf>
    <xf numFmtId="3" fontId="115" fillId="34" borderId="0" xfId="0" applyNumberFormat="1" applyFont="1" applyFill="1" applyAlignment="1" applyProtection="1">
      <alignment vertical="top"/>
      <protection/>
    </xf>
    <xf numFmtId="0" fontId="118" fillId="33" borderId="0" xfId="0" applyFont="1" applyFill="1" applyAlignment="1" applyProtection="1">
      <alignment/>
      <protection/>
    </xf>
    <xf numFmtId="0" fontId="0" fillId="33" borderId="0" xfId="0" applyFill="1" applyBorder="1" applyAlignment="1" applyProtection="1">
      <alignment horizontal="left" vertical="center" wrapText="1"/>
      <protection/>
    </xf>
    <xf numFmtId="0" fontId="0" fillId="0" borderId="0" xfId="0" applyAlignment="1">
      <alignment/>
    </xf>
    <xf numFmtId="0" fontId="0" fillId="0" borderId="0" xfId="0" applyFill="1" applyAlignment="1">
      <alignment/>
    </xf>
    <xf numFmtId="0" fontId="146" fillId="34" borderId="0" xfId="0" applyFont="1" applyFill="1" applyAlignment="1" applyProtection="1">
      <alignment/>
      <protection/>
    </xf>
    <xf numFmtId="0" fontId="146" fillId="34" borderId="0" xfId="0" applyFont="1" applyFill="1" applyAlignment="1" applyProtection="1">
      <alignment/>
      <protection/>
    </xf>
    <xf numFmtId="0" fontId="146" fillId="34" borderId="0" xfId="0" applyFont="1" applyFill="1" applyAlignment="1" applyProtection="1">
      <alignment vertical="top"/>
      <protection/>
    </xf>
    <xf numFmtId="0" fontId="146" fillId="34" borderId="0" xfId="0" applyFont="1" applyFill="1" applyAlignment="1" applyProtection="1">
      <alignment vertical="top"/>
      <protection locked="0"/>
    </xf>
    <xf numFmtId="0" fontId="146" fillId="34" borderId="0" xfId="0" applyFont="1" applyFill="1" applyAlignment="1" applyProtection="1">
      <alignment/>
      <protection locked="0"/>
    </xf>
    <xf numFmtId="0" fontId="146" fillId="34" borderId="0" xfId="0" applyFont="1" applyFill="1" applyAlignment="1" applyProtection="1">
      <alignment/>
      <protection locked="0"/>
    </xf>
    <xf numFmtId="0" fontId="146" fillId="34" borderId="0" xfId="0" applyFont="1" applyFill="1" applyAlignment="1" applyProtection="1">
      <alignment vertical="center"/>
      <protection locked="0"/>
    </xf>
    <xf numFmtId="0" fontId="118" fillId="33" borderId="0" xfId="0" applyFont="1" applyFill="1" applyAlignment="1" applyProtection="1">
      <alignment/>
      <protection/>
    </xf>
    <xf numFmtId="0" fontId="119" fillId="34" borderId="0" xfId="0" applyFont="1" applyFill="1" applyAlignment="1" applyProtection="1">
      <alignment/>
      <protection locked="0"/>
    </xf>
    <xf numFmtId="178" fontId="114" fillId="47" borderId="11" xfId="0" applyNumberFormat="1" applyFont="1" applyFill="1" applyBorder="1" applyAlignment="1" applyProtection="1">
      <alignment horizontal="center"/>
      <protection/>
    </xf>
    <xf numFmtId="0" fontId="0" fillId="33" borderId="0" xfId="0" applyFill="1" applyBorder="1" applyAlignment="1" applyProtection="1">
      <alignment horizontal="left" vertical="center" wrapText="1"/>
      <protection/>
    </xf>
    <xf numFmtId="0" fontId="147" fillId="33" borderId="0" xfId="54" applyFont="1" applyFill="1" applyBorder="1" applyAlignment="1" applyProtection="1">
      <alignment vertical="center"/>
      <protection/>
    </xf>
    <xf numFmtId="3" fontId="146" fillId="34" borderId="0" xfId="0" applyNumberFormat="1" applyFont="1" applyFill="1" applyAlignment="1" applyProtection="1">
      <alignment horizontal="right" shrinkToFit="1"/>
      <protection/>
    </xf>
    <xf numFmtId="3" fontId="146" fillId="34" borderId="0" xfId="0" applyNumberFormat="1" applyFont="1" applyFill="1" applyAlignment="1" applyProtection="1">
      <alignment/>
      <protection/>
    </xf>
    <xf numFmtId="0" fontId="146" fillId="34" borderId="0" xfId="0" applyFont="1" applyFill="1" applyAlignment="1" applyProtection="1">
      <alignment horizontal="right" shrinkToFit="1"/>
      <protection/>
    </xf>
    <xf numFmtId="5" fontId="146" fillId="34" borderId="0" xfId="44" applyNumberFormat="1" applyFont="1" applyFill="1" applyAlignment="1" applyProtection="1">
      <alignment/>
      <protection/>
    </xf>
    <xf numFmtId="3" fontId="146" fillId="34" borderId="0" xfId="0" applyNumberFormat="1" applyFont="1" applyFill="1" applyAlignment="1" applyProtection="1">
      <alignment vertical="top"/>
      <protection/>
    </xf>
    <xf numFmtId="0" fontId="0" fillId="0" borderId="0" xfId="0" applyAlignment="1">
      <alignment/>
    </xf>
    <xf numFmtId="0" fontId="148" fillId="34" borderId="0" xfId="0" applyFont="1" applyFill="1" applyAlignment="1" applyProtection="1">
      <alignment/>
      <protection/>
    </xf>
    <xf numFmtId="177" fontId="148" fillId="34" borderId="0" xfId="0" applyNumberFormat="1" applyFont="1" applyFill="1" applyAlignment="1" applyProtection="1">
      <alignment/>
      <protection/>
    </xf>
    <xf numFmtId="0" fontId="148" fillId="34" borderId="0" xfId="0" applyFont="1" applyFill="1" applyAlignment="1" applyProtection="1">
      <alignment vertical="center"/>
      <protection/>
    </xf>
    <xf numFmtId="0" fontId="148" fillId="34" borderId="0" xfId="0" applyFont="1" applyFill="1" applyAlignment="1" applyProtection="1">
      <alignment/>
      <protection/>
    </xf>
    <xf numFmtId="3" fontId="2" fillId="53" borderId="11" xfId="60" applyNumberFormat="1" applyFont="1" applyFill="1" applyBorder="1" applyAlignment="1" applyProtection="1">
      <alignment horizontal="left" vertical="top"/>
      <protection locked="0"/>
    </xf>
    <xf numFmtId="3" fontId="2" fillId="53" borderId="11" xfId="60" applyNumberFormat="1" applyFont="1" applyFill="1" applyBorder="1" applyAlignment="1" applyProtection="1">
      <alignment horizontal="center" vertical="top"/>
      <protection locked="0"/>
    </xf>
    <xf numFmtId="0" fontId="148" fillId="34" borderId="0" xfId="0" applyFont="1" applyFill="1" applyAlignment="1" applyProtection="1">
      <alignment horizontal="right" shrinkToFit="1"/>
      <protection/>
    </xf>
    <xf numFmtId="9" fontId="148" fillId="34" borderId="0" xfId="69" applyFont="1" applyFill="1" applyAlignment="1" applyProtection="1">
      <alignment/>
      <protection/>
    </xf>
    <xf numFmtId="167" fontId="148" fillId="34" borderId="0" xfId="0" applyNumberFormat="1" applyFont="1" applyFill="1" applyAlignment="1" applyProtection="1">
      <alignment/>
      <protection/>
    </xf>
    <xf numFmtId="3" fontId="148" fillId="34" borderId="0" xfId="0" applyNumberFormat="1" applyFont="1" applyFill="1" applyAlignment="1" applyProtection="1">
      <alignment/>
      <protection/>
    </xf>
    <xf numFmtId="0" fontId="118" fillId="33" borderId="0" xfId="0" applyFont="1" applyFill="1" applyBorder="1" applyAlignment="1" applyProtection="1">
      <alignment/>
      <protection/>
    </xf>
    <xf numFmtId="0" fontId="0" fillId="47" borderId="0" xfId="0" applyNumberFormat="1" applyFill="1" applyBorder="1" applyAlignment="1" applyProtection="1">
      <alignment horizontal="left" vertical="top" wrapText="1"/>
      <protection/>
    </xf>
    <xf numFmtId="0" fontId="0" fillId="47" borderId="0" xfId="0" applyNumberFormat="1" applyFont="1" applyFill="1" applyBorder="1" applyAlignment="1" applyProtection="1">
      <alignment horizontal="left" vertical="top" wrapText="1"/>
      <protection/>
    </xf>
    <xf numFmtId="0" fontId="0" fillId="33" borderId="0" xfId="0" applyFill="1" applyBorder="1" applyAlignment="1" applyProtection="1">
      <alignment horizontal="left" vertical="top" wrapText="1"/>
      <protection/>
    </xf>
    <xf numFmtId="0" fontId="0" fillId="33" borderId="0" xfId="0" applyFont="1" applyFill="1" applyBorder="1" applyAlignment="1" applyProtection="1">
      <alignment horizontal="left" vertical="top" wrapText="1"/>
      <protection/>
    </xf>
    <xf numFmtId="0" fontId="0" fillId="33" borderId="0" xfId="0" applyNumberFormat="1" applyFill="1" applyAlignment="1">
      <alignment horizontal="left" vertical="top" wrapText="1"/>
    </xf>
    <xf numFmtId="0" fontId="0" fillId="33" borderId="0" xfId="0" applyNumberFormat="1" applyFont="1" applyFill="1" applyAlignment="1">
      <alignment horizontal="left" vertical="top" wrapText="1"/>
    </xf>
    <xf numFmtId="0" fontId="118" fillId="33" borderId="0" xfId="0" applyFont="1" applyFill="1" applyBorder="1" applyAlignment="1" applyProtection="1">
      <alignment horizontal="left"/>
      <protection/>
    </xf>
    <xf numFmtId="0" fontId="0" fillId="33" borderId="0" xfId="0" applyFill="1" applyAlignment="1">
      <alignment horizontal="left" vertical="top" wrapText="1"/>
    </xf>
    <xf numFmtId="0" fontId="0" fillId="33" borderId="0" xfId="0" applyFont="1" applyFill="1" applyAlignment="1">
      <alignment horizontal="left" vertical="top" wrapText="1"/>
    </xf>
    <xf numFmtId="0" fontId="0" fillId="54" borderId="0" xfId="0" applyNumberFormat="1" applyFill="1" applyBorder="1" applyAlignment="1" applyProtection="1">
      <alignment horizontal="left" vertical="top" wrapText="1"/>
      <protection/>
    </xf>
    <xf numFmtId="0" fontId="0" fillId="54" borderId="0" xfId="0" applyNumberFormat="1" applyFont="1" applyFill="1" applyBorder="1" applyAlignment="1" applyProtection="1">
      <alignment horizontal="left" vertical="top" wrapText="1"/>
      <protection/>
    </xf>
    <xf numFmtId="0" fontId="0" fillId="44" borderId="0" xfId="0" applyNumberFormat="1" applyFill="1" applyBorder="1" applyAlignment="1" applyProtection="1">
      <alignment horizontal="left" vertical="top" wrapText="1"/>
      <protection/>
    </xf>
    <xf numFmtId="0" fontId="0" fillId="44" borderId="0" xfId="0" applyNumberFormat="1" applyFont="1" applyFill="1" applyBorder="1" applyAlignment="1" applyProtection="1">
      <alignment horizontal="left" vertical="top" wrapText="1"/>
      <protection/>
    </xf>
    <xf numFmtId="0" fontId="0" fillId="33" borderId="0" xfId="0" applyFont="1" applyFill="1" applyBorder="1" applyAlignment="1" applyProtection="1">
      <alignment vertical="top" wrapText="1"/>
      <protection/>
    </xf>
    <xf numFmtId="0" fontId="0" fillId="33" borderId="0" xfId="0" applyNumberFormat="1" applyFill="1" applyBorder="1" applyAlignment="1" applyProtection="1">
      <alignment horizontal="left" vertical="top" wrapText="1"/>
      <protection/>
    </xf>
    <xf numFmtId="0" fontId="0" fillId="33" borderId="0" xfId="0" applyNumberFormat="1" applyFont="1" applyFill="1" applyBorder="1" applyAlignment="1" applyProtection="1">
      <alignment horizontal="left" vertical="top" wrapText="1"/>
      <protection/>
    </xf>
    <xf numFmtId="0" fontId="0" fillId="33" borderId="0" xfId="0" applyFont="1" applyFill="1" applyBorder="1" applyAlignment="1" applyProtection="1">
      <alignment vertical="top"/>
      <protection/>
    </xf>
    <xf numFmtId="0" fontId="118" fillId="33" borderId="0" xfId="0" applyFont="1" applyFill="1" applyAlignment="1" applyProtection="1">
      <alignment/>
      <protection/>
    </xf>
    <xf numFmtId="0" fontId="0" fillId="33" borderId="0" xfId="0" applyFill="1" applyBorder="1" applyAlignment="1" applyProtection="1">
      <alignment horizontal="left" vertical="center" wrapText="1"/>
      <protection/>
    </xf>
    <xf numFmtId="0" fontId="108" fillId="0" borderId="0" xfId="54" applyAlignment="1" applyProtection="1">
      <alignment vertical="top"/>
      <protection/>
    </xf>
    <xf numFmtId="0" fontId="0" fillId="33" borderId="0" xfId="0" applyFont="1" applyFill="1" applyBorder="1" applyAlignment="1" applyProtection="1">
      <alignment vertical="center"/>
      <protection/>
    </xf>
    <xf numFmtId="0" fontId="108" fillId="0" borderId="0" xfId="54" applyAlignment="1" applyProtection="1">
      <alignment vertical="top" wrapText="1"/>
      <protection/>
    </xf>
    <xf numFmtId="0" fontId="108" fillId="0" borderId="0" xfId="54" applyAlignment="1" applyProtection="1">
      <alignment horizontal="left" vertical="top" wrapText="1"/>
      <protection/>
    </xf>
    <xf numFmtId="0" fontId="114" fillId="33" borderId="0" xfId="0" applyFont="1" applyFill="1" applyAlignment="1" applyProtection="1">
      <alignment/>
      <protection/>
    </xf>
    <xf numFmtId="0" fontId="114" fillId="33" borderId="0" xfId="0" applyFont="1" applyFill="1" applyBorder="1" applyAlignment="1" applyProtection="1">
      <alignment/>
      <protection/>
    </xf>
    <xf numFmtId="0" fontId="149" fillId="0" borderId="0" xfId="0" applyFont="1" applyAlignment="1">
      <alignment/>
    </xf>
    <xf numFmtId="0" fontId="147" fillId="33" borderId="0" xfId="54" applyFont="1" applyFill="1" applyBorder="1" applyAlignment="1" applyProtection="1">
      <alignment vertical="top"/>
      <protection/>
    </xf>
    <xf numFmtId="0" fontId="108" fillId="33" borderId="0" xfId="54" applyFill="1" applyBorder="1" applyAlignment="1" applyProtection="1">
      <alignment vertical="top" wrapText="1"/>
      <protection/>
    </xf>
    <xf numFmtId="0" fontId="114" fillId="33" borderId="19" xfId="0" applyFont="1" applyFill="1" applyBorder="1" applyAlignment="1" applyProtection="1">
      <alignment/>
      <protection/>
    </xf>
    <xf numFmtId="0" fontId="150" fillId="33" borderId="0" xfId="0" applyFont="1" applyFill="1" applyAlignment="1" applyProtection="1">
      <alignment/>
      <protection/>
    </xf>
    <xf numFmtId="0" fontId="144" fillId="34" borderId="0" xfId="0" applyFont="1" applyFill="1" applyAlignment="1" applyProtection="1">
      <alignment/>
      <protection/>
    </xf>
    <xf numFmtId="0" fontId="120" fillId="0" borderId="0" xfId="0" applyFont="1" applyFill="1" applyBorder="1" applyAlignment="1" applyProtection="1">
      <alignment vertical="center" wrapText="1"/>
      <protection/>
    </xf>
    <xf numFmtId="0" fontId="118" fillId="33" borderId="0" xfId="0" applyFont="1" applyFill="1" applyAlignment="1" applyProtection="1">
      <alignment horizontal="left" vertical="center"/>
      <protection/>
    </xf>
    <xf numFmtId="14" fontId="66" fillId="51" borderId="14" xfId="60" applyNumberFormat="1" applyFont="1" applyFill="1" applyBorder="1" applyAlignment="1" applyProtection="1">
      <alignment horizontal="left" vertical="top"/>
      <protection locked="0"/>
    </xf>
    <xf numFmtId="14" fontId="66" fillId="51" borderId="15" xfId="60" applyNumberFormat="1" applyFont="1" applyFill="1" applyBorder="1" applyAlignment="1" applyProtection="1">
      <alignment horizontal="left" vertical="top"/>
      <protection locked="0"/>
    </xf>
    <xf numFmtId="14" fontId="66" fillId="51" borderId="16" xfId="60" applyNumberFormat="1" applyFont="1" applyFill="1" applyBorder="1" applyAlignment="1" applyProtection="1">
      <alignment horizontal="left" vertical="top"/>
      <protection locked="0"/>
    </xf>
    <xf numFmtId="0" fontId="31" fillId="33" borderId="0" xfId="0" applyFont="1" applyFill="1" applyBorder="1" applyAlignment="1" applyProtection="1">
      <alignment vertical="center" wrapText="1"/>
      <protection/>
    </xf>
    <xf numFmtId="0" fontId="120" fillId="33" borderId="0" xfId="0" applyFont="1" applyFill="1" applyBorder="1" applyAlignment="1" applyProtection="1">
      <alignment vertical="center" wrapText="1"/>
      <protection/>
    </xf>
    <xf numFmtId="0" fontId="66" fillId="51" borderId="14" xfId="60" applyFont="1" applyFill="1" applyBorder="1" applyAlignment="1" applyProtection="1">
      <alignment horizontal="left" vertical="top"/>
      <protection locked="0"/>
    </xf>
    <xf numFmtId="0" fontId="66" fillId="51" borderId="15" xfId="60" applyFont="1" applyFill="1" applyBorder="1" applyAlignment="1" applyProtection="1">
      <alignment horizontal="left" vertical="top"/>
      <protection locked="0"/>
    </xf>
    <xf numFmtId="0" fontId="66" fillId="51" borderId="16" xfId="60" applyFont="1" applyFill="1" applyBorder="1" applyAlignment="1" applyProtection="1">
      <alignment horizontal="left" vertical="top"/>
      <protection locked="0"/>
    </xf>
    <xf numFmtId="164" fontId="66" fillId="51" borderId="14" xfId="60" applyNumberFormat="1" applyFont="1" applyFill="1" applyBorder="1" applyAlignment="1" applyProtection="1">
      <alignment vertical="top"/>
      <protection locked="0"/>
    </xf>
    <xf numFmtId="164" fontId="66" fillId="51" borderId="15" xfId="60" applyNumberFormat="1" applyFont="1" applyFill="1" applyBorder="1" applyAlignment="1" applyProtection="1">
      <alignment vertical="top"/>
      <protection locked="0"/>
    </xf>
    <xf numFmtId="164" fontId="66" fillId="51" borderId="16" xfId="60" applyNumberFormat="1" applyFont="1" applyFill="1" applyBorder="1" applyAlignment="1" applyProtection="1">
      <alignment vertical="top"/>
      <protection locked="0"/>
    </xf>
    <xf numFmtId="0" fontId="67" fillId="33" borderId="0" xfId="0" applyFont="1" applyFill="1" applyAlignment="1" applyProtection="1">
      <alignment horizontal="right" vertical="top"/>
      <protection/>
    </xf>
    <xf numFmtId="0" fontId="67" fillId="33" borderId="19" xfId="0" applyFont="1" applyFill="1" applyBorder="1" applyAlignment="1" applyProtection="1">
      <alignment horizontal="right" vertical="top"/>
      <protection/>
    </xf>
    <xf numFmtId="0" fontId="151" fillId="33" borderId="0" xfId="0" applyFont="1" applyFill="1" applyBorder="1" applyAlignment="1" applyProtection="1">
      <alignment/>
      <protection/>
    </xf>
    <xf numFmtId="0" fontId="67" fillId="33" borderId="12" xfId="0" applyFont="1" applyFill="1" applyBorder="1" applyAlignment="1" applyProtection="1">
      <alignment horizontal="right" vertical="top"/>
      <protection/>
    </xf>
    <xf numFmtId="0" fontId="66" fillId="51" borderId="14" xfId="60" applyFont="1" applyFill="1" applyBorder="1" applyAlignment="1" applyProtection="1">
      <alignment vertical="top"/>
      <protection locked="0"/>
    </xf>
    <xf numFmtId="0" fontId="66" fillId="51" borderId="15" xfId="60" applyFont="1" applyFill="1" applyBorder="1" applyAlignment="1" applyProtection="1">
      <alignment vertical="top"/>
      <protection locked="0"/>
    </xf>
    <xf numFmtId="0" fontId="66" fillId="51" borderId="16" xfId="60" applyFont="1" applyFill="1" applyBorder="1" applyAlignment="1" applyProtection="1">
      <alignment vertical="top"/>
      <protection locked="0"/>
    </xf>
    <xf numFmtId="0" fontId="0" fillId="0" borderId="0" xfId="0" applyFont="1" applyFill="1" applyAlignment="1" applyProtection="1">
      <alignment/>
      <protection/>
    </xf>
    <xf numFmtId="0" fontId="67" fillId="33" borderId="0" xfId="0" applyFont="1" applyFill="1" applyBorder="1" applyAlignment="1" applyProtection="1">
      <alignment horizontal="right" vertical="top"/>
      <protection/>
    </xf>
    <xf numFmtId="0" fontId="67" fillId="33" borderId="0" xfId="0" applyFont="1" applyFill="1" applyAlignment="1" applyProtection="1">
      <alignment vertical="top"/>
      <protection/>
    </xf>
    <xf numFmtId="0" fontId="67" fillId="33" borderId="19" xfId="0" applyFont="1" applyFill="1" applyBorder="1" applyAlignment="1" applyProtection="1">
      <alignment vertical="top"/>
      <protection/>
    </xf>
    <xf numFmtId="0" fontId="152" fillId="0" borderId="12" xfId="0" applyFont="1" applyFill="1" applyBorder="1" applyAlignment="1" applyProtection="1">
      <alignment vertical="center"/>
      <protection/>
    </xf>
    <xf numFmtId="0" fontId="152" fillId="0" borderId="0" xfId="0" applyFont="1" applyFill="1" applyBorder="1" applyAlignment="1" applyProtection="1">
      <alignment vertical="center"/>
      <protection/>
    </xf>
    <xf numFmtId="0" fontId="77" fillId="0" borderId="12" xfId="0" applyFont="1" applyFill="1" applyBorder="1" applyAlignment="1" applyProtection="1">
      <alignment vertical="center"/>
      <protection/>
    </xf>
    <xf numFmtId="0" fontId="77" fillId="0" borderId="0" xfId="0" applyFont="1" applyFill="1" applyBorder="1" applyAlignment="1" applyProtection="1">
      <alignment vertical="center"/>
      <protection/>
    </xf>
    <xf numFmtId="0" fontId="66" fillId="33" borderId="0" xfId="0" applyFont="1" applyFill="1" applyAlignment="1" applyProtection="1">
      <alignment vertical="top"/>
      <protection/>
    </xf>
    <xf numFmtId="0" fontId="67" fillId="33" borderId="0" xfId="0" applyFont="1" applyFill="1" applyBorder="1" applyAlignment="1" applyProtection="1">
      <alignment vertical="top"/>
      <protection/>
    </xf>
    <xf numFmtId="0" fontId="66" fillId="51" borderId="11" xfId="60" applyFont="1" applyFill="1" applyBorder="1" applyAlignment="1" applyProtection="1">
      <alignment horizontal="left" vertical="top"/>
      <protection locked="0"/>
    </xf>
    <xf numFmtId="0" fontId="120" fillId="33" borderId="0" xfId="0" applyFont="1" applyFill="1" applyBorder="1" applyAlignment="1" applyProtection="1">
      <alignment vertical="top" wrapText="1"/>
      <protection/>
    </xf>
    <xf numFmtId="0" fontId="31" fillId="0" borderId="0" xfId="0" applyFont="1" applyFill="1" applyBorder="1" applyAlignment="1" applyProtection="1">
      <alignment vertical="center" wrapText="1"/>
      <protection/>
    </xf>
    <xf numFmtId="0" fontId="0" fillId="0" borderId="0" xfId="0" applyFont="1" applyFill="1" applyBorder="1" applyAlignment="1" applyProtection="1">
      <alignment vertical="center" wrapText="1"/>
      <protection/>
    </xf>
    <xf numFmtId="0" fontId="135" fillId="33" borderId="0" xfId="0" applyFont="1" applyFill="1" applyAlignment="1" applyProtection="1">
      <alignment vertical="center" wrapText="1"/>
      <protection/>
    </xf>
    <xf numFmtId="0" fontId="136" fillId="33" borderId="0" xfId="54" applyFont="1" applyFill="1" applyAlignment="1" applyProtection="1">
      <alignment/>
      <protection/>
    </xf>
    <xf numFmtId="0" fontId="136" fillId="33" borderId="19" xfId="54" applyFont="1" applyFill="1" applyBorder="1" applyAlignment="1" applyProtection="1">
      <alignment/>
      <protection/>
    </xf>
    <xf numFmtId="0" fontId="153" fillId="33" borderId="0" xfId="54" applyFont="1" applyFill="1" applyBorder="1" applyAlignment="1" applyProtection="1">
      <alignment vertical="center"/>
      <protection/>
    </xf>
    <xf numFmtId="0" fontId="118" fillId="33" borderId="0" xfId="0" applyFont="1" applyFill="1" applyAlignment="1" applyProtection="1">
      <alignment vertical="center"/>
      <protection/>
    </xf>
    <xf numFmtId="0" fontId="114" fillId="33" borderId="0" xfId="0" applyFont="1" applyFill="1" applyBorder="1" applyAlignment="1" applyProtection="1">
      <alignment vertical="center"/>
      <protection/>
    </xf>
    <xf numFmtId="0" fontId="118" fillId="0" borderId="0" xfId="0" applyFont="1" applyFill="1" applyBorder="1" applyAlignment="1" applyProtection="1">
      <alignment/>
      <protection/>
    </xf>
    <xf numFmtId="0" fontId="0" fillId="33" borderId="0" xfId="0" applyFill="1" applyAlignment="1" applyProtection="1">
      <alignment/>
      <protection/>
    </xf>
    <xf numFmtId="0" fontId="0" fillId="33" borderId="19" xfId="0" applyFill="1" applyBorder="1" applyAlignment="1" applyProtection="1">
      <alignment/>
      <protection/>
    </xf>
    <xf numFmtId="0" fontId="154" fillId="33" borderId="12" xfId="0" applyFont="1" applyFill="1" applyBorder="1" applyAlignment="1" applyProtection="1">
      <alignment/>
      <protection/>
    </xf>
    <xf numFmtId="0" fontId="154" fillId="33" borderId="0" xfId="0" applyFont="1" applyFill="1" applyAlignment="1" applyProtection="1">
      <alignment/>
      <protection/>
    </xf>
    <xf numFmtId="0" fontId="114" fillId="33" borderId="0" xfId="0" applyFont="1" applyFill="1" applyAlignment="1" applyProtection="1">
      <alignment vertical="center" wrapText="1"/>
      <protection/>
    </xf>
    <xf numFmtId="0" fontId="67" fillId="33" borderId="0" xfId="0" applyFont="1" applyFill="1" applyBorder="1" applyAlignment="1" applyProtection="1">
      <alignment/>
      <protection/>
    </xf>
    <xf numFmtId="0" fontId="114" fillId="33" borderId="0" xfId="0" applyFont="1" applyFill="1" applyBorder="1" applyAlignment="1" applyProtection="1">
      <alignment vertical="top" wrapText="1"/>
      <protection/>
    </xf>
    <xf numFmtId="0" fontId="154" fillId="33" borderId="0" xfId="0" applyFont="1" applyFill="1" applyAlignment="1" applyProtection="1">
      <alignment vertical="top" wrapText="1"/>
      <protection/>
    </xf>
    <xf numFmtId="0" fontId="118" fillId="0" borderId="0" xfId="0" applyFont="1" applyAlignment="1">
      <alignment/>
    </xf>
    <xf numFmtId="0" fontId="114" fillId="33" borderId="0" xfId="0" applyFont="1" applyFill="1" applyAlignment="1" applyProtection="1">
      <alignment vertical="center"/>
      <protection/>
    </xf>
    <xf numFmtId="0" fontId="118" fillId="0" borderId="0" xfId="0" applyFont="1" applyAlignment="1">
      <alignment horizontal="left"/>
    </xf>
    <xf numFmtId="0" fontId="0" fillId="33" borderId="0" xfId="0" applyFill="1" applyBorder="1" applyAlignment="1" applyProtection="1">
      <alignment/>
      <protection/>
    </xf>
    <xf numFmtId="0" fontId="114" fillId="33" borderId="0" xfId="0" applyFont="1" applyFill="1" applyAlignment="1" applyProtection="1">
      <alignment horizontal="left" vertical="center"/>
      <protection/>
    </xf>
    <xf numFmtId="0" fontId="118" fillId="33" borderId="0" xfId="0" applyFont="1" applyFill="1" applyAlignment="1" applyProtection="1">
      <alignment horizontal="left"/>
      <protection/>
    </xf>
    <xf numFmtId="3" fontId="0" fillId="16" borderId="17" xfId="0" applyNumberFormat="1" applyFill="1" applyBorder="1" applyAlignment="1" applyProtection="1">
      <alignment horizontal="center" vertical="center"/>
      <protection/>
    </xf>
    <xf numFmtId="3" fontId="0" fillId="16" borderId="10" xfId="0" applyNumberFormat="1" applyFill="1" applyBorder="1" applyAlignment="1" applyProtection="1">
      <alignment horizontal="center" vertical="center"/>
      <protection/>
    </xf>
    <xf numFmtId="0" fontId="135" fillId="33" borderId="0" xfId="0" applyFont="1" applyFill="1" applyAlignment="1" applyProtection="1">
      <alignment vertical="top" wrapText="1"/>
      <protection/>
    </xf>
    <xf numFmtId="0" fontId="136" fillId="33" borderId="0" xfId="54" applyFont="1" applyFill="1" applyAlignment="1" applyProtection="1">
      <alignment wrapText="1"/>
      <protection/>
    </xf>
    <xf numFmtId="0" fontId="136" fillId="33" borderId="19" xfId="54" applyFont="1" applyFill="1" applyBorder="1" applyAlignment="1" applyProtection="1">
      <alignment wrapText="1"/>
      <protection/>
    </xf>
    <xf numFmtId="178" fontId="0" fillId="16" borderId="17" xfId="0" applyNumberFormat="1" applyFill="1" applyBorder="1" applyAlignment="1" applyProtection="1">
      <alignment horizontal="center" vertical="center"/>
      <protection locked="0"/>
    </xf>
    <xf numFmtId="178" fontId="0" fillId="16" borderId="10" xfId="0" applyNumberFormat="1" applyFill="1" applyBorder="1" applyAlignment="1" applyProtection="1">
      <alignment horizontal="center" vertical="center"/>
      <protection locked="0"/>
    </xf>
    <xf numFmtId="0" fontId="0" fillId="16" borderId="17" xfId="0" applyNumberFormat="1" applyFill="1" applyBorder="1" applyAlignment="1" applyProtection="1">
      <alignment horizontal="center" vertical="center"/>
      <protection locked="0"/>
    </xf>
    <xf numFmtId="0" fontId="0" fillId="16" borderId="10" xfId="0" applyNumberFormat="1" applyFill="1" applyBorder="1" applyAlignment="1" applyProtection="1">
      <alignment horizontal="center" vertical="center"/>
      <protection locked="0"/>
    </xf>
    <xf numFmtId="0" fontId="31" fillId="0" borderId="0" xfId="0" applyFont="1" applyAlignment="1">
      <alignment vertical="center" wrapText="1"/>
    </xf>
    <xf numFmtId="0" fontId="120" fillId="0" borderId="0" xfId="0" applyFont="1" applyAlignment="1">
      <alignment vertical="center" wrapText="1"/>
    </xf>
    <xf numFmtId="3" fontId="0" fillId="16" borderId="17" xfId="0" applyNumberFormat="1" applyFill="1" applyBorder="1" applyAlignment="1" applyProtection="1">
      <alignment horizontal="center" vertical="center"/>
      <protection locked="0"/>
    </xf>
    <xf numFmtId="3" fontId="0" fillId="16" borderId="10" xfId="0" applyNumberFormat="1" applyFill="1" applyBorder="1" applyAlignment="1" applyProtection="1">
      <alignment horizontal="center" vertical="center"/>
      <protection locked="0"/>
    </xf>
    <xf numFmtId="0" fontId="31" fillId="33" borderId="0" xfId="0" applyFont="1" applyFill="1" applyAlignment="1">
      <alignment vertical="center" wrapText="1"/>
    </xf>
    <xf numFmtId="0" fontId="120" fillId="33" borderId="0" xfId="0" applyFont="1" applyFill="1" applyAlignment="1">
      <alignment vertical="center" wrapText="1"/>
    </xf>
    <xf numFmtId="0" fontId="118" fillId="33" borderId="0" xfId="0" applyFont="1" applyFill="1" applyAlignment="1">
      <alignment/>
    </xf>
    <xf numFmtId="0" fontId="114" fillId="33" borderId="0" xfId="0" applyFont="1" applyFill="1" applyBorder="1" applyAlignment="1" applyProtection="1">
      <alignment vertical="center" wrapText="1"/>
      <protection/>
    </xf>
    <xf numFmtId="165" fontId="153" fillId="33" borderId="0" xfId="54" applyNumberFormat="1" applyFont="1" applyFill="1" applyBorder="1" applyAlignment="1" applyProtection="1">
      <alignment vertical="center"/>
      <protection/>
    </xf>
    <xf numFmtId="3" fontId="153" fillId="33" borderId="0" xfId="54" applyNumberFormat="1" applyFont="1" applyFill="1" applyBorder="1" applyAlignment="1" applyProtection="1">
      <alignment vertical="center"/>
      <protection/>
    </xf>
    <xf numFmtId="0" fontId="115" fillId="33" borderId="0" xfId="0" applyFont="1" applyFill="1" applyBorder="1" applyAlignment="1" applyProtection="1">
      <alignment/>
      <protection/>
    </xf>
    <xf numFmtId="0" fontId="115" fillId="33" borderId="0" xfId="0" applyFont="1" applyFill="1" applyAlignment="1" applyProtection="1">
      <alignment/>
      <protection/>
    </xf>
    <xf numFmtId="0" fontId="114" fillId="33" borderId="0" xfId="0" applyFont="1" applyFill="1" applyAlignment="1" applyProtection="1">
      <alignment vertical="top" wrapText="1"/>
      <protection/>
    </xf>
    <xf numFmtId="0" fontId="67" fillId="33" borderId="0" xfId="0" applyFont="1" applyFill="1" applyAlignment="1">
      <alignment horizontal="left" wrapText="1"/>
    </xf>
    <xf numFmtId="0" fontId="66" fillId="33" borderId="0" xfId="0" applyFont="1" applyFill="1" applyAlignment="1">
      <alignment horizontal="left" wrapText="1"/>
    </xf>
    <xf numFmtId="0" fontId="0" fillId="33" borderId="0" xfId="0" applyFill="1" applyAlignment="1" applyProtection="1">
      <alignment horizontal="left"/>
      <protection/>
    </xf>
    <xf numFmtId="0" fontId="0" fillId="33" borderId="19" xfId="0" applyFill="1" applyBorder="1" applyAlignment="1" applyProtection="1">
      <alignment horizontal="left"/>
      <protection/>
    </xf>
    <xf numFmtId="0" fontId="133" fillId="33" borderId="0" xfId="0" applyFont="1" applyFill="1" applyAlignment="1">
      <alignment vertical="top" wrapText="1"/>
    </xf>
    <xf numFmtId="0" fontId="0" fillId="33" borderId="0" xfId="0" applyFill="1" applyAlignment="1">
      <alignment/>
    </xf>
    <xf numFmtId="0" fontId="118" fillId="33" borderId="0" xfId="0" applyFont="1" applyFill="1" applyAlignment="1">
      <alignment vertical="center"/>
    </xf>
    <xf numFmtId="0" fontId="66" fillId="33" borderId="0" xfId="0" applyFont="1" applyFill="1" applyAlignment="1">
      <alignment vertical="top" wrapText="1"/>
    </xf>
    <xf numFmtId="0" fontId="0" fillId="33" borderId="0" xfId="0" applyFill="1" applyBorder="1" applyAlignment="1" applyProtection="1">
      <alignment vertical="center"/>
      <protection/>
    </xf>
    <xf numFmtId="0" fontId="0" fillId="33" borderId="0" xfId="0" applyFill="1" applyAlignment="1">
      <alignment horizontal="left" vertical="center"/>
    </xf>
    <xf numFmtId="0" fontId="147" fillId="33" borderId="0" xfId="54" applyFont="1" applyFill="1" applyAlignment="1" applyProtection="1">
      <alignment horizontal="left" vertical="center" wrapText="1"/>
      <protection/>
    </xf>
    <xf numFmtId="0" fontId="118" fillId="33" borderId="0" xfId="0" applyFont="1" applyFill="1" applyAlignment="1">
      <alignment horizontal="left"/>
    </xf>
    <xf numFmtId="0" fontId="66" fillId="33" borderId="0" xfId="0" applyFont="1" applyFill="1" applyAlignment="1">
      <alignment vertical="center" wrapText="1"/>
    </xf>
    <xf numFmtId="0" fontId="147" fillId="33" borderId="0" xfId="54" applyFont="1" applyFill="1" applyAlignment="1" applyProtection="1">
      <alignment vertical="center" wrapText="1"/>
      <protection/>
    </xf>
    <xf numFmtId="0" fontId="154" fillId="33" borderId="12" xfId="0" applyFont="1" applyFill="1" applyBorder="1" applyAlignment="1">
      <alignment/>
    </xf>
    <xf numFmtId="0" fontId="154" fillId="33" borderId="0" xfId="0" applyFont="1" applyFill="1" applyAlignment="1">
      <alignment/>
    </xf>
    <xf numFmtId="3" fontId="153" fillId="33" borderId="0" xfId="54" applyNumberFormat="1" applyFont="1" applyFill="1" applyBorder="1" applyAlignment="1" applyProtection="1">
      <alignment horizontal="left" vertical="center"/>
      <protection/>
    </xf>
    <xf numFmtId="0" fontId="114" fillId="33" borderId="0" xfId="0" applyFont="1" applyFill="1" applyBorder="1" applyAlignment="1" applyProtection="1">
      <alignment wrapText="1"/>
      <protection/>
    </xf>
    <xf numFmtId="0" fontId="114" fillId="0" borderId="0" xfId="0" applyFont="1" applyBorder="1" applyAlignment="1" applyProtection="1">
      <alignment/>
      <protection/>
    </xf>
    <xf numFmtId="0" fontId="114" fillId="0" borderId="19" xfId="0" applyFont="1" applyBorder="1" applyAlignment="1" applyProtection="1">
      <alignment/>
      <protection/>
    </xf>
    <xf numFmtId="0" fontId="114" fillId="0" borderId="0" xfId="0" applyFont="1" applyFill="1" applyBorder="1" applyAlignment="1" applyProtection="1">
      <alignment horizontal="left"/>
      <protection/>
    </xf>
    <xf numFmtId="0" fontId="114" fillId="0" borderId="0" xfId="0" applyFont="1" applyFill="1" applyAlignment="1">
      <alignment horizontal="left"/>
    </xf>
    <xf numFmtId="0" fontId="114" fillId="0" borderId="19" xfId="0" applyFont="1" applyFill="1" applyBorder="1" applyAlignment="1">
      <alignment horizontal="left"/>
    </xf>
    <xf numFmtId="0" fontId="114" fillId="0" borderId="0" xfId="0" applyFont="1" applyFill="1" applyBorder="1" applyAlignment="1">
      <alignment horizontal="left"/>
    </xf>
    <xf numFmtId="3" fontId="32" fillId="33" borderId="0" xfId="60" applyNumberFormat="1" applyFont="1" applyFill="1" applyBorder="1" applyAlignment="1" applyProtection="1">
      <alignment vertical="top" wrapText="1"/>
      <protection/>
    </xf>
    <xf numFmtId="0" fontId="117" fillId="35" borderId="11" xfId="0" applyFont="1" applyFill="1" applyBorder="1" applyAlignment="1" applyProtection="1">
      <alignment horizontal="center"/>
      <protection/>
    </xf>
    <xf numFmtId="0" fontId="117" fillId="35" borderId="11" xfId="0" applyFont="1" applyFill="1" applyBorder="1" applyAlignment="1" applyProtection="1">
      <alignment horizontal="center" wrapText="1"/>
      <protection/>
    </xf>
    <xf numFmtId="0" fontId="137" fillId="0" borderId="0" xfId="0" applyFont="1" applyAlignment="1">
      <alignment vertical="top" wrapText="1"/>
    </xf>
    <xf numFmtId="0" fontId="114" fillId="33" borderId="0" xfId="0" applyFont="1" applyFill="1" applyAlignment="1" applyProtection="1">
      <alignment horizontal="left"/>
      <protection/>
    </xf>
    <xf numFmtId="0" fontId="114" fillId="33" borderId="19" xfId="0" applyFont="1" applyFill="1" applyBorder="1" applyAlignment="1" applyProtection="1">
      <alignment horizontal="left"/>
      <protection/>
    </xf>
    <xf numFmtId="0" fontId="114" fillId="0" borderId="0" xfId="0" applyFont="1" applyFill="1" applyAlignment="1">
      <alignment horizontal="right"/>
    </xf>
    <xf numFmtId="0" fontId="114" fillId="0" borderId="19" xfId="0" applyFont="1" applyFill="1" applyBorder="1" applyAlignment="1">
      <alignment horizontal="right"/>
    </xf>
    <xf numFmtId="0" fontId="0" fillId="33" borderId="0" xfId="0" applyFill="1" applyAlignment="1" applyProtection="1">
      <alignment horizontal="left" vertical="center" wrapText="1"/>
      <protection/>
    </xf>
    <xf numFmtId="0" fontId="114" fillId="0" borderId="0" xfId="0" applyFont="1" applyAlignment="1">
      <alignment horizontal="left"/>
    </xf>
    <xf numFmtId="0" fontId="114" fillId="0" borderId="19" xfId="0" applyFont="1" applyBorder="1" applyAlignment="1">
      <alignment horizontal="left"/>
    </xf>
    <xf numFmtId="0" fontId="0" fillId="0" borderId="0" xfId="0" applyAlignment="1">
      <alignment/>
    </xf>
    <xf numFmtId="0" fontId="0" fillId="0" borderId="19" xfId="0" applyBorder="1" applyAlignment="1">
      <alignment/>
    </xf>
    <xf numFmtId="0" fontId="117" fillId="35" borderId="37" xfId="0" applyFont="1" applyFill="1" applyBorder="1" applyAlignment="1" applyProtection="1">
      <alignment horizontal="center"/>
      <protection/>
    </xf>
    <xf numFmtId="0" fontId="117" fillId="35" borderId="13" xfId="0" applyFont="1" applyFill="1" applyBorder="1" applyAlignment="1" applyProtection="1">
      <alignment horizontal="center"/>
      <protection/>
    </xf>
    <xf numFmtId="0" fontId="155" fillId="0" borderId="0" xfId="0" applyFont="1" applyFill="1" applyAlignment="1">
      <alignment/>
    </xf>
    <xf numFmtId="0" fontId="114" fillId="33" borderId="0" xfId="0" applyFont="1" applyFill="1" applyAlignment="1">
      <alignment vertical="center"/>
    </xf>
    <xf numFmtId="0" fontId="0" fillId="0" borderId="0" xfId="0" applyAlignment="1">
      <alignment vertical="top" wrapText="1"/>
    </xf>
    <xf numFmtId="3" fontId="2" fillId="52" borderId="14" xfId="60" applyNumberFormat="1" applyFont="1" applyFill="1" applyBorder="1" applyAlignment="1" applyProtection="1">
      <alignment vertical="top"/>
      <protection locked="0"/>
    </xf>
    <xf numFmtId="3" fontId="2" fillId="52" borderId="16" xfId="60" applyNumberFormat="1" applyFont="1" applyFill="1" applyBorder="1" applyAlignment="1" applyProtection="1">
      <alignment vertical="top"/>
      <protection locked="0"/>
    </xf>
    <xf numFmtId="0" fontId="114" fillId="0" borderId="0" xfId="0" applyFont="1" applyBorder="1" applyAlignment="1">
      <alignment/>
    </xf>
    <xf numFmtId="0" fontId="114" fillId="0" borderId="19" xfId="0" applyFont="1" applyBorder="1" applyAlignment="1">
      <alignment/>
    </xf>
    <xf numFmtId="3" fontId="32" fillId="33" borderId="0" xfId="60" applyNumberFormat="1" applyFont="1" applyFill="1" applyBorder="1" applyAlignment="1" applyProtection="1">
      <alignment horizontal="left" vertical="top" wrapText="1"/>
      <protection/>
    </xf>
    <xf numFmtId="0" fontId="114" fillId="0" borderId="0" xfId="0" applyFont="1" applyAlignment="1">
      <alignment/>
    </xf>
    <xf numFmtId="0" fontId="77" fillId="0" borderId="12" xfId="0" applyFont="1" applyBorder="1" applyAlignment="1">
      <alignment horizontal="left"/>
    </xf>
    <xf numFmtId="0" fontId="77" fillId="0" borderId="0" xfId="0" applyFont="1" applyAlignment="1">
      <alignment horizontal="left"/>
    </xf>
    <xf numFmtId="0" fontId="0" fillId="0" borderId="0" xfId="0" applyAlignment="1">
      <alignment vertical="center" wrapText="1"/>
    </xf>
    <xf numFmtId="0" fontId="147" fillId="0" borderId="0" xfId="54" applyFont="1" applyAlignment="1" applyProtection="1">
      <alignment vertical="center"/>
      <protection/>
    </xf>
    <xf numFmtId="0" fontId="0" fillId="0" borderId="0" xfId="0" applyFill="1" applyAlignment="1">
      <alignment/>
    </xf>
    <xf numFmtId="0" fontId="147" fillId="33" borderId="0" xfId="54" applyFont="1" applyFill="1" applyAlignment="1" applyProtection="1">
      <alignment vertical="top" wrapText="1"/>
      <protection/>
    </xf>
    <xf numFmtId="0" fontId="156" fillId="33" borderId="0" xfId="0" applyFont="1" applyFill="1" applyAlignment="1">
      <alignment vertical="top" wrapText="1"/>
    </xf>
    <xf numFmtId="0" fontId="1" fillId="0" borderId="0" xfId="0" applyFont="1" applyAlignment="1">
      <alignment vertical="top" wrapText="1"/>
    </xf>
    <xf numFmtId="0" fontId="114" fillId="33" borderId="0" xfId="0" applyFont="1" applyFill="1" applyAlignment="1" applyProtection="1">
      <alignment vertical="top"/>
      <protection/>
    </xf>
    <xf numFmtId="0" fontId="147" fillId="0" borderId="0" xfId="54" applyFont="1" applyAlignment="1" applyProtection="1">
      <alignment vertical="center" wrapText="1"/>
      <protection/>
    </xf>
    <xf numFmtId="0" fontId="66" fillId="33" borderId="0" xfId="0" applyFont="1" applyFill="1" applyAlignment="1">
      <alignment horizontal="left" vertical="top" wrapText="1"/>
    </xf>
    <xf numFmtId="0" fontId="66" fillId="33" borderId="0" xfId="0" applyFont="1" applyFill="1" applyAlignment="1">
      <alignment vertical="center"/>
    </xf>
    <xf numFmtId="0" fontId="19" fillId="0" borderId="0" xfId="55" applyFont="1" applyAlignment="1" applyProtection="1" quotePrefix="1">
      <alignment/>
      <protection/>
    </xf>
    <xf numFmtId="0" fontId="19" fillId="0" borderId="0" xfId="55" applyFont="1" applyAlignment="1" applyProtection="1">
      <alignment/>
      <protection/>
    </xf>
    <xf numFmtId="0" fontId="19" fillId="0" borderId="0" xfId="55" applyFont="1" applyFill="1" applyAlignment="1" applyProtection="1">
      <alignment horizontal="left"/>
      <protection/>
    </xf>
    <xf numFmtId="0" fontId="19" fillId="0" borderId="0" xfId="55" applyFont="1" applyAlignment="1" applyProtection="1">
      <alignment horizontal="left"/>
      <protection/>
    </xf>
    <xf numFmtId="0" fontId="11" fillId="0" borderId="0" xfId="0" applyFont="1" applyAlignment="1">
      <alignment horizontal="left"/>
    </xf>
    <xf numFmtId="0" fontId="10" fillId="0" borderId="14" xfId="0" applyFont="1" applyFill="1" applyBorder="1" applyAlignment="1" applyProtection="1">
      <alignment horizontal="left"/>
      <protection/>
    </xf>
    <xf numFmtId="0" fontId="10" fillId="0" borderId="15" xfId="0" applyFont="1" applyFill="1" applyBorder="1" applyAlignment="1" applyProtection="1">
      <alignment horizontal="left"/>
      <protection/>
    </xf>
    <xf numFmtId="0" fontId="24" fillId="0" borderId="16" xfId="0" applyFont="1" applyBorder="1" applyAlignment="1" applyProtection="1">
      <alignment horizontal="left"/>
      <protection/>
    </xf>
    <xf numFmtId="0" fontId="10" fillId="0" borderId="11" xfId="0" applyFont="1" applyFill="1" applyBorder="1" applyAlignment="1" applyProtection="1">
      <alignment horizontal="center" vertical="center"/>
      <protection/>
    </xf>
    <xf numFmtId="3" fontId="11" fillId="0" borderId="14" xfId="0" applyNumberFormat="1" applyFont="1" applyFill="1" applyBorder="1" applyAlignment="1" applyProtection="1">
      <alignment horizontal="center" vertical="center"/>
      <protection/>
    </xf>
    <xf numFmtId="0" fontId="0" fillId="0" borderId="16" xfId="0" applyBorder="1" applyAlignment="1" applyProtection="1">
      <alignment/>
      <protection/>
    </xf>
    <xf numFmtId="0" fontId="0" fillId="0" borderId="11" xfId="0" applyBorder="1" applyAlignment="1" applyProtection="1">
      <alignment/>
      <protection/>
    </xf>
    <xf numFmtId="3" fontId="2" fillId="0" borderId="16" xfId="0" applyNumberFormat="1" applyFont="1" applyBorder="1" applyAlignment="1" applyProtection="1">
      <alignment/>
      <protection/>
    </xf>
    <xf numFmtId="0" fontId="10" fillId="43" borderId="14" xfId="66" applyNumberFormat="1" applyFont="1" applyFill="1" applyBorder="1" applyAlignment="1" applyProtection="1">
      <alignment/>
      <protection locked="0"/>
    </xf>
    <xf numFmtId="0" fontId="10" fillId="43" borderId="15" xfId="66" applyNumberFormat="1" applyFont="1" applyFill="1" applyBorder="1" applyAlignment="1" applyProtection="1">
      <alignment/>
      <protection locked="0"/>
    </xf>
    <xf numFmtId="0" fontId="10" fillId="43" borderId="16" xfId="66" applyNumberFormat="1" applyFont="1" applyFill="1" applyBorder="1" applyAlignment="1" applyProtection="1">
      <alignment/>
      <protection locked="0"/>
    </xf>
    <xf numFmtId="0" fontId="10" fillId="39" borderId="38" xfId="0" applyFont="1" applyFill="1" applyBorder="1" applyAlignment="1" applyProtection="1">
      <alignment vertical="center" wrapText="1"/>
      <protection/>
    </xf>
    <xf numFmtId="0" fontId="10" fillId="39" borderId="39" xfId="0" applyFont="1" applyFill="1" applyBorder="1" applyAlignment="1" applyProtection="1">
      <alignment vertical="center" wrapText="1"/>
      <protection/>
    </xf>
    <xf numFmtId="0" fontId="10" fillId="39" borderId="37" xfId="0" applyFont="1" applyFill="1" applyBorder="1" applyAlignment="1" applyProtection="1">
      <alignment vertical="center" wrapText="1"/>
      <protection/>
    </xf>
    <xf numFmtId="0" fontId="10" fillId="39" borderId="40" xfId="0" applyFont="1" applyFill="1" applyBorder="1" applyAlignment="1" applyProtection="1">
      <alignment vertical="center" wrapText="1"/>
      <protection/>
    </xf>
    <xf numFmtId="0" fontId="11" fillId="0" borderId="11" xfId="63" applyFont="1" applyFill="1" applyBorder="1" applyAlignment="1" applyProtection="1">
      <alignment horizontal="left"/>
      <protection/>
    </xf>
    <xf numFmtId="0" fontId="11" fillId="0" borderId="11" xfId="63" applyFont="1" applyFill="1" applyBorder="1" applyAlignment="1" applyProtection="1" quotePrefix="1">
      <alignment horizontal="left"/>
      <protection/>
    </xf>
    <xf numFmtId="0" fontId="10" fillId="43" borderId="11" xfId="66" applyNumberFormat="1" applyFont="1" applyFill="1" applyBorder="1" applyAlignment="1" applyProtection="1">
      <alignment horizontal="left"/>
      <protection locked="0"/>
    </xf>
    <xf numFmtId="0" fontId="0" fillId="0" borderId="11" xfId="0" applyBorder="1" applyAlignment="1" applyProtection="1">
      <alignment/>
      <protection locked="0"/>
    </xf>
    <xf numFmtId="0" fontId="11" fillId="0" borderId="14" xfId="0" applyFont="1" applyFill="1" applyBorder="1" applyAlignment="1" applyProtection="1">
      <alignment horizontal="left"/>
      <protection/>
    </xf>
    <xf numFmtId="0" fontId="11" fillId="0" borderId="15" xfId="0" applyFont="1" applyFill="1" applyBorder="1" applyAlignment="1" applyProtection="1">
      <alignment horizontal="left"/>
      <protection/>
    </xf>
    <xf numFmtId="0" fontId="11" fillId="0" borderId="16" xfId="0" applyFont="1" applyFill="1" applyBorder="1" applyAlignment="1" applyProtection="1">
      <alignment horizontal="left"/>
      <protection/>
    </xf>
    <xf numFmtId="0" fontId="10" fillId="0" borderId="14" xfId="59" applyFont="1" applyBorder="1" applyAlignment="1" applyProtection="1">
      <alignment horizontal="center" vertical="center"/>
      <protection/>
    </xf>
    <xf numFmtId="0" fontId="2" fillId="0" borderId="16" xfId="59" applyBorder="1" applyAlignment="1">
      <alignment horizontal="center" vertical="center"/>
      <protection/>
    </xf>
    <xf numFmtId="0" fontId="11" fillId="0" borderId="11" xfId="63" applyFont="1" applyFill="1" applyBorder="1" applyAlignment="1" applyProtection="1">
      <alignment/>
      <protection locked="0"/>
    </xf>
    <xf numFmtId="0" fontId="2" fillId="0" borderId="11" xfId="59" applyBorder="1" applyAlignment="1">
      <alignment/>
      <protection/>
    </xf>
    <xf numFmtId="0" fontId="10" fillId="0" borderId="11" xfId="66" applyFont="1" applyFill="1" applyBorder="1" applyAlignment="1" applyProtection="1">
      <alignment horizontal="center"/>
      <protection/>
    </xf>
    <xf numFmtId="0" fontId="10" fillId="0" borderId="17" xfId="59" applyFont="1" applyBorder="1" applyAlignment="1" applyProtection="1">
      <alignment horizontal="center" vertical="center" wrapText="1"/>
      <protection/>
    </xf>
    <xf numFmtId="0" fontId="2" fillId="0" borderId="10" xfId="59" applyBorder="1" applyAlignment="1">
      <alignment horizontal="center" vertical="center" wrapText="1"/>
      <protection/>
    </xf>
    <xf numFmtId="0" fontId="10" fillId="0" borderId="11" xfId="59" applyFont="1" applyBorder="1" applyAlignment="1" applyProtection="1">
      <alignment vertical="center"/>
      <protection/>
    </xf>
    <xf numFmtId="0" fontId="2" fillId="0" borderId="11" xfId="59" applyBorder="1" applyAlignment="1" applyProtection="1">
      <alignment/>
      <protection/>
    </xf>
    <xf numFmtId="0" fontId="10" fillId="0" borderId="11" xfId="59" applyFont="1" applyBorder="1" applyAlignment="1" applyProtection="1">
      <alignment horizontal="center" vertical="center" wrapText="1"/>
      <protection/>
    </xf>
    <xf numFmtId="0" fontId="2" fillId="0" borderId="11" xfId="59" applyBorder="1" applyAlignment="1">
      <alignment wrapText="1"/>
      <protection/>
    </xf>
    <xf numFmtId="0" fontId="7" fillId="0" borderId="17" xfId="59" applyFont="1" applyBorder="1" applyAlignment="1" applyProtection="1">
      <alignment/>
      <protection locked="0"/>
    </xf>
    <xf numFmtId="0" fontId="2" fillId="0" borderId="18" xfId="59" applyBorder="1" applyAlignment="1">
      <alignment/>
      <protection/>
    </xf>
    <xf numFmtId="0" fontId="2" fillId="0" borderId="10" xfId="59" applyBorder="1" applyAlignment="1">
      <alignment/>
      <protection/>
    </xf>
    <xf numFmtId="0" fontId="10" fillId="0" borderId="38" xfId="59" applyFont="1" applyBorder="1" applyAlignment="1" applyProtection="1">
      <alignment horizontal="center" vertical="center"/>
      <protection/>
    </xf>
    <xf numFmtId="0" fontId="2" fillId="0" borderId="39" xfId="59" applyBorder="1" applyAlignment="1">
      <alignment horizontal="center"/>
      <protection/>
    </xf>
    <xf numFmtId="0" fontId="2" fillId="0" borderId="37" xfId="59" applyBorder="1" applyAlignment="1">
      <alignment horizontal="center"/>
      <protection/>
    </xf>
    <xf numFmtId="0" fontId="2" fillId="0" borderId="40" xfId="59" applyBorder="1" applyAlignment="1">
      <alignment horizontal="center"/>
      <protection/>
    </xf>
    <xf numFmtId="0" fontId="2" fillId="0" borderId="18" xfId="59" applyBorder="1" applyAlignment="1">
      <alignment horizontal="center" wrapText="1"/>
      <protection/>
    </xf>
    <xf numFmtId="0" fontId="2" fillId="0" borderId="10" xfId="59" applyBorder="1" applyAlignment="1">
      <alignment horizontal="center" wrapText="1"/>
      <protection/>
    </xf>
    <xf numFmtId="0" fontId="10" fillId="0" borderId="17" xfId="59" applyFont="1" applyBorder="1" applyAlignment="1" applyProtection="1">
      <alignment vertical="center" wrapText="1"/>
      <protection/>
    </xf>
    <xf numFmtId="0" fontId="2" fillId="0" borderId="10" xfId="59" applyBorder="1" applyAlignment="1">
      <alignment vertical="center" wrapText="1"/>
      <protection/>
    </xf>
    <xf numFmtId="0" fontId="2" fillId="0" borderId="11" xfId="59" applyBorder="1" applyAlignment="1" applyProtection="1">
      <alignment wrapText="1"/>
      <protection/>
    </xf>
    <xf numFmtId="0" fontId="19" fillId="0" borderId="0" xfId="55" applyFont="1" applyAlignment="1" applyProtection="1" quotePrefix="1">
      <alignment horizontal="left"/>
      <protection/>
    </xf>
    <xf numFmtId="3" fontId="20" fillId="0" borderId="0" xfId="59" applyNumberFormat="1" applyFont="1" applyFill="1" applyAlignment="1" applyProtection="1">
      <alignment horizontal="right"/>
      <protection/>
    </xf>
    <xf numFmtId="0" fontId="2" fillId="0" borderId="0" xfId="59" applyAlignment="1" applyProtection="1">
      <alignment/>
      <protection/>
    </xf>
    <xf numFmtId="0" fontId="11" fillId="0" borderId="38" xfId="59" applyNumberFormat="1" applyFont="1" applyFill="1" applyBorder="1" applyAlignment="1" applyProtection="1">
      <alignment horizontal="center" vertical="center"/>
      <protection/>
    </xf>
    <xf numFmtId="0" fontId="2" fillId="0" borderId="41" xfId="59" applyBorder="1" applyAlignment="1">
      <alignment horizontal="center" vertical="center"/>
      <protection/>
    </xf>
    <xf numFmtId="0" fontId="2" fillId="0" borderId="39" xfId="59" applyBorder="1" applyAlignment="1">
      <alignment horizontal="center" vertical="center"/>
      <protection/>
    </xf>
    <xf numFmtId="0" fontId="2" fillId="0" borderId="12" xfId="59" applyBorder="1" applyAlignment="1">
      <alignment horizontal="center" vertical="center"/>
      <protection/>
    </xf>
    <xf numFmtId="0" fontId="2" fillId="0" borderId="0" xfId="59" applyAlignment="1">
      <alignment horizontal="center" vertical="center"/>
      <protection/>
    </xf>
    <xf numFmtId="0" fontId="2" fillId="0" borderId="19" xfId="59" applyBorder="1" applyAlignment="1">
      <alignment horizontal="center" vertical="center"/>
      <protection/>
    </xf>
    <xf numFmtId="0" fontId="2" fillId="0" borderId="37" xfId="59" applyBorder="1" applyAlignment="1">
      <alignment horizontal="center" vertical="center"/>
      <protection/>
    </xf>
    <xf numFmtId="0" fontId="2" fillId="0" borderId="13" xfId="59" applyBorder="1" applyAlignment="1">
      <alignment horizontal="center" vertical="center"/>
      <protection/>
    </xf>
    <xf numFmtId="0" fontId="2" fillId="0" borderId="40" xfId="59" applyBorder="1" applyAlignment="1">
      <alignment horizontal="center" vertical="center"/>
      <protection/>
    </xf>
    <xf numFmtId="0" fontId="10" fillId="0" borderId="11" xfId="59" applyFont="1" applyFill="1" applyBorder="1" applyAlignment="1" applyProtection="1">
      <alignment vertical="center"/>
      <protection/>
    </xf>
    <xf numFmtId="0" fontId="10" fillId="0" borderId="11" xfId="59" applyFont="1" applyFill="1" applyBorder="1" applyAlignment="1" applyProtection="1">
      <alignment horizontal="center" vertical="center" wrapText="1"/>
      <protection/>
    </xf>
    <xf numFmtId="0" fontId="2" fillId="0" borderId="11" xfId="59" applyFill="1" applyBorder="1" applyAlignment="1" applyProtection="1">
      <alignment/>
      <protection/>
    </xf>
    <xf numFmtId="0" fontId="10" fillId="0" borderId="11" xfId="59" applyFont="1" applyBorder="1" applyAlignment="1" applyProtection="1">
      <alignment/>
      <protection/>
    </xf>
    <xf numFmtId="0" fontId="2" fillId="0" borderId="11" xfId="59" applyFont="1" applyBorder="1" applyAlignment="1" applyProtection="1">
      <alignment/>
      <protection/>
    </xf>
    <xf numFmtId="0" fontId="9" fillId="0" borderId="11" xfId="59" applyFont="1" applyBorder="1" applyAlignment="1" applyProtection="1">
      <alignment horizontal="left"/>
      <protection/>
    </xf>
    <xf numFmtId="0" fontId="10" fillId="0" borderId="14" xfId="59" applyFont="1" applyBorder="1" applyAlignment="1" applyProtection="1">
      <alignment/>
      <protection/>
    </xf>
    <xf numFmtId="0" fontId="2" fillId="0" borderId="15" xfId="59" applyBorder="1" applyAlignment="1">
      <alignment/>
      <protection/>
    </xf>
    <xf numFmtId="0" fontId="2" fillId="0" borderId="16" xfId="59" applyBorder="1" applyAlignment="1">
      <alignment/>
      <protection/>
    </xf>
    <xf numFmtId="0" fontId="10" fillId="0" borderId="14" xfId="59" applyFont="1" applyBorder="1" applyAlignment="1" applyProtection="1">
      <alignment vertical="center"/>
      <protection/>
    </xf>
    <xf numFmtId="0" fontId="2" fillId="0" borderId="16" xfId="59" applyBorder="1" applyAlignment="1">
      <alignment vertical="center"/>
      <protection/>
    </xf>
    <xf numFmtId="0" fontId="16" fillId="0" borderId="11" xfId="65" applyFont="1" applyFill="1" applyBorder="1" applyAlignment="1" applyProtection="1">
      <alignment horizontal="left"/>
      <protection locked="0"/>
    </xf>
    <xf numFmtId="0" fontId="10" fillId="0" borderId="11" xfId="59" applyFont="1" applyBorder="1" applyAlignment="1" applyProtection="1">
      <alignment horizontal="center" vertical="center"/>
      <protection/>
    </xf>
    <xf numFmtId="0" fontId="11" fillId="0" borderId="11" xfId="59" applyFont="1" applyBorder="1" applyAlignment="1">
      <alignment horizontal="center" vertical="center"/>
      <protection/>
    </xf>
    <xf numFmtId="0" fontId="9" fillId="0" borderId="38" xfId="59" applyFont="1" applyBorder="1" applyAlignment="1" applyProtection="1">
      <alignment horizontal="left"/>
      <protection/>
    </xf>
    <xf numFmtId="0" fontId="2" fillId="0" borderId="39" xfId="59" applyBorder="1" applyAlignment="1">
      <alignment/>
      <protection/>
    </xf>
    <xf numFmtId="0" fontId="9" fillId="0" borderId="12" xfId="59" applyFont="1" applyBorder="1" applyAlignment="1" applyProtection="1">
      <alignment horizontal="left"/>
      <protection/>
    </xf>
    <xf numFmtId="0" fontId="2" fillId="0" borderId="19" xfId="59" applyBorder="1" applyAlignment="1">
      <alignment/>
      <protection/>
    </xf>
    <xf numFmtId="0" fontId="2" fillId="0" borderId="37" xfId="59" applyFont="1" applyBorder="1" applyAlignment="1" applyProtection="1">
      <alignment/>
      <protection/>
    </xf>
    <xf numFmtId="0" fontId="2" fillId="0" borderId="40" xfId="59" applyBorder="1" applyAlignment="1">
      <alignment/>
      <protection/>
    </xf>
    <xf numFmtId="0" fontId="11" fillId="0" borderId="11" xfId="59" applyFont="1" applyBorder="1" applyAlignment="1">
      <alignment horizontal="center" vertical="center" wrapText="1"/>
      <protection/>
    </xf>
    <xf numFmtId="0" fontId="23" fillId="0" borderId="11" xfId="65" applyFont="1" applyFill="1" applyBorder="1" applyAlignment="1" applyProtection="1">
      <alignment horizontal="left" vertical="center" wrapText="1"/>
      <protection locked="0"/>
    </xf>
    <xf numFmtId="0" fontId="24" fillId="0" borderId="11" xfId="59" applyFont="1" applyBorder="1" applyAlignment="1">
      <alignment horizontal="left" vertical="center" wrapText="1"/>
      <protection/>
    </xf>
    <xf numFmtId="0" fontId="10" fillId="0" borderId="15" xfId="59" applyFont="1" applyBorder="1" applyAlignment="1" applyProtection="1">
      <alignment/>
      <protection/>
    </xf>
    <xf numFmtId="0" fontId="10" fillId="0" borderId="16" xfId="59" applyFont="1" applyBorder="1" applyAlignment="1" applyProtection="1">
      <alignment/>
      <protection/>
    </xf>
    <xf numFmtId="0" fontId="16" fillId="0" borderId="17" xfId="65" applyFont="1" applyFill="1" applyBorder="1" applyAlignment="1" applyProtection="1">
      <alignment horizontal="left"/>
      <protection locked="0"/>
    </xf>
    <xf numFmtId="0" fontId="16" fillId="0" borderId="10" xfId="65" applyFont="1" applyFill="1" applyBorder="1" applyAlignment="1" applyProtection="1">
      <alignment horizontal="left"/>
      <protection locked="0"/>
    </xf>
    <xf numFmtId="0" fontId="6" fillId="0" borderId="0" xfId="59" applyFont="1" applyAlignment="1" applyProtection="1">
      <alignment vertical="center"/>
      <protection/>
    </xf>
    <xf numFmtId="0" fontId="19" fillId="0" borderId="0" xfId="55" applyFont="1" applyFill="1" applyAlignment="1" applyProtection="1" quotePrefix="1">
      <alignment horizontal="left"/>
      <protection/>
    </xf>
    <xf numFmtId="0" fontId="11" fillId="0" borderId="0" xfId="59" applyFont="1" applyAlignment="1">
      <alignment horizontal="left"/>
      <protection/>
    </xf>
    <xf numFmtId="0" fontId="10" fillId="0" borderId="14" xfId="59" applyFont="1" applyFill="1" applyBorder="1" applyAlignment="1" applyProtection="1">
      <alignment/>
      <protection/>
    </xf>
    <xf numFmtId="0" fontId="10" fillId="0" borderId="15" xfId="59" applyFont="1" applyFill="1" applyBorder="1" applyAlignment="1" applyProtection="1">
      <alignment/>
      <protection/>
    </xf>
    <xf numFmtId="0" fontId="10" fillId="0" borderId="16" xfId="59" applyFont="1" applyFill="1" applyBorder="1" applyAlignment="1" applyProtection="1">
      <alignment/>
      <protection/>
    </xf>
    <xf numFmtId="0" fontId="10" fillId="0" borderId="11" xfId="59" applyFont="1" applyBorder="1" applyAlignment="1">
      <alignment horizontal="center" vertical="center" wrapText="1"/>
      <protection/>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Hyperlink 2" xfId="55"/>
    <cellStyle name="Input" xfId="56"/>
    <cellStyle name="Linked Cell" xfId="57"/>
    <cellStyle name="Neutral" xfId="58"/>
    <cellStyle name="Normal 2" xfId="59"/>
    <cellStyle name="Normal 4" xfId="60"/>
    <cellStyle name="Normal_Calc_Com Gas Fryer_product_04-29-09" xfId="61"/>
    <cellStyle name="Normal_Calc_Commercial Dishwasher_product_04-27-09" xfId="62"/>
    <cellStyle name="Normal_Calc_Computer_product" xfId="63"/>
    <cellStyle name="Normal_Calc_Ice_Machines product 062209" xfId="64"/>
    <cellStyle name="Normal_Commercial Electric Fryer calculator_product_092909" xfId="65"/>
    <cellStyle name="Normal_office equipment calculator - rough draft 110909" xfId="66"/>
    <cellStyle name="Note" xfId="67"/>
    <cellStyle name="Output" xfId="68"/>
    <cellStyle name="Percent" xfId="69"/>
    <cellStyle name="Title" xfId="70"/>
    <cellStyle name="Total" xfId="71"/>
    <cellStyle name="Warning Text" xfId="72"/>
  </cellStyles>
  <dxfs count="5">
    <dxf>
      <font>
        <color theme="0"/>
      </font>
      <fill>
        <patternFill patternType="none">
          <bgColor indexed="65"/>
        </patternFill>
      </fill>
      <border>
        <left/>
        <right/>
        <top/>
        <bottom/>
      </border>
    </dxf>
    <dxf>
      <font>
        <color theme="0"/>
      </font>
      <fill>
        <patternFill patternType="none">
          <bgColor indexed="65"/>
        </patternFill>
      </fill>
      <border>
        <left/>
        <right/>
        <top/>
        <bottom/>
      </border>
    </dxf>
    <dxf>
      <font>
        <color theme="0"/>
      </font>
    </dxf>
    <dxf>
      <font>
        <color theme="0"/>
      </font>
      <border/>
    </dxf>
    <dxf>
      <font>
        <color theme="0"/>
      </font>
      <fill>
        <patternFill patternType="none">
          <bgColor indexed="65"/>
        </patternFill>
      </fill>
      <border>
        <left>
          <color rgb="FF000000"/>
        </left>
        <right>
          <color rgb="FF000000"/>
        </right>
        <top>
          <color rgb="FF000000"/>
        </top>
        <bottom>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8.xml.rels><?xml version="1.0" encoding="utf-8" standalone="yes"?><Relationships xmlns="http://schemas.openxmlformats.org/package/2006/relationships"><Relationship Id="rId1" Type="http://schemas.openxmlformats.org/officeDocument/2006/relationships/image" Target="../media/image1.jpeg" /></Relationships>
</file>

<file path=xl/drawings/_rels/drawing9.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28575</xdr:rowOff>
    </xdr:from>
    <xdr:to>
      <xdr:col>2</xdr:col>
      <xdr:colOff>485775</xdr:colOff>
      <xdr:row>0</xdr:row>
      <xdr:rowOff>504825</xdr:rowOff>
    </xdr:to>
    <xdr:pic>
      <xdr:nvPicPr>
        <xdr:cNvPr id="1" name="Picture 4" descr="WSlogo.jpg"/>
        <xdr:cNvPicPr preferRelativeResize="1">
          <a:picLocks noChangeAspect="1"/>
        </xdr:cNvPicPr>
      </xdr:nvPicPr>
      <xdr:blipFill>
        <a:blip r:embed="rId1"/>
        <a:stretch>
          <a:fillRect/>
        </a:stretch>
      </xdr:blipFill>
      <xdr:spPr>
        <a:xfrm>
          <a:off x="314325" y="28575"/>
          <a:ext cx="800100" cy="4762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0</xdr:row>
      <xdr:rowOff>28575</xdr:rowOff>
    </xdr:from>
    <xdr:to>
      <xdr:col>3</xdr:col>
      <xdr:colOff>28575</xdr:colOff>
      <xdr:row>0</xdr:row>
      <xdr:rowOff>504825</xdr:rowOff>
    </xdr:to>
    <xdr:pic>
      <xdr:nvPicPr>
        <xdr:cNvPr id="1" name="Picture 19" descr="WSlogo.jpg"/>
        <xdr:cNvPicPr preferRelativeResize="1">
          <a:picLocks noChangeAspect="1"/>
        </xdr:cNvPicPr>
      </xdr:nvPicPr>
      <xdr:blipFill>
        <a:blip r:embed="rId1"/>
        <a:stretch>
          <a:fillRect/>
        </a:stretch>
      </xdr:blipFill>
      <xdr:spPr>
        <a:xfrm>
          <a:off x="323850" y="28575"/>
          <a:ext cx="800100" cy="47625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0</xdr:row>
      <xdr:rowOff>28575</xdr:rowOff>
    </xdr:from>
    <xdr:to>
      <xdr:col>3</xdr:col>
      <xdr:colOff>47625</xdr:colOff>
      <xdr:row>0</xdr:row>
      <xdr:rowOff>504825</xdr:rowOff>
    </xdr:to>
    <xdr:pic>
      <xdr:nvPicPr>
        <xdr:cNvPr id="1" name="Picture 4" descr="WSlogo.jpg"/>
        <xdr:cNvPicPr preferRelativeResize="1">
          <a:picLocks noChangeAspect="1"/>
        </xdr:cNvPicPr>
      </xdr:nvPicPr>
      <xdr:blipFill>
        <a:blip r:embed="rId1"/>
        <a:stretch>
          <a:fillRect/>
        </a:stretch>
      </xdr:blipFill>
      <xdr:spPr>
        <a:xfrm>
          <a:off x="323850" y="28575"/>
          <a:ext cx="800100" cy="47625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0</xdr:row>
      <xdr:rowOff>38100</xdr:rowOff>
    </xdr:from>
    <xdr:to>
      <xdr:col>3</xdr:col>
      <xdr:colOff>19050</xdr:colOff>
      <xdr:row>0</xdr:row>
      <xdr:rowOff>514350</xdr:rowOff>
    </xdr:to>
    <xdr:pic>
      <xdr:nvPicPr>
        <xdr:cNvPr id="1" name="Picture 27" descr="WSlogo.jpg"/>
        <xdr:cNvPicPr preferRelativeResize="1">
          <a:picLocks noChangeAspect="1"/>
        </xdr:cNvPicPr>
      </xdr:nvPicPr>
      <xdr:blipFill>
        <a:blip r:embed="rId1"/>
        <a:stretch>
          <a:fillRect/>
        </a:stretch>
      </xdr:blipFill>
      <xdr:spPr>
        <a:xfrm>
          <a:off x="323850" y="38100"/>
          <a:ext cx="800100" cy="47625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0</xdr:row>
      <xdr:rowOff>38100</xdr:rowOff>
    </xdr:from>
    <xdr:to>
      <xdr:col>3</xdr:col>
      <xdr:colOff>28575</xdr:colOff>
      <xdr:row>0</xdr:row>
      <xdr:rowOff>514350</xdr:rowOff>
    </xdr:to>
    <xdr:pic>
      <xdr:nvPicPr>
        <xdr:cNvPr id="1" name="Picture 8" descr="WSlogo.jpg"/>
        <xdr:cNvPicPr preferRelativeResize="1">
          <a:picLocks noChangeAspect="1"/>
        </xdr:cNvPicPr>
      </xdr:nvPicPr>
      <xdr:blipFill>
        <a:blip r:embed="rId1"/>
        <a:stretch>
          <a:fillRect/>
        </a:stretch>
      </xdr:blipFill>
      <xdr:spPr>
        <a:xfrm>
          <a:off x="323850" y="38100"/>
          <a:ext cx="800100" cy="47625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0</xdr:row>
      <xdr:rowOff>28575</xdr:rowOff>
    </xdr:from>
    <xdr:to>
      <xdr:col>3</xdr:col>
      <xdr:colOff>9525</xdr:colOff>
      <xdr:row>0</xdr:row>
      <xdr:rowOff>504825</xdr:rowOff>
    </xdr:to>
    <xdr:pic>
      <xdr:nvPicPr>
        <xdr:cNvPr id="1" name="Picture 6" descr="WSlogo.jpg"/>
        <xdr:cNvPicPr preferRelativeResize="1">
          <a:picLocks noChangeAspect="1"/>
        </xdr:cNvPicPr>
      </xdr:nvPicPr>
      <xdr:blipFill>
        <a:blip r:embed="rId1"/>
        <a:stretch>
          <a:fillRect/>
        </a:stretch>
      </xdr:blipFill>
      <xdr:spPr>
        <a:xfrm>
          <a:off x="323850" y="28575"/>
          <a:ext cx="800100" cy="4762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28575</xdr:rowOff>
    </xdr:from>
    <xdr:to>
      <xdr:col>3</xdr:col>
      <xdr:colOff>38100</xdr:colOff>
      <xdr:row>0</xdr:row>
      <xdr:rowOff>504825</xdr:rowOff>
    </xdr:to>
    <xdr:pic>
      <xdr:nvPicPr>
        <xdr:cNvPr id="1" name="Picture 4" descr="WSlogo.jpg"/>
        <xdr:cNvPicPr preferRelativeResize="1">
          <a:picLocks noChangeAspect="1"/>
        </xdr:cNvPicPr>
      </xdr:nvPicPr>
      <xdr:blipFill>
        <a:blip r:embed="rId1"/>
        <a:stretch>
          <a:fillRect/>
        </a:stretch>
      </xdr:blipFill>
      <xdr:spPr>
        <a:xfrm>
          <a:off x="314325" y="28575"/>
          <a:ext cx="800100" cy="4762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0</xdr:row>
      <xdr:rowOff>28575</xdr:rowOff>
    </xdr:from>
    <xdr:to>
      <xdr:col>3</xdr:col>
      <xdr:colOff>9525</xdr:colOff>
      <xdr:row>0</xdr:row>
      <xdr:rowOff>504825</xdr:rowOff>
    </xdr:to>
    <xdr:pic>
      <xdr:nvPicPr>
        <xdr:cNvPr id="1" name="Picture 3" descr="WSlogo.jpg"/>
        <xdr:cNvPicPr preferRelativeResize="1">
          <a:picLocks noChangeAspect="1"/>
        </xdr:cNvPicPr>
      </xdr:nvPicPr>
      <xdr:blipFill>
        <a:blip r:embed="rId1"/>
        <a:stretch>
          <a:fillRect/>
        </a:stretch>
      </xdr:blipFill>
      <xdr:spPr>
        <a:xfrm>
          <a:off x="323850" y="28575"/>
          <a:ext cx="800100" cy="4762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0</xdr:row>
      <xdr:rowOff>28575</xdr:rowOff>
    </xdr:from>
    <xdr:to>
      <xdr:col>2</xdr:col>
      <xdr:colOff>495300</xdr:colOff>
      <xdr:row>0</xdr:row>
      <xdr:rowOff>504825</xdr:rowOff>
    </xdr:to>
    <xdr:pic>
      <xdr:nvPicPr>
        <xdr:cNvPr id="1" name="Picture 1" descr="WSlogo.jpg"/>
        <xdr:cNvPicPr preferRelativeResize="1">
          <a:picLocks noChangeAspect="1"/>
        </xdr:cNvPicPr>
      </xdr:nvPicPr>
      <xdr:blipFill>
        <a:blip r:embed="rId1"/>
        <a:stretch>
          <a:fillRect/>
        </a:stretch>
      </xdr:blipFill>
      <xdr:spPr>
        <a:xfrm>
          <a:off x="323850" y="28575"/>
          <a:ext cx="800100" cy="4762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0</xdr:row>
      <xdr:rowOff>28575</xdr:rowOff>
    </xdr:from>
    <xdr:to>
      <xdr:col>3</xdr:col>
      <xdr:colOff>9525</xdr:colOff>
      <xdr:row>0</xdr:row>
      <xdr:rowOff>504825</xdr:rowOff>
    </xdr:to>
    <xdr:pic>
      <xdr:nvPicPr>
        <xdr:cNvPr id="1" name="Picture 1" descr="WSlogo.jpg"/>
        <xdr:cNvPicPr preferRelativeResize="1">
          <a:picLocks noChangeAspect="1"/>
        </xdr:cNvPicPr>
      </xdr:nvPicPr>
      <xdr:blipFill>
        <a:blip r:embed="rId1"/>
        <a:stretch>
          <a:fillRect/>
        </a:stretch>
      </xdr:blipFill>
      <xdr:spPr>
        <a:xfrm>
          <a:off x="323850" y="28575"/>
          <a:ext cx="800100" cy="4762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0</xdr:row>
      <xdr:rowOff>28575</xdr:rowOff>
    </xdr:from>
    <xdr:to>
      <xdr:col>3</xdr:col>
      <xdr:colOff>47625</xdr:colOff>
      <xdr:row>0</xdr:row>
      <xdr:rowOff>504825</xdr:rowOff>
    </xdr:to>
    <xdr:pic>
      <xdr:nvPicPr>
        <xdr:cNvPr id="1" name="Picture 3" descr="WSlogo.jpg"/>
        <xdr:cNvPicPr preferRelativeResize="1">
          <a:picLocks noChangeAspect="1"/>
        </xdr:cNvPicPr>
      </xdr:nvPicPr>
      <xdr:blipFill>
        <a:blip r:embed="rId1"/>
        <a:stretch>
          <a:fillRect/>
        </a:stretch>
      </xdr:blipFill>
      <xdr:spPr>
        <a:xfrm>
          <a:off x="323850" y="28575"/>
          <a:ext cx="800100" cy="4762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0</xdr:row>
      <xdr:rowOff>38100</xdr:rowOff>
    </xdr:from>
    <xdr:to>
      <xdr:col>3</xdr:col>
      <xdr:colOff>47625</xdr:colOff>
      <xdr:row>0</xdr:row>
      <xdr:rowOff>514350</xdr:rowOff>
    </xdr:to>
    <xdr:pic>
      <xdr:nvPicPr>
        <xdr:cNvPr id="1" name="Picture 4" descr="WSlogo.jpg"/>
        <xdr:cNvPicPr preferRelativeResize="1">
          <a:picLocks noChangeAspect="1"/>
        </xdr:cNvPicPr>
      </xdr:nvPicPr>
      <xdr:blipFill>
        <a:blip r:embed="rId1"/>
        <a:stretch>
          <a:fillRect/>
        </a:stretch>
      </xdr:blipFill>
      <xdr:spPr>
        <a:xfrm>
          <a:off x="323850" y="38100"/>
          <a:ext cx="800100" cy="4762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0</xdr:row>
      <xdr:rowOff>28575</xdr:rowOff>
    </xdr:from>
    <xdr:to>
      <xdr:col>3</xdr:col>
      <xdr:colOff>28575</xdr:colOff>
      <xdr:row>0</xdr:row>
      <xdr:rowOff>504825</xdr:rowOff>
    </xdr:to>
    <xdr:pic>
      <xdr:nvPicPr>
        <xdr:cNvPr id="1" name="Picture 4" descr="WSlogo.jpg"/>
        <xdr:cNvPicPr preferRelativeResize="1">
          <a:picLocks noChangeAspect="1"/>
        </xdr:cNvPicPr>
      </xdr:nvPicPr>
      <xdr:blipFill>
        <a:blip r:embed="rId1"/>
        <a:stretch>
          <a:fillRect/>
        </a:stretch>
      </xdr:blipFill>
      <xdr:spPr>
        <a:xfrm>
          <a:off x="323850" y="28575"/>
          <a:ext cx="800100" cy="4762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0</xdr:row>
      <xdr:rowOff>28575</xdr:rowOff>
    </xdr:from>
    <xdr:to>
      <xdr:col>3</xdr:col>
      <xdr:colOff>19050</xdr:colOff>
      <xdr:row>0</xdr:row>
      <xdr:rowOff>504825</xdr:rowOff>
    </xdr:to>
    <xdr:pic>
      <xdr:nvPicPr>
        <xdr:cNvPr id="1" name="Picture 6" descr="WSlogo.jpg"/>
        <xdr:cNvPicPr preferRelativeResize="1">
          <a:picLocks noChangeAspect="1"/>
        </xdr:cNvPicPr>
      </xdr:nvPicPr>
      <xdr:blipFill>
        <a:blip r:embed="rId1"/>
        <a:stretch>
          <a:fillRect/>
        </a:stretch>
      </xdr:blipFill>
      <xdr:spPr>
        <a:xfrm>
          <a:off x="323850" y="28575"/>
          <a:ext cx="800100" cy="476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www.epa.gov/watersense/commercial/docs/watersense_at_work/#/96/zoomed" TargetMode="External" /><Relationship Id="rId2" Type="http://schemas.openxmlformats.org/officeDocument/2006/relationships/hyperlink" Target="http://www.epa.gov/watersense/docs/ws-at-work_bmpcommercialandinstitutional_508.pdf" TargetMode="External" /><Relationship Id="rId3" Type="http://schemas.openxmlformats.org/officeDocument/2006/relationships/vmlDrawing" Target="../drawings/vmlDrawing8.vml" /><Relationship Id="rId4" Type="http://schemas.openxmlformats.org/officeDocument/2006/relationships/drawing" Target="../drawings/drawing10.xml" /><Relationship Id="rId5"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http://www.epa.gov/WaterSense/product_search.html?Category=6" TargetMode="External" /><Relationship Id="rId2" Type="http://schemas.openxmlformats.org/officeDocument/2006/relationships/hyperlink" Target="http://www.energystar.gov/productfinder/product/certified-commercial-dishwashers/results?scrollTo=0&amp;search_text=&amp;sort_by=brand_name&amp;sort_direction=asc&amp;machine_type_filter=&amp;brand_name_isopen=&amp;sanitation_method_filter=&amp;page_number=0&amp;lastpage=0" TargetMode="External" /><Relationship Id="rId3" Type="http://schemas.openxmlformats.org/officeDocument/2006/relationships/hyperlink" Target="http://www.epa.gov/watersense/commercial/docs/watersense_at_work/#/141/zoomed" TargetMode="External" /><Relationship Id="rId4" Type="http://schemas.openxmlformats.org/officeDocument/2006/relationships/hyperlink" Target="http://www.epa.gov/watersense/docs/ws-at-work_bmpcommercialandinstitutional_508.pdf" TargetMode="External" /><Relationship Id="rId5" Type="http://schemas.openxmlformats.org/officeDocument/2006/relationships/vmlDrawing" Target="../drawings/vmlDrawing9.vml" /><Relationship Id="rId6" Type="http://schemas.openxmlformats.org/officeDocument/2006/relationships/drawing" Target="../drawings/drawing11.xml" /><Relationship Id="rId7"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http://www.epa.gov/watersense/commercial/docs/watersense_at_work/#/194/zoomed" TargetMode="External" /><Relationship Id="rId2" Type="http://schemas.openxmlformats.org/officeDocument/2006/relationships/hyperlink" Target="http://www.epa.gov/watersense/commercial/docs/watersense_at_work/#/187/zoomed" TargetMode="External" /><Relationship Id="rId3" Type="http://schemas.openxmlformats.org/officeDocument/2006/relationships/hyperlink" Target="http://www.epa.gov/watersense/docs/ws-at-work_bmpcommercialandinstitutional_508.pdf" TargetMode="External" /><Relationship Id="rId4" Type="http://schemas.openxmlformats.org/officeDocument/2006/relationships/vmlDrawing" Target="../drawings/vmlDrawing10.vml" /><Relationship Id="rId5" Type="http://schemas.openxmlformats.org/officeDocument/2006/relationships/drawing" Target="../drawings/drawing12.xml" /><Relationship Id="rId6"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hyperlink" Target="http://www.epa.gov/watersense/docs/ws-at-work_bmpcommercialandinstitutional_508.pdf" TargetMode="External" /><Relationship Id="rId2" Type="http://schemas.openxmlformats.org/officeDocument/2006/relationships/hyperlink" Target="http://www.epa.gov/WaterSense/products/controltech.html" TargetMode="External" /><Relationship Id="rId3" Type="http://schemas.openxmlformats.org/officeDocument/2006/relationships/hyperlink" Target="http://www.epa.gov/WaterSense/products/controltech.html" TargetMode="External" /><Relationship Id="rId4" Type="http://schemas.openxmlformats.org/officeDocument/2006/relationships/hyperlink" Target="http://www.epa.gov/watersense/outdoor/irrigation_professionals.html" TargetMode="External" /><Relationship Id="rId5" Type="http://schemas.openxmlformats.org/officeDocument/2006/relationships/hyperlink" Target="http://www.epa.gov/watersense/commercial/docs/watersense_at_work/#/154/zoomed" TargetMode="External" /><Relationship Id="rId6" Type="http://schemas.openxmlformats.org/officeDocument/2006/relationships/hyperlink" Target="http://www.epa.gov/WaterSense/products/controltech.html" TargetMode="External" /><Relationship Id="rId7" Type="http://schemas.openxmlformats.org/officeDocument/2006/relationships/hyperlink" Target="http://www.epa.gov/watersense/outdoor/irrigation_professionals.html" TargetMode="External" /><Relationship Id="rId8" Type="http://schemas.openxmlformats.org/officeDocument/2006/relationships/hyperlink" Target="http://www.epa.gov/watersense/outdoor/what_to_plant.html" TargetMode="External" /><Relationship Id="rId9" Type="http://schemas.openxmlformats.org/officeDocument/2006/relationships/vmlDrawing" Target="../drawings/vmlDrawing11.vml" /><Relationship Id="rId10" Type="http://schemas.openxmlformats.org/officeDocument/2006/relationships/drawing" Target="../drawings/drawing13.xml" /><Relationship Id="rId1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hyperlink" Target="http://www.epa.gov/watersense/commercial/docs/watersense_at_work/#/170/zoomed" TargetMode="External" /><Relationship Id="rId2" Type="http://schemas.openxmlformats.org/officeDocument/2006/relationships/vmlDrawing" Target="../drawings/vmlDrawing12.vml" /><Relationship Id="rId3" Type="http://schemas.openxmlformats.org/officeDocument/2006/relationships/drawing" Target="../drawings/drawing14.xml" /><Relationship Id="rId4"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hyperlink" Target="http://www1.eere.energy.gov/buildings/appliance_standards/residential/clwash_0900_r.html" TargetMode="External" /><Relationship Id="rId2" Type="http://schemas.openxmlformats.org/officeDocument/2006/relationships/hyperlink" Target="http://www.ecfr.gov/cgi-bin/text-idx?c=ecfr&amp;sid=61b33caa9460da7b2e875b478972dfdc&amp;rgn=div6&amp;view=text&amp;node=10:3.0.1.4.18.3&amp;idno=10#10:3.0.1.4.18.3.9.2" TargetMode="External" /><Relationship Id="rId3" Type="http://schemas.openxmlformats.org/officeDocument/2006/relationships/hyperlink" Target="http://www.ecfr.gov/cgi-bin/retrieveECFR?gp=&amp;SID=b48736ddbf29fcfe9285bb7ea3e524e1&amp;r=SUBPART&amp;n=10y3.0.1.4.18.2#10:3.0.1.4.18.2.9.6.19" TargetMode="External" /><Relationship Id="rId4" Type="http://schemas.openxmlformats.org/officeDocument/2006/relationships/hyperlink" Target="http://www.ecfr.gov/cgi-bin/retrieveECFR?gp=&amp;SID=b48736ddbf29fcfe9285bb7ea3e524e1&amp;r=SUBPART&amp;n=10y3.0.1.4.18.2#10:3.0.1.4.18.2.9.6.19" TargetMode="External" /><Relationship Id="rId5" Type="http://schemas.openxmlformats.org/officeDocument/2006/relationships/hyperlink" Target="http://www.regulations.gov/#!documentDetail;D=EERE-2010-BT-TP-0021-0037" TargetMode="External" /><Relationship Id="rId6" Type="http://schemas.openxmlformats.org/officeDocument/2006/relationships/hyperlink" Target="http://www.energystar.gov/index.cfm?c=clotheswash.pr_crit_clothes_washers" TargetMode="External" /><Relationship Id="rId7" Type="http://schemas.openxmlformats.org/officeDocument/2006/relationships/hyperlink" Target="http://www.ecfr.gov/cgi-bin/retrieveECFR?gp=&amp;SID=6d3f4fc0504fd1412342ae3ad930fd8c&amp;r=PART&amp;n=10y3.0.1.4.19#10:3.0.1.4.19.9" TargetMode="External" /><Relationship Id="rId8"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hyperlink" Target="http://www.energystar.gov/index.cfm?c=comm_dishwashers.pr_crit_comm_dishwashers" TargetMode="Externa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hyperlink" Target="http://www.energystar.gov/index.cfm?c=comm_ice_machines.pr_crit_comm_ice_machines" TargetMode="External" /><Relationship Id="rId2"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hyperlink" Target="http://www.epa.gov/watersense/commercial/challenge.html" TargetMode="External" /><Relationship Id="rId2" Type="http://schemas.openxmlformats.org/officeDocument/2006/relationships/hyperlink" Target="http://www.epa.gov/watersense/docs/ws-at-work_bmpcommercialandinstitutional_508.pdf" TargetMode="External" /><Relationship Id="rId3" Type="http://schemas.openxmlformats.org/officeDocument/2006/relationships/hyperlink" Target="http://www.epa.gov/watersense/docs/water_assessment_worksheets_508.pdf" TargetMode="External" /><Relationship Id="rId4" Type="http://schemas.openxmlformats.org/officeDocument/2006/relationships/drawing" Target="../drawings/drawing2.xml" /><Relationship Id="rId5"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http://www.epa.gov/watersense/commercial/docs/watersense_at_work/#/58/zoomed" TargetMode="External" /><Relationship Id="rId2" Type="http://schemas.openxmlformats.org/officeDocument/2006/relationships/hyperlink" Target="http://www.epa.gov/watersense/docs/ws-at-work_bmpcommercialandinstitutional_508.pdf" TargetMode="External" /><Relationship Id="rId3" Type="http://schemas.openxmlformats.org/officeDocument/2006/relationships/hyperlink" Target="http://www.epa.gov/WaterSense/products/controltech.html" TargetMode="External" /><Relationship Id="rId4" Type="http://schemas.openxmlformats.org/officeDocument/2006/relationships/hyperlink" Target="http://www.epa.gov/watersense/outdoor/irrigation_professionals.html" TargetMode="External" /><Relationship Id="rId5" Type="http://schemas.openxmlformats.org/officeDocument/2006/relationships/hyperlink" Target="http://www.epa.gov/watersense/outdoor/irrigation_professionals.html" TargetMode="External" /><Relationship Id="rId6" Type="http://schemas.openxmlformats.org/officeDocument/2006/relationships/hyperlink" Target="http://www.epa.gov/WaterSense/products/controltech.html" TargetMode="External" /><Relationship Id="rId7" Type="http://schemas.openxmlformats.org/officeDocument/2006/relationships/hyperlink" Target="http://www.epa.gov/WaterSense/products/controltech.html" TargetMode="External" /><Relationship Id="rId8" Type="http://schemas.openxmlformats.org/officeDocument/2006/relationships/hyperlink" Target="http://www.epa.gov/WaterSense/products/controltech.html" TargetMode="External" /><Relationship Id="rId9" Type="http://schemas.openxmlformats.org/officeDocument/2006/relationships/hyperlink" Target="http://www.epa.gov/watersense/commercial/docs/watersense_at_work/#/154/zoomed" TargetMode="External" /><Relationship Id="rId10" Type="http://schemas.openxmlformats.org/officeDocument/2006/relationships/hyperlink" Target="http://www.epa.gov/watersense/outdoor/what_to_plant.html" TargetMode="External" /><Relationship Id="rId11" Type="http://schemas.openxmlformats.org/officeDocument/2006/relationships/vmlDrawing" Target="../drawings/vmlDrawing1.vml" /><Relationship Id="rId12" Type="http://schemas.openxmlformats.org/officeDocument/2006/relationships/drawing" Target="../drawings/drawing3.xml" /><Relationship Id="rId1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energystar.gov/buildings/facility-owners-and-managers/existing-buildings/use-portfolio-manager" TargetMode="External" /><Relationship Id="rId2" Type="http://schemas.openxmlformats.org/officeDocument/2006/relationships/vmlDrawing" Target="../drawings/vmlDrawing3.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epa.gov/watersense/commercial/docs/watersense_at_work/#/58/zoomed" TargetMode="External" /><Relationship Id="rId2" Type="http://schemas.openxmlformats.org/officeDocument/2006/relationships/hyperlink" Target="http://www.epa.gov/watersense/product_search.html?Category=2" TargetMode="External" /><Relationship Id="rId3" Type="http://schemas.openxmlformats.org/officeDocument/2006/relationships/hyperlink" Target="http://www.epa.gov/watersense/product_search.html?Category=1" TargetMode="External" /><Relationship Id="rId4" Type="http://schemas.openxmlformats.org/officeDocument/2006/relationships/hyperlink" Target="http://www.epa.gov/watersense/product_search.html?Category=4" TargetMode="External" /><Relationship Id="rId5" Type="http://schemas.openxmlformats.org/officeDocument/2006/relationships/hyperlink" Target="http://www.epa.gov/watersense/docs/ws-at-work_bmpcommercialandinstitutional_508.pdf" TargetMode="External" /><Relationship Id="rId6" Type="http://schemas.openxmlformats.org/officeDocument/2006/relationships/vmlDrawing" Target="../drawings/vmlDrawing4.vml" /><Relationship Id="rId7" Type="http://schemas.openxmlformats.org/officeDocument/2006/relationships/drawing" Target="../drawings/drawing6.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epa.gov/WaterSense/product_search.html?Category=2" TargetMode="External" /><Relationship Id="rId2" Type="http://schemas.openxmlformats.org/officeDocument/2006/relationships/hyperlink" Target="http://www.epa.gov/watersense/product_search.html?Category=4" TargetMode="External" /><Relationship Id="rId3" Type="http://schemas.openxmlformats.org/officeDocument/2006/relationships/hyperlink" Target="http://www.epa.gov/WaterSense/product_search.html?Category=3" TargetMode="External" /><Relationship Id="rId4" Type="http://schemas.openxmlformats.org/officeDocument/2006/relationships/hyperlink" Target="http://www.epa.gov/watersense/commercial/docs/watersense_at_work/#/58/zoomed" TargetMode="External" /><Relationship Id="rId5" Type="http://schemas.openxmlformats.org/officeDocument/2006/relationships/hyperlink" Target="http://www.epa.gov/watersense/docs/ws-at-work_bmpcommercialandinstitutional_508.pdf" TargetMode="External" /><Relationship Id="rId6" Type="http://schemas.openxmlformats.org/officeDocument/2006/relationships/hyperlink" Target="http://www.epa.gov/watersense/docs/ws-at-work_bmpcommercialandinstitutional_508.pdf" TargetMode="External" /><Relationship Id="rId7" Type="http://schemas.openxmlformats.org/officeDocument/2006/relationships/vmlDrawing" Target="../drawings/vmlDrawing5.vml" /><Relationship Id="rId8" Type="http://schemas.openxmlformats.org/officeDocument/2006/relationships/drawing" Target="../drawings/drawing7.xml" /><Relationship Id="rId9"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energystar.gov/productfinder/product/certified-commercial-ice-machines/results" TargetMode="External" /><Relationship Id="rId2" Type="http://schemas.openxmlformats.org/officeDocument/2006/relationships/hyperlink" Target="http://www.energystar.gov/productfinder/product/certified-commercial-clothes-washers/results" TargetMode="External" /><Relationship Id="rId3" Type="http://schemas.openxmlformats.org/officeDocument/2006/relationships/hyperlink" Target="http://www.epa.gov/watersense/commercial/docs/watersense_at_work/#/98/zoomed" TargetMode="External" /><Relationship Id="rId4" Type="http://schemas.openxmlformats.org/officeDocument/2006/relationships/hyperlink" Target="http://www.epa.gov/watersense/commercial/docs/watersense_at_work/#/83/zoomed" TargetMode="External" /><Relationship Id="rId5" Type="http://schemas.openxmlformats.org/officeDocument/2006/relationships/hyperlink" Target="http://www.epa.gov/watersense/docs/ws-at-work_bmpcommercialandinstitutional_508.pdf" TargetMode="External" /><Relationship Id="rId6" Type="http://schemas.openxmlformats.org/officeDocument/2006/relationships/hyperlink" Target="http://www.epa.gov/watersense/docs/ws-at-work_bmpcommercialandinstitutional_508.pdf" TargetMode="External" /><Relationship Id="rId7" Type="http://schemas.openxmlformats.org/officeDocument/2006/relationships/vmlDrawing" Target="../drawings/vmlDrawing6.vml" /><Relationship Id="rId8" Type="http://schemas.openxmlformats.org/officeDocument/2006/relationships/drawing" Target="../drawings/drawing8.xml" /><Relationship Id="rId9"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www.epa.gov/watersense/commercial/docs/watersense_at_work/#/83/zoomed" TargetMode="External" /><Relationship Id="rId2" Type="http://schemas.openxmlformats.org/officeDocument/2006/relationships/hyperlink" Target="http://www.epa.gov/watersense/docs/ws-at-work_bmpcommercialandinstitutional_508.pdf" TargetMode="External" /><Relationship Id="rId3" Type="http://schemas.openxmlformats.org/officeDocument/2006/relationships/vmlDrawing" Target="../drawings/vmlDrawing7.vml" /><Relationship Id="rId4" Type="http://schemas.openxmlformats.org/officeDocument/2006/relationships/drawing" Target="../drawings/drawing9.xml" /><Relationship Id="rId5"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tart">
    <pageSetUpPr fitToPage="1"/>
  </sheetPr>
  <dimension ref="A1:AF100"/>
  <sheetViews>
    <sheetView tabSelected="1" zoomScalePageLayoutView="0" workbookViewId="0" topLeftCell="A1">
      <selection activeCell="D1" sqref="D1"/>
    </sheetView>
  </sheetViews>
  <sheetFormatPr defaultColWidth="9.140625" defaultRowHeight="15"/>
  <cols>
    <col min="1" max="2" width="4.7109375" style="32" customWidth="1"/>
    <col min="3" max="3" width="7.7109375" style="32" customWidth="1"/>
    <col min="4" max="4" width="24.7109375" style="66" customWidth="1"/>
    <col min="5" max="5" width="20.7109375" style="81" customWidth="1"/>
    <col min="6" max="6" width="15.28125" style="66" customWidth="1"/>
    <col min="7" max="7" width="26.7109375" style="66" customWidth="1"/>
    <col min="8" max="8" width="7.7109375" style="66" customWidth="1"/>
    <col min="9" max="9" width="13.00390625" style="66" customWidth="1"/>
    <col min="10" max="10" width="12.7109375" style="66" customWidth="1"/>
    <col min="11" max="11" width="20.7109375" style="66" customWidth="1"/>
    <col min="12" max="12" width="10.7109375" style="66" customWidth="1"/>
    <col min="13" max="13" width="9.140625" style="66" customWidth="1"/>
    <col min="14" max="14" width="10.57421875" style="66" bestFit="1" customWidth="1"/>
    <col min="15" max="15" width="18.8515625" style="66" customWidth="1"/>
    <col min="16" max="16384" width="9.140625" style="66" customWidth="1"/>
  </cols>
  <sheetData>
    <row r="1" spans="1:32" s="32" customFormat="1" ht="42" customHeight="1">
      <c r="A1" s="14"/>
      <c r="B1" s="14"/>
      <c r="C1" s="14"/>
      <c r="D1" s="797" t="s">
        <v>783</v>
      </c>
      <c r="E1" s="14"/>
      <c r="F1" s="14"/>
      <c r="G1" s="14"/>
      <c r="H1" s="14"/>
      <c r="I1" s="14"/>
      <c r="J1" s="61"/>
      <c r="K1" s="14"/>
      <c r="L1" s="14"/>
      <c r="M1" s="14"/>
      <c r="N1" s="14"/>
      <c r="O1" s="14"/>
      <c r="P1" s="14"/>
      <c r="Q1" s="14"/>
      <c r="R1" s="14"/>
      <c r="S1" s="14"/>
      <c r="T1" s="14"/>
      <c r="U1" s="14"/>
      <c r="V1" s="14"/>
      <c r="W1" s="14"/>
      <c r="X1" s="14"/>
      <c r="Y1" s="14"/>
      <c r="Z1" s="14"/>
      <c r="AA1" s="14"/>
      <c r="AB1" s="14"/>
      <c r="AC1" s="14"/>
      <c r="AD1" s="14"/>
      <c r="AE1" s="14"/>
      <c r="AF1" s="14"/>
    </row>
    <row r="2" spans="1:32" ht="18.75">
      <c r="A2" s="14"/>
      <c r="B2" s="762"/>
      <c r="C2" s="762"/>
      <c r="D2" s="762"/>
      <c r="E2" s="762"/>
      <c r="F2" s="762"/>
      <c r="G2" s="762"/>
      <c r="H2" s="762"/>
      <c r="I2" s="762"/>
      <c r="J2" s="762"/>
      <c r="K2" s="706"/>
      <c r="L2" s="14"/>
      <c r="M2" s="14"/>
      <c r="N2" s="14"/>
      <c r="O2" s="14"/>
      <c r="P2" s="14"/>
      <c r="Q2" s="14"/>
      <c r="R2" s="14"/>
      <c r="S2" s="14"/>
      <c r="T2" s="14"/>
      <c r="U2" s="14"/>
      <c r="V2" s="14"/>
      <c r="W2" s="14"/>
      <c r="X2" s="14"/>
      <c r="Y2" s="14"/>
      <c r="Z2" s="14"/>
      <c r="AA2" s="14"/>
      <c r="AB2" s="14"/>
      <c r="AC2" s="14"/>
      <c r="AD2" s="14"/>
      <c r="AE2" s="14"/>
      <c r="AF2" s="14"/>
    </row>
    <row r="3" spans="1:32" ht="18.75">
      <c r="A3" s="14"/>
      <c r="B3" s="709"/>
      <c r="C3" s="709"/>
      <c r="D3" s="709"/>
      <c r="E3" s="709"/>
      <c r="F3" s="709"/>
      <c r="G3" s="709"/>
      <c r="H3" s="709"/>
      <c r="I3" s="709"/>
      <c r="J3" s="709"/>
      <c r="K3" s="709"/>
      <c r="L3" s="14"/>
      <c r="M3" s="14"/>
      <c r="N3" s="14"/>
      <c r="O3" s="14"/>
      <c r="P3" s="14"/>
      <c r="Q3" s="14"/>
      <c r="R3" s="14"/>
      <c r="S3" s="14"/>
      <c r="T3" s="14"/>
      <c r="U3" s="14"/>
      <c r="V3" s="14"/>
      <c r="W3" s="14"/>
      <c r="X3" s="14"/>
      <c r="Y3" s="14"/>
      <c r="Z3" s="14"/>
      <c r="AA3" s="14"/>
      <c r="AB3" s="14"/>
      <c r="AC3" s="14"/>
      <c r="AD3" s="14"/>
      <c r="AE3" s="14"/>
      <c r="AF3" s="14"/>
    </row>
    <row r="4" spans="1:32" ht="18.75">
      <c r="A4" s="14"/>
      <c r="B4" s="854" t="s">
        <v>756</v>
      </c>
      <c r="C4" s="854"/>
      <c r="D4" s="854"/>
      <c r="E4" s="854"/>
      <c r="F4" s="854"/>
      <c r="G4" s="854"/>
      <c r="H4" s="854"/>
      <c r="I4" s="854"/>
      <c r="J4" s="854"/>
      <c r="K4" s="709"/>
      <c r="L4" s="14"/>
      <c r="M4" s="14"/>
      <c r="N4" s="14"/>
      <c r="O4" s="14"/>
      <c r="P4" s="14"/>
      <c r="Q4" s="14"/>
      <c r="R4" s="14"/>
      <c r="S4" s="14"/>
      <c r="T4" s="14"/>
      <c r="U4" s="14"/>
      <c r="V4" s="14"/>
      <c r="W4" s="14"/>
      <c r="X4" s="14"/>
      <c r="Y4" s="14"/>
      <c r="Z4" s="14"/>
      <c r="AA4" s="14"/>
      <c r="AB4" s="14"/>
      <c r="AC4" s="14"/>
      <c r="AD4" s="14"/>
      <c r="AE4" s="14"/>
      <c r="AF4" s="14"/>
    </row>
    <row r="5" spans="1:32" ht="18.75">
      <c r="A5" s="14"/>
      <c r="B5" s="709"/>
      <c r="C5" s="709"/>
      <c r="D5" s="709"/>
      <c r="E5" s="709"/>
      <c r="F5" s="709"/>
      <c r="G5" s="709"/>
      <c r="H5" s="709"/>
      <c r="I5" s="709"/>
      <c r="J5" s="709"/>
      <c r="K5" s="709"/>
      <c r="L5" s="14"/>
      <c r="M5" s="14"/>
      <c r="N5" s="14"/>
      <c r="O5" s="14"/>
      <c r="P5" s="14"/>
      <c r="Q5" s="14"/>
      <c r="R5" s="14"/>
      <c r="S5" s="14"/>
      <c r="T5" s="14"/>
      <c r="U5" s="14"/>
      <c r="V5" s="14"/>
      <c r="W5" s="14"/>
      <c r="X5" s="14"/>
      <c r="Y5" s="14"/>
      <c r="Z5" s="14"/>
      <c r="AA5" s="14"/>
      <c r="AB5" s="14"/>
      <c r="AC5" s="14"/>
      <c r="AD5" s="14"/>
      <c r="AE5" s="14"/>
      <c r="AF5" s="14"/>
    </row>
    <row r="6" spans="1:32" ht="18.75">
      <c r="A6" s="14"/>
      <c r="B6" s="854" t="s">
        <v>802</v>
      </c>
      <c r="C6" s="854"/>
      <c r="D6" s="854"/>
      <c r="E6" s="854"/>
      <c r="F6" s="854"/>
      <c r="G6" s="854"/>
      <c r="H6" s="854"/>
      <c r="I6" s="854"/>
      <c r="J6" s="854"/>
      <c r="K6" s="709"/>
      <c r="L6" s="14"/>
      <c r="M6" s="14"/>
      <c r="N6" s="14"/>
      <c r="O6" s="14"/>
      <c r="P6" s="14"/>
      <c r="Q6" s="14"/>
      <c r="R6" s="14"/>
      <c r="S6" s="14"/>
      <c r="T6" s="14"/>
      <c r="U6" s="14"/>
      <c r="V6" s="14"/>
      <c r="W6" s="14"/>
      <c r="X6" s="14"/>
      <c r="Y6" s="14"/>
      <c r="Z6" s="14"/>
      <c r="AA6" s="14"/>
      <c r="AB6" s="14"/>
      <c r="AC6" s="14"/>
      <c r="AD6" s="14"/>
      <c r="AE6" s="14"/>
      <c r="AF6" s="14"/>
    </row>
    <row r="7" spans="1:32" ht="18.75">
      <c r="A7" s="14"/>
      <c r="B7" s="709"/>
      <c r="C7" s="709"/>
      <c r="D7" s="709"/>
      <c r="E7" s="709"/>
      <c r="F7" s="709"/>
      <c r="G7" s="709"/>
      <c r="H7" s="709"/>
      <c r="I7" s="709"/>
      <c r="J7" s="709"/>
      <c r="K7" s="709"/>
      <c r="L7" s="14"/>
      <c r="M7" s="14"/>
      <c r="N7" s="14"/>
      <c r="O7" s="14"/>
      <c r="P7" s="14"/>
      <c r="Q7" s="14"/>
      <c r="R7" s="14"/>
      <c r="S7" s="14"/>
      <c r="T7" s="14"/>
      <c r="U7" s="14"/>
      <c r="V7" s="14"/>
      <c r="W7" s="14"/>
      <c r="X7" s="14"/>
      <c r="Y7" s="14"/>
      <c r="Z7" s="14"/>
      <c r="AA7" s="14"/>
      <c r="AB7" s="14"/>
      <c r="AC7" s="14"/>
      <c r="AD7" s="14"/>
      <c r="AE7" s="14"/>
      <c r="AF7" s="14"/>
    </row>
    <row r="8" spans="1:32" ht="18.75">
      <c r="A8" s="14"/>
      <c r="B8" s="709"/>
      <c r="C8" s="709"/>
      <c r="D8" s="709"/>
      <c r="E8" s="709"/>
      <c r="F8" s="709"/>
      <c r="G8" s="709"/>
      <c r="H8" s="709"/>
      <c r="I8" s="709"/>
      <c r="J8" s="709"/>
      <c r="K8" s="709"/>
      <c r="L8" s="14"/>
      <c r="M8" s="14"/>
      <c r="N8" s="14"/>
      <c r="O8" s="14"/>
      <c r="P8" s="14"/>
      <c r="Q8" s="14"/>
      <c r="R8" s="14"/>
      <c r="S8" s="14"/>
      <c r="T8" s="14"/>
      <c r="U8" s="14"/>
      <c r="V8" s="14"/>
      <c r="W8" s="14"/>
      <c r="X8" s="14"/>
      <c r="Y8" s="14"/>
      <c r="Z8" s="14"/>
      <c r="AA8" s="14"/>
      <c r="AB8" s="14"/>
      <c r="AC8" s="14"/>
      <c r="AD8" s="14"/>
      <c r="AE8" s="14"/>
      <c r="AF8" s="14"/>
    </row>
    <row r="9" spans="1:32" ht="18.75">
      <c r="A9" s="14"/>
      <c r="B9" s="709"/>
      <c r="C9" s="709"/>
      <c r="D9" s="709"/>
      <c r="E9" s="709"/>
      <c r="F9" s="709"/>
      <c r="G9" s="709"/>
      <c r="H9" s="709"/>
      <c r="I9" s="709"/>
      <c r="J9" s="709"/>
      <c r="K9" s="709"/>
      <c r="L9" s="14"/>
      <c r="M9" s="14"/>
      <c r="N9" s="14"/>
      <c r="O9" s="14"/>
      <c r="P9" s="14"/>
      <c r="Q9" s="14"/>
      <c r="R9" s="14"/>
      <c r="S9" s="14"/>
      <c r="T9" s="14"/>
      <c r="U9" s="14"/>
      <c r="V9" s="14"/>
      <c r="W9" s="14"/>
      <c r="X9" s="14"/>
      <c r="Y9" s="14"/>
      <c r="Z9" s="14"/>
      <c r="AA9" s="14"/>
      <c r="AB9" s="14"/>
      <c r="AC9" s="14"/>
      <c r="AD9" s="14"/>
      <c r="AE9" s="14"/>
      <c r="AF9" s="14"/>
    </row>
    <row r="10" spans="1:32" ht="18.75">
      <c r="A10" s="14"/>
      <c r="B10" s="709"/>
      <c r="C10" s="709"/>
      <c r="D10" s="709"/>
      <c r="E10" s="709"/>
      <c r="F10" s="709"/>
      <c r="G10" s="709"/>
      <c r="H10" s="709"/>
      <c r="I10" s="709"/>
      <c r="J10" s="709"/>
      <c r="K10" s="709"/>
      <c r="L10" s="14"/>
      <c r="M10" s="14"/>
      <c r="N10" s="14"/>
      <c r="O10" s="14"/>
      <c r="P10" s="14"/>
      <c r="Q10" s="14"/>
      <c r="R10" s="14"/>
      <c r="S10" s="14"/>
      <c r="T10" s="14"/>
      <c r="U10" s="14"/>
      <c r="V10" s="14"/>
      <c r="W10" s="14"/>
      <c r="X10" s="14"/>
      <c r="Y10" s="14"/>
      <c r="Z10" s="14"/>
      <c r="AA10" s="14"/>
      <c r="AB10" s="14"/>
      <c r="AC10" s="14"/>
      <c r="AD10" s="14"/>
      <c r="AE10" s="14"/>
      <c r="AF10" s="14"/>
    </row>
    <row r="11" spans="1:32" ht="18.75">
      <c r="A11" s="14"/>
      <c r="B11" s="709"/>
      <c r="C11" s="709"/>
      <c r="D11" s="709"/>
      <c r="E11" s="709"/>
      <c r="F11" s="709"/>
      <c r="G11" s="709"/>
      <c r="H11" s="709"/>
      <c r="I11" s="709"/>
      <c r="J11" s="709"/>
      <c r="K11" s="709"/>
      <c r="L11" s="14"/>
      <c r="M11" s="14"/>
      <c r="N11" s="14"/>
      <c r="O11" s="14"/>
      <c r="P11" s="14"/>
      <c r="Q11" s="14"/>
      <c r="R11" s="14"/>
      <c r="S11" s="14"/>
      <c r="T11" s="14"/>
      <c r="U11" s="14"/>
      <c r="V11" s="14"/>
      <c r="W11" s="14"/>
      <c r="X11" s="14"/>
      <c r="Y11" s="14"/>
      <c r="Z11" s="14"/>
      <c r="AA11" s="14"/>
      <c r="AB11" s="14"/>
      <c r="AC11" s="14"/>
      <c r="AD11" s="14"/>
      <c r="AE11" s="14"/>
      <c r="AF11" s="14"/>
    </row>
    <row r="12" spans="1:32" ht="18.75">
      <c r="A12" s="14"/>
      <c r="B12" s="709"/>
      <c r="C12" s="709"/>
      <c r="D12" s="709"/>
      <c r="E12" s="709"/>
      <c r="F12" s="709"/>
      <c r="G12" s="709"/>
      <c r="H12" s="709"/>
      <c r="I12" s="709"/>
      <c r="J12" s="709"/>
      <c r="K12" s="709"/>
      <c r="L12" s="14"/>
      <c r="M12" s="14"/>
      <c r="N12" s="14"/>
      <c r="O12" s="14"/>
      <c r="P12" s="14"/>
      <c r="Q12" s="14"/>
      <c r="R12" s="14"/>
      <c r="S12" s="14"/>
      <c r="T12" s="14"/>
      <c r="U12" s="14"/>
      <c r="V12" s="14"/>
      <c r="W12" s="14"/>
      <c r="X12" s="14"/>
      <c r="Y12" s="14"/>
      <c r="Z12" s="14"/>
      <c r="AA12" s="14"/>
      <c r="AB12" s="14"/>
      <c r="AC12" s="14"/>
      <c r="AD12" s="14"/>
      <c r="AE12" s="14"/>
      <c r="AF12" s="14"/>
    </row>
    <row r="13" spans="1:32" ht="18.75">
      <c r="A13" s="14"/>
      <c r="B13" s="709"/>
      <c r="C13" s="709"/>
      <c r="D13" s="709"/>
      <c r="E13" s="709"/>
      <c r="F13" s="709"/>
      <c r="G13" s="709"/>
      <c r="H13" s="709"/>
      <c r="I13" s="709"/>
      <c r="J13" s="709"/>
      <c r="K13" s="709"/>
      <c r="L13" s="14"/>
      <c r="M13" s="14"/>
      <c r="N13" s="14"/>
      <c r="O13" s="14"/>
      <c r="P13" s="14"/>
      <c r="Q13" s="14"/>
      <c r="R13" s="14"/>
      <c r="S13" s="14"/>
      <c r="T13" s="14"/>
      <c r="U13" s="14"/>
      <c r="V13" s="14"/>
      <c r="W13" s="14"/>
      <c r="X13" s="14"/>
      <c r="Y13" s="14"/>
      <c r="Z13" s="14"/>
      <c r="AA13" s="14"/>
      <c r="AB13" s="14"/>
      <c r="AC13" s="14"/>
      <c r="AD13" s="14"/>
      <c r="AE13" s="14"/>
      <c r="AF13" s="14"/>
    </row>
    <row r="14" spans="1:32" ht="18.75">
      <c r="A14" s="14"/>
      <c r="B14" s="709"/>
      <c r="C14" s="709"/>
      <c r="D14" s="709"/>
      <c r="E14" s="709"/>
      <c r="F14" s="709"/>
      <c r="G14" s="709"/>
      <c r="H14" s="709"/>
      <c r="I14" s="709"/>
      <c r="J14" s="709"/>
      <c r="K14" s="709"/>
      <c r="L14" s="14"/>
      <c r="M14" s="14"/>
      <c r="N14" s="14"/>
      <c r="O14" s="14"/>
      <c r="P14" s="14"/>
      <c r="Q14" s="14"/>
      <c r="R14" s="14"/>
      <c r="S14" s="14"/>
      <c r="T14" s="14"/>
      <c r="U14" s="14"/>
      <c r="V14" s="14"/>
      <c r="W14" s="14"/>
      <c r="X14" s="14"/>
      <c r="Y14" s="14"/>
      <c r="Z14" s="14"/>
      <c r="AA14" s="14"/>
      <c r="AB14" s="14"/>
      <c r="AC14" s="14"/>
      <c r="AD14" s="14"/>
      <c r="AE14" s="14"/>
      <c r="AF14" s="14"/>
    </row>
    <row r="15" spans="1:32" ht="18.75">
      <c r="A15" s="14"/>
      <c r="B15" s="709"/>
      <c r="C15" s="709"/>
      <c r="D15" s="709"/>
      <c r="E15" s="709"/>
      <c r="F15" s="709"/>
      <c r="G15" s="709"/>
      <c r="H15" s="709"/>
      <c r="I15" s="709"/>
      <c r="J15" s="709"/>
      <c r="K15" s="709"/>
      <c r="L15" s="14"/>
      <c r="M15" s="14"/>
      <c r="N15" s="14"/>
      <c r="O15" s="14"/>
      <c r="P15" s="14"/>
      <c r="Q15" s="14"/>
      <c r="R15" s="14"/>
      <c r="S15" s="14"/>
      <c r="T15" s="14"/>
      <c r="U15" s="14"/>
      <c r="V15" s="14"/>
      <c r="W15" s="14"/>
      <c r="X15" s="14"/>
      <c r="Y15" s="14"/>
      <c r="Z15" s="14"/>
      <c r="AA15" s="14"/>
      <c r="AB15" s="14"/>
      <c r="AC15" s="14"/>
      <c r="AD15" s="14"/>
      <c r="AE15" s="14"/>
      <c r="AF15" s="14"/>
    </row>
    <row r="16" spans="1:32" ht="18.75">
      <c r="A16" s="14"/>
      <c r="B16" s="709"/>
      <c r="C16" s="709"/>
      <c r="D16" s="709"/>
      <c r="E16" s="709"/>
      <c r="F16" s="709"/>
      <c r="G16" s="709"/>
      <c r="H16" s="709"/>
      <c r="I16" s="709"/>
      <c r="J16" s="709"/>
      <c r="K16" s="709"/>
      <c r="L16" s="14"/>
      <c r="M16" s="14"/>
      <c r="N16" s="14"/>
      <c r="O16" s="14"/>
      <c r="P16" s="14"/>
      <c r="Q16" s="14"/>
      <c r="R16" s="14"/>
      <c r="S16" s="14"/>
      <c r="T16" s="14"/>
      <c r="U16" s="14"/>
      <c r="V16" s="14"/>
      <c r="W16" s="14"/>
      <c r="X16" s="14"/>
      <c r="Y16" s="14"/>
      <c r="Z16" s="14"/>
      <c r="AA16" s="14"/>
      <c r="AB16" s="14"/>
      <c r="AC16" s="14"/>
      <c r="AD16" s="14"/>
      <c r="AE16" s="14"/>
      <c r="AF16" s="14"/>
    </row>
    <row r="17" spans="1:32" ht="18.75">
      <c r="A17" s="14"/>
      <c r="B17" s="709"/>
      <c r="C17" s="709"/>
      <c r="D17" s="709"/>
      <c r="E17" s="709"/>
      <c r="F17" s="709"/>
      <c r="G17" s="709"/>
      <c r="H17" s="709"/>
      <c r="I17" s="709"/>
      <c r="J17" s="709"/>
      <c r="K17" s="709"/>
      <c r="L17" s="14"/>
      <c r="M17" s="14"/>
      <c r="N17" s="14"/>
      <c r="O17" s="14"/>
      <c r="P17" s="14"/>
      <c r="Q17" s="14"/>
      <c r="R17" s="14"/>
      <c r="S17" s="14"/>
      <c r="T17" s="14"/>
      <c r="U17" s="14"/>
      <c r="V17" s="14"/>
      <c r="W17" s="14"/>
      <c r="X17" s="14"/>
      <c r="Y17" s="14"/>
      <c r="Z17" s="14"/>
      <c r="AA17" s="14"/>
      <c r="AB17" s="14"/>
      <c r="AC17" s="14"/>
      <c r="AD17" s="14"/>
      <c r="AE17" s="14"/>
      <c r="AF17" s="14"/>
    </row>
    <row r="18" spans="1:32" ht="18.75">
      <c r="A18" s="14"/>
      <c r="B18" s="709"/>
      <c r="C18" s="709"/>
      <c r="D18" s="709"/>
      <c r="E18" s="709"/>
      <c r="F18" s="709"/>
      <c r="G18" s="709"/>
      <c r="H18" s="709"/>
      <c r="I18" s="709"/>
      <c r="J18" s="709"/>
      <c r="K18" s="709"/>
      <c r="L18" s="14"/>
      <c r="M18" s="14"/>
      <c r="N18" s="14"/>
      <c r="O18" s="14"/>
      <c r="P18" s="14"/>
      <c r="Q18" s="14"/>
      <c r="R18" s="14"/>
      <c r="S18" s="14"/>
      <c r="T18" s="14"/>
      <c r="U18" s="14"/>
      <c r="V18" s="14"/>
      <c r="W18" s="14"/>
      <c r="X18" s="14"/>
      <c r="Y18" s="14"/>
      <c r="Z18" s="14"/>
      <c r="AA18" s="14"/>
      <c r="AB18" s="14"/>
      <c r="AC18" s="14"/>
      <c r="AD18" s="14"/>
      <c r="AE18" s="14"/>
      <c r="AF18" s="14"/>
    </row>
    <row r="19" spans="1:32" ht="18.75">
      <c r="A19" s="14"/>
      <c r="B19" s="709"/>
      <c r="C19" s="709"/>
      <c r="D19" s="709"/>
      <c r="E19" s="709"/>
      <c r="F19" s="709"/>
      <c r="G19" s="709"/>
      <c r="H19" s="709"/>
      <c r="I19" s="709"/>
      <c r="J19" s="709"/>
      <c r="K19" s="709"/>
      <c r="L19" s="14"/>
      <c r="M19" s="14"/>
      <c r="N19" s="14"/>
      <c r="O19" s="14"/>
      <c r="P19" s="14"/>
      <c r="Q19" s="14"/>
      <c r="R19" s="14"/>
      <c r="S19" s="14"/>
      <c r="T19" s="14"/>
      <c r="U19" s="14"/>
      <c r="V19" s="14"/>
      <c r="W19" s="14"/>
      <c r="X19" s="14"/>
      <c r="Y19" s="14"/>
      <c r="Z19" s="14"/>
      <c r="AA19" s="14"/>
      <c r="AB19" s="14"/>
      <c r="AC19" s="14"/>
      <c r="AD19" s="14"/>
      <c r="AE19" s="14"/>
      <c r="AF19" s="14"/>
    </row>
    <row r="20" spans="1:32" ht="18.75">
      <c r="A20" s="14"/>
      <c r="B20" s="709"/>
      <c r="C20" s="709"/>
      <c r="D20" s="709"/>
      <c r="E20" s="709"/>
      <c r="F20" s="709"/>
      <c r="G20" s="709"/>
      <c r="H20" s="709"/>
      <c r="I20" s="709"/>
      <c r="J20" s="709"/>
      <c r="K20" s="709"/>
      <c r="L20" s="14"/>
      <c r="M20" s="14"/>
      <c r="N20" s="14"/>
      <c r="O20" s="14"/>
      <c r="P20" s="14"/>
      <c r="Q20" s="14"/>
      <c r="R20" s="14"/>
      <c r="S20" s="14"/>
      <c r="T20" s="14"/>
      <c r="U20" s="14"/>
      <c r="V20" s="14"/>
      <c r="W20" s="14"/>
      <c r="X20" s="14"/>
      <c r="Y20" s="14"/>
      <c r="Z20" s="14"/>
      <c r="AA20" s="14"/>
      <c r="AB20" s="14"/>
      <c r="AC20" s="14"/>
      <c r="AD20" s="14"/>
      <c r="AE20" s="14"/>
      <c r="AF20" s="14"/>
    </row>
    <row r="21" spans="1:32" ht="18.75">
      <c r="A21" s="14"/>
      <c r="B21" s="709"/>
      <c r="C21" s="709"/>
      <c r="D21" s="709"/>
      <c r="E21" s="709"/>
      <c r="F21" s="709"/>
      <c r="G21" s="709"/>
      <c r="H21" s="709"/>
      <c r="I21" s="709"/>
      <c r="J21" s="709"/>
      <c r="K21" s="709"/>
      <c r="L21" s="14"/>
      <c r="M21" s="14"/>
      <c r="N21" s="14"/>
      <c r="O21" s="14"/>
      <c r="P21" s="14"/>
      <c r="Q21" s="14"/>
      <c r="R21" s="14"/>
      <c r="S21" s="14"/>
      <c r="T21" s="14"/>
      <c r="U21" s="14"/>
      <c r="V21" s="14"/>
      <c r="W21" s="14"/>
      <c r="X21" s="14"/>
      <c r="Y21" s="14"/>
      <c r="Z21" s="14"/>
      <c r="AA21" s="14"/>
      <c r="AB21" s="14"/>
      <c r="AC21" s="14"/>
      <c r="AD21" s="14"/>
      <c r="AE21" s="14"/>
      <c r="AF21" s="14"/>
    </row>
    <row r="22" spans="1:32" ht="18.75">
      <c r="A22" s="14"/>
      <c r="B22" s="709"/>
      <c r="C22" s="709"/>
      <c r="D22" s="709"/>
      <c r="E22" s="709"/>
      <c r="F22" s="709"/>
      <c r="G22" s="709"/>
      <c r="H22" s="709"/>
      <c r="I22" s="709"/>
      <c r="J22" s="709"/>
      <c r="K22" s="709"/>
      <c r="L22" s="14"/>
      <c r="M22" s="14"/>
      <c r="N22" s="14"/>
      <c r="O22" s="14"/>
      <c r="P22" s="14"/>
      <c r="Q22" s="14"/>
      <c r="R22" s="14"/>
      <c r="S22" s="14"/>
      <c r="T22" s="14"/>
      <c r="U22" s="14"/>
      <c r="V22" s="14"/>
      <c r="W22" s="14"/>
      <c r="X22" s="14"/>
      <c r="Y22" s="14"/>
      <c r="Z22" s="14"/>
      <c r="AA22" s="14"/>
      <c r="AB22" s="14"/>
      <c r="AC22" s="14"/>
      <c r="AD22" s="14"/>
      <c r="AE22" s="14"/>
      <c r="AF22" s="14"/>
    </row>
    <row r="23" spans="1:32" ht="18.75">
      <c r="A23" s="14"/>
      <c r="B23" s="709"/>
      <c r="C23" s="709"/>
      <c r="D23" s="709"/>
      <c r="E23" s="709"/>
      <c r="F23" s="709"/>
      <c r="G23" s="709"/>
      <c r="H23" s="709"/>
      <c r="I23" s="709"/>
      <c r="J23" s="709"/>
      <c r="K23" s="709"/>
      <c r="L23" s="14"/>
      <c r="M23" s="14"/>
      <c r="N23" s="14"/>
      <c r="O23" s="14"/>
      <c r="P23" s="14"/>
      <c r="Q23" s="14"/>
      <c r="R23" s="14"/>
      <c r="S23" s="14"/>
      <c r="T23" s="14"/>
      <c r="U23" s="14"/>
      <c r="V23" s="14"/>
      <c r="W23" s="14"/>
      <c r="X23" s="14"/>
      <c r="Y23" s="14"/>
      <c r="Z23" s="14"/>
      <c r="AA23" s="14"/>
      <c r="AB23" s="14"/>
      <c r="AC23" s="14"/>
      <c r="AD23" s="14"/>
      <c r="AE23" s="14"/>
      <c r="AF23" s="14"/>
    </row>
    <row r="24" spans="1:32" ht="18.75">
      <c r="A24" s="14"/>
      <c r="B24" s="709"/>
      <c r="C24" s="709"/>
      <c r="D24" s="709"/>
      <c r="E24" s="709"/>
      <c r="F24" s="709"/>
      <c r="G24" s="709"/>
      <c r="H24" s="709"/>
      <c r="I24" s="709"/>
      <c r="J24" s="709"/>
      <c r="K24" s="709"/>
      <c r="L24" s="14"/>
      <c r="M24" s="14"/>
      <c r="N24" s="14"/>
      <c r="O24" s="14"/>
      <c r="P24" s="14"/>
      <c r="Q24" s="14"/>
      <c r="R24" s="14"/>
      <c r="S24" s="14"/>
      <c r="T24" s="14"/>
      <c r="U24" s="14"/>
      <c r="V24" s="14"/>
      <c r="W24" s="14"/>
      <c r="X24" s="14"/>
      <c r="Y24" s="14"/>
      <c r="Z24" s="14"/>
      <c r="AA24" s="14"/>
      <c r="AB24" s="14"/>
      <c r="AC24" s="14"/>
      <c r="AD24" s="14"/>
      <c r="AE24" s="14"/>
      <c r="AF24" s="14"/>
    </row>
    <row r="25" spans="1:32" ht="18.75">
      <c r="A25" s="14"/>
      <c r="B25" s="709"/>
      <c r="C25" s="709"/>
      <c r="D25" s="709"/>
      <c r="E25" s="709"/>
      <c r="F25" s="709"/>
      <c r="G25" s="709"/>
      <c r="H25" s="709"/>
      <c r="I25" s="709"/>
      <c r="J25" s="709"/>
      <c r="K25" s="709"/>
      <c r="L25" s="14"/>
      <c r="M25" s="14"/>
      <c r="N25" s="14"/>
      <c r="O25" s="14"/>
      <c r="P25" s="14"/>
      <c r="Q25" s="14"/>
      <c r="R25" s="14"/>
      <c r="S25" s="14"/>
      <c r="T25" s="14"/>
      <c r="U25" s="14"/>
      <c r="V25" s="14"/>
      <c r="W25" s="14"/>
      <c r="X25" s="14"/>
      <c r="Y25" s="14"/>
      <c r="Z25" s="14"/>
      <c r="AA25" s="14"/>
      <c r="AB25" s="14"/>
      <c r="AC25" s="14"/>
      <c r="AD25" s="14"/>
      <c r="AE25" s="14"/>
      <c r="AF25" s="14"/>
    </row>
    <row r="26" spans="1:32" ht="18.75">
      <c r="A26" s="14"/>
      <c r="B26" s="709"/>
      <c r="C26" s="709"/>
      <c r="D26" s="709"/>
      <c r="E26" s="709"/>
      <c r="F26" s="709"/>
      <c r="G26" s="709"/>
      <c r="H26" s="709"/>
      <c r="I26" s="709"/>
      <c r="J26" s="709"/>
      <c r="K26" s="709"/>
      <c r="L26" s="14"/>
      <c r="M26" s="14"/>
      <c r="N26" s="14"/>
      <c r="O26" s="14"/>
      <c r="P26" s="14"/>
      <c r="Q26" s="14"/>
      <c r="R26" s="14"/>
      <c r="S26" s="14"/>
      <c r="T26" s="14"/>
      <c r="U26" s="14"/>
      <c r="V26" s="14"/>
      <c r="W26" s="14"/>
      <c r="X26" s="14"/>
      <c r="Y26" s="14"/>
      <c r="Z26" s="14"/>
      <c r="AA26" s="14"/>
      <c r="AB26" s="14"/>
      <c r="AC26" s="14"/>
      <c r="AD26" s="14"/>
      <c r="AE26" s="14"/>
      <c r="AF26" s="14"/>
    </row>
    <row r="27" spans="1:32" ht="18.75">
      <c r="A27" s="14"/>
      <c r="B27" s="709"/>
      <c r="C27" s="709"/>
      <c r="D27" s="709"/>
      <c r="E27" s="709"/>
      <c r="F27" s="709"/>
      <c r="G27" s="709"/>
      <c r="H27" s="709"/>
      <c r="I27" s="709"/>
      <c r="J27" s="709"/>
      <c r="K27" s="709"/>
      <c r="L27" s="14"/>
      <c r="M27" s="14"/>
      <c r="N27" s="14"/>
      <c r="O27" s="14"/>
      <c r="P27" s="14"/>
      <c r="Q27" s="14"/>
      <c r="R27" s="14"/>
      <c r="S27" s="14"/>
      <c r="T27" s="14"/>
      <c r="U27" s="14"/>
      <c r="V27" s="14"/>
      <c r="W27" s="14"/>
      <c r="X27" s="14"/>
      <c r="Y27" s="14"/>
      <c r="Z27" s="14"/>
      <c r="AA27" s="14"/>
      <c r="AB27" s="14"/>
      <c r="AC27" s="14"/>
      <c r="AD27" s="14"/>
      <c r="AE27" s="14"/>
      <c r="AF27" s="14"/>
    </row>
    <row r="28" spans="1:32" ht="18.75">
      <c r="A28" s="14"/>
      <c r="B28" s="709"/>
      <c r="C28" s="709"/>
      <c r="D28" s="709"/>
      <c r="E28" s="709"/>
      <c r="F28" s="709"/>
      <c r="G28" s="709"/>
      <c r="H28" s="709"/>
      <c r="I28" s="709"/>
      <c r="J28" s="709"/>
      <c r="K28" s="709"/>
      <c r="L28" s="14"/>
      <c r="M28" s="14"/>
      <c r="N28" s="14"/>
      <c r="O28" s="14"/>
      <c r="P28" s="14"/>
      <c r="Q28" s="14"/>
      <c r="R28" s="14"/>
      <c r="S28" s="14"/>
      <c r="T28" s="14"/>
      <c r="U28" s="14"/>
      <c r="V28" s="14"/>
      <c r="W28" s="14"/>
      <c r="X28" s="14"/>
      <c r="Y28" s="14"/>
      <c r="Z28" s="14"/>
      <c r="AA28" s="14"/>
      <c r="AB28" s="14"/>
      <c r="AC28" s="14"/>
      <c r="AD28" s="14"/>
      <c r="AE28" s="14"/>
      <c r="AF28" s="14"/>
    </row>
    <row r="29" spans="1:32" ht="18.75">
      <c r="A29" s="14"/>
      <c r="B29" s="709"/>
      <c r="C29" s="709"/>
      <c r="D29" s="709"/>
      <c r="E29" s="709"/>
      <c r="F29" s="709"/>
      <c r="G29" s="709"/>
      <c r="H29" s="709"/>
      <c r="I29" s="709"/>
      <c r="J29" s="709"/>
      <c r="K29" s="709"/>
      <c r="L29" s="14"/>
      <c r="M29" s="14"/>
      <c r="N29" s="14"/>
      <c r="O29" s="14"/>
      <c r="P29" s="14"/>
      <c r="Q29" s="14"/>
      <c r="R29" s="14"/>
      <c r="S29" s="14"/>
      <c r="T29" s="14"/>
      <c r="U29" s="14"/>
      <c r="V29" s="14"/>
      <c r="W29" s="14"/>
      <c r="X29" s="14"/>
      <c r="Y29" s="14"/>
      <c r="Z29" s="14"/>
      <c r="AA29" s="14"/>
      <c r="AB29" s="14"/>
      <c r="AC29" s="14"/>
      <c r="AD29" s="14"/>
      <c r="AE29" s="14"/>
      <c r="AF29" s="14"/>
    </row>
    <row r="30" spans="1:32" ht="18.75">
      <c r="A30" s="14"/>
      <c r="B30" s="709"/>
      <c r="C30" s="709"/>
      <c r="D30" s="709"/>
      <c r="E30" s="709"/>
      <c r="F30" s="709"/>
      <c r="G30" s="709"/>
      <c r="H30" s="709"/>
      <c r="I30" s="709"/>
      <c r="J30" s="709"/>
      <c r="K30" s="709"/>
      <c r="L30" s="14"/>
      <c r="M30" s="14"/>
      <c r="N30" s="14"/>
      <c r="O30" s="14"/>
      <c r="P30" s="14"/>
      <c r="Q30" s="14"/>
      <c r="R30" s="14"/>
      <c r="S30" s="14"/>
      <c r="T30" s="14"/>
      <c r="U30" s="14"/>
      <c r="V30" s="14"/>
      <c r="W30" s="14"/>
      <c r="X30" s="14"/>
      <c r="Y30" s="14"/>
      <c r="Z30" s="14"/>
      <c r="AA30" s="14"/>
      <c r="AB30" s="14"/>
      <c r="AC30" s="14"/>
      <c r="AD30" s="14"/>
      <c r="AE30" s="14"/>
      <c r="AF30" s="14"/>
    </row>
    <row r="31" spans="1:32" ht="18.75">
      <c r="A31" s="14"/>
      <c r="B31" s="709"/>
      <c r="C31" s="709"/>
      <c r="D31" s="709"/>
      <c r="E31" s="709"/>
      <c r="F31" s="709"/>
      <c r="G31" s="709"/>
      <c r="H31" s="709"/>
      <c r="I31" s="709"/>
      <c r="J31" s="709"/>
      <c r="K31" s="709"/>
      <c r="L31" s="14"/>
      <c r="M31" s="14"/>
      <c r="N31" s="14"/>
      <c r="O31" s="14"/>
      <c r="P31" s="14"/>
      <c r="Q31" s="14"/>
      <c r="R31" s="14"/>
      <c r="S31" s="14"/>
      <c r="T31" s="14"/>
      <c r="U31" s="14"/>
      <c r="V31" s="14"/>
      <c r="W31" s="14"/>
      <c r="X31" s="14"/>
      <c r="Y31" s="14"/>
      <c r="Z31" s="14"/>
      <c r="AA31" s="14"/>
      <c r="AB31" s="14"/>
      <c r="AC31" s="14"/>
      <c r="AD31" s="14"/>
      <c r="AE31" s="14"/>
      <c r="AF31" s="14"/>
    </row>
    <row r="32" spans="1:32" ht="18.75">
      <c r="A32" s="14"/>
      <c r="B32" s="709"/>
      <c r="C32" s="709"/>
      <c r="D32" s="709"/>
      <c r="E32" s="709"/>
      <c r="F32" s="709"/>
      <c r="G32" s="709"/>
      <c r="H32" s="709"/>
      <c r="I32" s="709"/>
      <c r="J32" s="709"/>
      <c r="K32" s="709"/>
      <c r="L32" s="14"/>
      <c r="M32" s="14"/>
      <c r="N32" s="14"/>
      <c r="O32" s="14"/>
      <c r="P32" s="14"/>
      <c r="Q32" s="14"/>
      <c r="R32" s="14"/>
      <c r="S32" s="14"/>
      <c r="T32" s="14"/>
      <c r="U32" s="14"/>
      <c r="V32" s="14"/>
      <c r="W32" s="14"/>
      <c r="X32" s="14"/>
      <c r="Y32" s="14"/>
      <c r="Z32" s="14"/>
      <c r="AA32" s="14"/>
      <c r="AB32" s="14"/>
      <c r="AC32" s="14"/>
      <c r="AD32" s="14"/>
      <c r="AE32" s="14"/>
      <c r="AF32" s="14"/>
    </row>
    <row r="33" spans="1:32" ht="18.75">
      <c r="A33" s="14"/>
      <c r="B33" s="709"/>
      <c r="C33" s="709"/>
      <c r="D33" s="709"/>
      <c r="E33" s="709"/>
      <c r="F33" s="709"/>
      <c r="G33" s="709"/>
      <c r="H33" s="709"/>
      <c r="I33" s="709"/>
      <c r="J33" s="709"/>
      <c r="K33" s="709"/>
      <c r="L33" s="14"/>
      <c r="M33" s="14"/>
      <c r="N33" s="14"/>
      <c r="O33" s="14"/>
      <c r="P33" s="14"/>
      <c r="Q33" s="14"/>
      <c r="R33" s="14"/>
      <c r="S33" s="14"/>
      <c r="T33" s="14"/>
      <c r="U33" s="14"/>
      <c r="V33" s="14"/>
      <c r="W33" s="14"/>
      <c r="X33" s="14"/>
      <c r="Y33" s="14"/>
      <c r="Z33" s="14"/>
      <c r="AA33" s="14"/>
      <c r="AB33" s="14"/>
      <c r="AC33" s="14"/>
      <c r="AD33" s="14"/>
      <c r="AE33" s="14"/>
      <c r="AF33" s="14"/>
    </row>
    <row r="34" spans="1:32" ht="18.75">
      <c r="A34" s="14"/>
      <c r="B34" s="709"/>
      <c r="C34" s="709"/>
      <c r="D34" s="709"/>
      <c r="E34" s="709"/>
      <c r="F34" s="709"/>
      <c r="G34" s="709"/>
      <c r="H34" s="709"/>
      <c r="I34" s="709"/>
      <c r="J34" s="709"/>
      <c r="K34" s="709"/>
      <c r="L34" s="14"/>
      <c r="M34" s="14"/>
      <c r="N34" s="14"/>
      <c r="O34" s="14"/>
      <c r="P34" s="14"/>
      <c r="Q34" s="14"/>
      <c r="R34" s="14"/>
      <c r="S34" s="14"/>
      <c r="T34" s="14"/>
      <c r="U34" s="14"/>
      <c r="V34" s="14"/>
      <c r="W34" s="14"/>
      <c r="X34" s="14"/>
      <c r="Y34" s="14"/>
      <c r="Z34" s="14"/>
      <c r="AA34" s="14"/>
      <c r="AB34" s="14"/>
      <c r="AC34" s="14"/>
      <c r="AD34" s="14"/>
      <c r="AE34" s="14"/>
      <c r="AF34" s="14"/>
    </row>
    <row r="35" spans="1:32" ht="15">
      <c r="A35" s="14"/>
      <c r="B35" s="654" t="s">
        <v>877</v>
      </c>
      <c r="C35" s="14"/>
      <c r="D35" s="14"/>
      <c r="E35" s="14"/>
      <c r="F35" s="14"/>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row>
    <row r="36" spans="1:32" s="32" customFormat="1" ht="19.5" customHeight="1">
      <c r="A36" s="14"/>
      <c r="B36" s="14"/>
      <c r="C36" s="14"/>
      <c r="D36" s="14"/>
      <c r="E36" s="14"/>
      <c r="F36" s="14"/>
      <c r="G36" s="14"/>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row>
    <row r="37" spans="1:32" ht="15">
      <c r="A37" s="14"/>
      <c r="B37" s="14"/>
      <c r="C37" s="14"/>
      <c r="D37" s="14"/>
      <c r="E37" s="14"/>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row>
    <row r="38" spans="1:32" ht="15">
      <c r="A38" s="14"/>
      <c r="B38" s="14"/>
      <c r="C38" s="14"/>
      <c r="D38" s="14"/>
      <c r="E38" s="14"/>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row>
    <row r="39" spans="1:32" ht="15">
      <c r="A39" s="14"/>
      <c r="B39" s="14"/>
      <c r="C39" s="14"/>
      <c r="D39" s="14"/>
      <c r="E39" s="14"/>
      <c r="F39" s="14"/>
      <c r="G39" s="14"/>
      <c r="H39" s="14"/>
      <c r="I39" s="14"/>
      <c r="J39" s="14"/>
      <c r="K39" s="14"/>
      <c r="L39" s="14"/>
      <c r="M39" s="14"/>
      <c r="N39" s="14"/>
      <c r="O39" s="14"/>
      <c r="P39" s="14"/>
      <c r="Q39" s="14"/>
      <c r="R39" s="14"/>
      <c r="S39" s="14"/>
      <c r="T39" s="14"/>
      <c r="U39" s="14"/>
      <c r="V39" s="14"/>
      <c r="W39" s="14"/>
      <c r="X39" s="14"/>
      <c r="Y39" s="14"/>
      <c r="Z39" s="14"/>
      <c r="AA39" s="14"/>
      <c r="AB39" s="14"/>
      <c r="AC39" s="14"/>
      <c r="AD39" s="14"/>
      <c r="AE39" s="14"/>
      <c r="AF39" s="14"/>
    </row>
    <row r="40" spans="1:32" ht="15">
      <c r="A40" s="14"/>
      <c r="B40" s="14"/>
      <c r="C40" s="14"/>
      <c r="D40" s="14"/>
      <c r="E40" s="14"/>
      <c r="F40" s="14"/>
      <c r="G40" s="14"/>
      <c r="H40" s="14"/>
      <c r="I40" s="14"/>
      <c r="J40" s="14"/>
      <c r="K40" s="14"/>
      <c r="L40" s="14"/>
      <c r="M40" s="14"/>
      <c r="N40" s="14"/>
      <c r="O40" s="14"/>
      <c r="P40" s="14"/>
      <c r="Q40" s="14"/>
      <c r="R40" s="14"/>
      <c r="S40" s="14"/>
      <c r="T40" s="14"/>
      <c r="U40" s="14"/>
      <c r="V40" s="14"/>
      <c r="W40" s="14"/>
      <c r="X40" s="14"/>
      <c r="Y40" s="14"/>
      <c r="Z40" s="14"/>
      <c r="AA40" s="14"/>
      <c r="AB40" s="14"/>
      <c r="AC40" s="14"/>
      <c r="AD40" s="14"/>
      <c r="AE40" s="14"/>
      <c r="AF40" s="14"/>
    </row>
    <row r="41" spans="1:32" ht="15">
      <c r="A41" s="14"/>
      <c r="B41" s="14"/>
      <c r="C41" s="14"/>
      <c r="D41" s="14"/>
      <c r="E41" s="14"/>
      <c r="F41" s="14"/>
      <c r="G41" s="14"/>
      <c r="H41" s="14"/>
      <c r="I41" s="14"/>
      <c r="J41" s="14"/>
      <c r="K41" s="14"/>
      <c r="L41" s="14"/>
      <c r="M41" s="14"/>
      <c r="N41" s="14"/>
      <c r="O41" s="14"/>
      <c r="P41" s="14"/>
      <c r="Q41" s="14"/>
      <c r="R41" s="14"/>
      <c r="S41" s="14"/>
      <c r="T41" s="14"/>
      <c r="U41" s="14"/>
      <c r="V41" s="14"/>
      <c r="W41" s="14"/>
      <c r="X41" s="14"/>
      <c r="Y41" s="14"/>
      <c r="Z41" s="14"/>
      <c r="AA41" s="14"/>
      <c r="AB41" s="14"/>
      <c r="AC41" s="14"/>
      <c r="AD41" s="14"/>
      <c r="AE41" s="14"/>
      <c r="AF41" s="14"/>
    </row>
    <row r="42" spans="1:32" ht="15">
      <c r="A42" s="14"/>
      <c r="B42" s="14"/>
      <c r="C42" s="14"/>
      <c r="D42" s="14"/>
      <c r="E42" s="14"/>
      <c r="F42" s="14"/>
      <c r="G42" s="14"/>
      <c r="H42" s="14"/>
      <c r="I42" s="14"/>
      <c r="J42" s="14"/>
      <c r="K42" s="14"/>
      <c r="L42" s="14"/>
      <c r="M42" s="14"/>
      <c r="N42" s="14"/>
      <c r="O42" s="14"/>
      <c r="P42" s="14"/>
      <c r="Q42" s="14"/>
      <c r="R42" s="14"/>
      <c r="S42" s="14"/>
      <c r="T42" s="14"/>
      <c r="U42" s="14"/>
      <c r="V42" s="14"/>
      <c r="W42" s="14"/>
      <c r="X42" s="14"/>
      <c r="Y42" s="14"/>
      <c r="Z42" s="14"/>
      <c r="AA42" s="14"/>
      <c r="AB42" s="14"/>
      <c r="AC42" s="14"/>
      <c r="AD42" s="14"/>
      <c r="AE42" s="14"/>
      <c r="AF42" s="14"/>
    </row>
    <row r="43" spans="1:32" ht="15">
      <c r="A43" s="14"/>
      <c r="B43" s="14"/>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c r="AF43" s="14"/>
    </row>
    <row r="44" spans="1:32" ht="15">
      <c r="A44" s="14"/>
      <c r="B44" s="14"/>
      <c r="C44" s="14"/>
      <c r="D44" s="14"/>
      <c r="E44" s="14"/>
      <c r="F44" s="14"/>
      <c r="G44" s="14"/>
      <c r="H44" s="14"/>
      <c r="I44" s="14"/>
      <c r="J44" s="14"/>
      <c r="K44" s="14"/>
      <c r="L44" s="14"/>
      <c r="M44" s="14"/>
      <c r="N44" s="14"/>
      <c r="O44" s="14"/>
      <c r="P44" s="14"/>
      <c r="Q44" s="14"/>
      <c r="R44" s="14"/>
      <c r="S44" s="14"/>
      <c r="T44" s="14"/>
      <c r="U44" s="14"/>
      <c r="V44" s="14"/>
      <c r="W44" s="14"/>
      <c r="X44" s="14"/>
      <c r="Y44" s="14"/>
      <c r="Z44" s="14"/>
      <c r="AA44" s="14"/>
      <c r="AB44" s="14"/>
      <c r="AC44" s="14"/>
      <c r="AD44" s="14"/>
      <c r="AE44" s="14"/>
      <c r="AF44" s="14"/>
    </row>
    <row r="45" spans="1:32" ht="15">
      <c r="A45" s="14"/>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row>
    <row r="46" spans="1:32" ht="15">
      <c r="A46" s="14"/>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row>
    <row r="47" spans="1:32" ht="15">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row>
    <row r="48" spans="1:32" ht="15">
      <c r="A48" s="14"/>
      <c r="B48" s="14"/>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row>
    <row r="49" spans="1:32" ht="15">
      <c r="A49" s="14"/>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row>
    <row r="50" spans="1:32" ht="15">
      <c r="A50" s="14"/>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row>
    <row r="51" spans="1:32" ht="15">
      <c r="A51" s="14"/>
      <c r="B51" s="14"/>
      <c r="C51" s="14"/>
      <c r="D51" s="14"/>
      <c r="E51" s="14"/>
      <c r="F51" s="14"/>
      <c r="G51" s="14"/>
      <c r="H51" s="14"/>
      <c r="I51" s="14"/>
      <c r="J51" s="14"/>
      <c r="K51" s="14"/>
      <c r="L51" s="14"/>
      <c r="M51" s="14"/>
      <c r="N51" s="14"/>
      <c r="O51" s="14"/>
      <c r="P51" s="14"/>
      <c r="Q51" s="14"/>
      <c r="R51" s="14"/>
      <c r="S51" s="14"/>
      <c r="T51" s="14"/>
      <c r="U51" s="14"/>
      <c r="V51" s="14"/>
      <c r="W51" s="14"/>
      <c r="X51" s="14"/>
      <c r="Y51" s="14"/>
      <c r="Z51" s="14"/>
      <c r="AA51" s="14"/>
      <c r="AB51" s="14"/>
      <c r="AC51" s="14"/>
      <c r="AD51" s="14"/>
      <c r="AE51" s="14"/>
      <c r="AF51" s="14"/>
    </row>
    <row r="52" spans="1:32" ht="15">
      <c r="A52" s="14"/>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c r="AD52" s="14"/>
      <c r="AE52" s="14"/>
      <c r="AF52" s="14"/>
    </row>
    <row r="53" spans="1:32" ht="15">
      <c r="A53" s="14"/>
      <c r="B53" s="14"/>
      <c r="C53" s="14"/>
      <c r="D53" s="14"/>
      <c r="E53" s="14"/>
      <c r="F53" s="14"/>
      <c r="G53" s="14"/>
      <c r="H53" s="14"/>
      <c r="I53" s="14"/>
      <c r="J53" s="14"/>
      <c r="K53" s="14"/>
      <c r="L53" s="14"/>
      <c r="M53" s="14"/>
      <c r="N53" s="14"/>
      <c r="O53" s="14"/>
      <c r="P53" s="14"/>
      <c r="Q53" s="14"/>
      <c r="R53" s="14"/>
      <c r="S53" s="14"/>
      <c r="T53" s="14"/>
      <c r="U53" s="14"/>
      <c r="V53" s="14"/>
      <c r="W53" s="14"/>
      <c r="X53" s="14"/>
      <c r="Y53" s="14"/>
      <c r="Z53" s="14"/>
      <c r="AA53" s="14"/>
      <c r="AB53" s="14"/>
      <c r="AC53" s="14"/>
      <c r="AD53" s="14"/>
      <c r="AE53" s="14"/>
      <c r="AF53" s="14"/>
    </row>
    <row r="54" spans="1:32" ht="15">
      <c r="A54" s="14"/>
      <c r="B54" s="14"/>
      <c r="C54" s="14"/>
      <c r="D54" s="14"/>
      <c r="E54" s="14"/>
      <c r="F54" s="14"/>
      <c r="G54" s="14"/>
      <c r="H54" s="14"/>
      <c r="I54" s="14"/>
      <c r="J54" s="14"/>
      <c r="K54" s="14"/>
      <c r="L54" s="14"/>
      <c r="M54" s="14"/>
      <c r="N54" s="14"/>
      <c r="O54" s="14"/>
      <c r="P54" s="14"/>
      <c r="Q54" s="14"/>
      <c r="R54" s="14"/>
      <c r="S54" s="14"/>
      <c r="T54" s="14"/>
      <c r="U54" s="14"/>
      <c r="V54" s="14"/>
      <c r="W54" s="14"/>
      <c r="X54" s="14"/>
      <c r="Y54" s="14"/>
      <c r="Z54" s="14"/>
      <c r="AA54" s="14"/>
      <c r="AB54" s="14"/>
      <c r="AC54" s="14"/>
      <c r="AD54" s="14"/>
      <c r="AE54" s="14"/>
      <c r="AF54" s="14"/>
    </row>
    <row r="55" spans="1:32" ht="15">
      <c r="A55" s="14"/>
      <c r="B55" s="14"/>
      <c r="C55" s="14"/>
      <c r="D55" s="14"/>
      <c r="E55" s="14"/>
      <c r="F55" s="14"/>
      <c r="G55" s="14"/>
      <c r="H55" s="14"/>
      <c r="I55" s="14"/>
      <c r="J55" s="14"/>
      <c r="K55" s="14"/>
      <c r="L55" s="14"/>
      <c r="M55" s="14"/>
      <c r="N55" s="14"/>
      <c r="O55" s="14"/>
      <c r="P55" s="14"/>
      <c r="Q55" s="14"/>
      <c r="R55" s="14"/>
      <c r="S55" s="14"/>
      <c r="T55" s="14"/>
      <c r="U55" s="14"/>
      <c r="V55" s="14"/>
      <c r="W55" s="14"/>
      <c r="X55" s="14"/>
      <c r="Y55" s="14"/>
      <c r="Z55" s="14"/>
      <c r="AA55" s="14"/>
      <c r="AB55" s="14"/>
      <c r="AC55" s="14"/>
      <c r="AD55" s="14"/>
      <c r="AE55" s="14"/>
      <c r="AF55" s="14"/>
    </row>
    <row r="56" spans="1:32" ht="15">
      <c r="A56" s="14"/>
      <c r="B56" s="14"/>
      <c r="C56" s="14"/>
      <c r="D56" s="14"/>
      <c r="E56" s="14"/>
      <c r="F56" s="14"/>
      <c r="G56" s="14"/>
      <c r="H56" s="14"/>
      <c r="I56" s="14"/>
      <c r="J56" s="14"/>
      <c r="K56" s="14"/>
      <c r="L56" s="14"/>
      <c r="M56" s="14"/>
      <c r="N56" s="14"/>
      <c r="O56" s="14"/>
      <c r="P56" s="14"/>
      <c r="Q56" s="14"/>
      <c r="R56" s="14"/>
      <c r="S56" s="14"/>
      <c r="T56" s="14"/>
      <c r="U56" s="14"/>
      <c r="V56" s="14"/>
      <c r="W56" s="14"/>
      <c r="X56" s="14"/>
      <c r="Y56" s="14"/>
      <c r="Z56" s="14"/>
      <c r="AA56" s="14"/>
      <c r="AB56" s="14"/>
      <c r="AC56" s="14"/>
      <c r="AD56" s="14"/>
      <c r="AE56" s="14"/>
      <c r="AF56" s="14"/>
    </row>
    <row r="57" spans="1:32" ht="15">
      <c r="A57" s="14"/>
      <c r="B57" s="14"/>
      <c r="C57" s="14"/>
      <c r="D57" s="14"/>
      <c r="E57" s="14"/>
      <c r="F57" s="14"/>
      <c r="G57" s="14"/>
      <c r="H57" s="14"/>
      <c r="I57" s="14"/>
      <c r="J57" s="14"/>
      <c r="K57" s="14"/>
      <c r="L57" s="14"/>
      <c r="M57" s="14"/>
      <c r="N57" s="14"/>
      <c r="O57" s="14"/>
      <c r="P57" s="14"/>
      <c r="Q57" s="14"/>
      <c r="R57" s="14"/>
      <c r="S57" s="14"/>
      <c r="T57" s="14"/>
      <c r="U57" s="14"/>
      <c r="V57" s="14"/>
      <c r="W57" s="14"/>
      <c r="X57" s="14"/>
      <c r="Y57" s="14"/>
      <c r="Z57" s="14"/>
      <c r="AA57" s="14"/>
      <c r="AB57" s="14"/>
      <c r="AC57" s="14"/>
      <c r="AD57" s="14"/>
      <c r="AE57" s="14"/>
      <c r="AF57" s="14"/>
    </row>
    <row r="58" spans="1:32" ht="15">
      <c r="A58" s="14"/>
      <c r="B58" s="14"/>
      <c r="C58" s="14"/>
      <c r="D58" s="14"/>
      <c r="E58" s="14"/>
      <c r="F58" s="14"/>
      <c r="G58" s="14"/>
      <c r="H58" s="14"/>
      <c r="I58" s="14"/>
      <c r="J58" s="14"/>
      <c r="K58" s="14"/>
      <c r="L58" s="14"/>
      <c r="M58" s="14"/>
      <c r="N58" s="14"/>
      <c r="O58" s="14"/>
      <c r="P58" s="14"/>
      <c r="Q58" s="14"/>
      <c r="R58" s="14"/>
      <c r="S58" s="14"/>
      <c r="T58" s="14"/>
      <c r="U58" s="14"/>
      <c r="V58" s="14"/>
      <c r="W58" s="14"/>
      <c r="X58" s="14"/>
      <c r="Y58" s="14"/>
      <c r="Z58" s="14"/>
      <c r="AA58" s="14"/>
      <c r="AB58" s="14"/>
      <c r="AC58" s="14"/>
      <c r="AD58" s="14"/>
      <c r="AE58" s="14"/>
      <c r="AF58" s="14"/>
    </row>
    <row r="59" spans="1:32" ht="15">
      <c r="A59" s="14"/>
      <c r="B59" s="14"/>
      <c r="C59" s="14"/>
      <c r="D59" s="14"/>
      <c r="E59" s="14"/>
      <c r="F59" s="14"/>
      <c r="G59" s="14"/>
      <c r="H59" s="14"/>
      <c r="I59" s="14"/>
      <c r="J59" s="14"/>
      <c r="K59" s="14"/>
      <c r="L59" s="14"/>
      <c r="M59" s="14"/>
      <c r="N59" s="14"/>
      <c r="O59" s="14"/>
      <c r="P59" s="14"/>
      <c r="Q59" s="14"/>
      <c r="R59" s="14"/>
      <c r="S59" s="14"/>
      <c r="T59" s="14"/>
      <c r="U59" s="14"/>
      <c r="V59" s="14"/>
      <c r="W59" s="14"/>
      <c r="X59" s="14"/>
      <c r="Y59" s="14"/>
      <c r="Z59" s="14"/>
      <c r="AA59" s="14"/>
      <c r="AB59" s="14"/>
      <c r="AC59" s="14"/>
      <c r="AD59" s="14"/>
      <c r="AE59" s="14"/>
      <c r="AF59" s="14"/>
    </row>
    <row r="60" spans="1:32" ht="15">
      <c r="A60" s="14"/>
      <c r="B60" s="14"/>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row>
    <row r="61" spans="1:32" ht="15">
      <c r="A61" s="14"/>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row>
    <row r="62" spans="1:32" ht="15">
      <c r="A62" s="14"/>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c r="AE62" s="14"/>
      <c r="AF62" s="14"/>
    </row>
    <row r="63" spans="1:32" ht="15">
      <c r="A63" s="14"/>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c r="AE63" s="14"/>
      <c r="AF63" s="14"/>
    </row>
    <row r="64" spans="1:32" ht="15">
      <c r="A64" s="14"/>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c r="AE64" s="14"/>
      <c r="AF64" s="14"/>
    </row>
    <row r="65" spans="1:32" ht="15">
      <c r="A65" s="14"/>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c r="AE65" s="14"/>
      <c r="AF65" s="14"/>
    </row>
    <row r="66" spans="1:32" ht="15">
      <c r="A66" s="14"/>
      <c r="B66" s="14"/>
      <c r="C66" s="14"/>
      <c r="D66" s="14"/>
      <c r="E66" s="14"/>
      <c r="F66" s="14"/>
      <c r="G66" s="14"/>
      <c r="H66" s="14"/>
      <c r="I66" s="14"/>
      <c r="J66" s="14"/>
      <c r="K66" s="14"/>
      <c r="L66" s="14"/>
      <c r="M66" s="14"/>
      <c r="N66" s="14"/>
      <c r="O66" s="14"/>
      <c r="P66" s="14"/>
      <c r="Q66" s="14"/>
      <c r="R66" s="14"/>
      <c r="S66" s="14"/>
      <c r="T66" s="14"/>
      <c r="U66" s="14"/>
      <c r="V66" s="14"/>
      <c r="W66" s="14"/>
      <c r="X66" s="14"/>
      <c r="Y66" s="14"/>
      <c r="Z66" s="14"/>
      <c r="AA66" s="14"/>
      <c r="AB66" s="14"/>
      <c r="AC66" s="14"/>
      <c r="AD66" s="14"/>
      <c r="AE66" s="14"/>
      <c r="AF66" s="14"/>
    </row>
    <row r="67" spans="1:32" ht="15">
      <c r="A67" s="14"/>
      <c r="B67" s="14"/>
      <c r="C67" s="14"/>
      <c r="D67" s="14"/>
      <c r="E67" s="14"/>
      <c r="F67" s="14"/>
      <c r="G67" s="14"/>
      <c r="H67" s="14"/>
      <c r="I67" s="14"/>
      <c r="J67" s="14"/>
      <c r="K67" s="14"/>
      <c r="L67" s="14"/>
      <c r="M67" s="14"/>
      <c r="N67" s="14"/>
      <c r="O67" s="14"/>
      <c r="P67" s="14"/>
      <c r="Q67" s="14"/>
      <c r="R67" s="14"/>
      <c r="S67" s="14"/>
      <c r="T67" s="14"/>
      <c r="U67" s="14"/>
      <c r="V67" s="14"/>
      <c r="W67" s="14"/>
      <c r="X67" s="14"/>
      <c r="Y67" s="14"/>
      <c r="Z67" s="14"/>
      <c r="AA67" s="14"/>
      <c r="AB67" s="14"/>
      <c r="AC67" s="14"/>
      <c r="AD67" s="14"/>
      <c r="AE67" s="14"/>
      <c r="AF67" s="14"/>
    </row>
    <row r="68" spans="1:32" ht="15">
      <c r="A68" s="14"/>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c r="AE68" s="14"/>
      <c r="AF68" s="14"/>
    </row>
    <row r="69" spans="1:32" ht="15">
      <c r="A69" s="14"/>
      <c r="B69" s="14"/>
      <c r="C69" s="14"/>
      <c r="D69" s="14"/>
      <c r="E69" s="14"/>
      <c r="F69" s="14"/>
      <c r="G69" s="14"/>
      <c r="H69" s="14"/>
      <c r="I69" s="14"/>
      <c r="J69" s="14"/>
      <c r="K69" s="14"/>
      <c r="L69" s="14"/>
      <c r="M69" s="14"/>
      <c r="N69" s="14"/>
      <c r="O69" s="14"/>
      <c r="P69" s="14"/>
      <c r="Q69" s="14"/>
      <c r="R69" s="14"/>
      <c r="S69" s="14"/>
      <c r="T69" s="14"/>
      <c r="U69" s="14"/>
      <c r="V69" s="14"/>
      <c r="W69" s="14"/>
      <c r="X69" s="14"/>
      <c r="Y69" s="14"/>
      <c r="Z69" s="14"/>
      <c r="AA69" s="14"/>
      <c r="AB69" s="14"/>
      <c r="AC69" s="14"/>
      <c r="AD69" s="14"/>
      <c r="AE69" s="14"/>
      <c r="AF69" s="14"/>
    </row>
    <row r="70" spans="1:32" ht="15">
      <c r="A70" s="14"/>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c r="AE70" s="14"/>
      <c r="AF70" s="14"/>
    </row>
    <row r="71" spans="1:32" ht="15">
      <c r="A71" s="14"/>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c r="AE71" s="14"/>
      <c r="AF71" s="14"/>
    </row>
    <row r="72" spans="1:32" ht="15">
      <c r="A72" s="14"/>
      <c r="B72" s="14"/>
      <c r="C72" s="14"/>
      <c r="D72" s="14"/>
      <c r="E72" s="14"/>
      <c r="F72" s="14"/>
      <c r="G72" s="14"/>
      <c r="H72" s="14"/>
      <c r="I72" s="14"/>
      <c r="J72" s="14"/>
      <c r="K72" s="14"/>
      <c r="L72" s="14"/>
      <c r="M72" s="14"/>
      <c r="N72" s="14"/>
      <c r="O72" s="14"/>
      <c r="P72" s="14"/>
      <c r="Q72" s="14"/>
      <c r="R72" s="14"/>
      <c r="S72" s="14"/>
      <c r="T72" s="14"/>
      <c r="U72" s="14"/>
      <c r="V72" s="14"/>
      <c r="W72" s="14"/>
      <c r="X72" s="14"/>
      <c r="Y72" s="14"/>
      <c r="Z72" s="14"/>
      <c r="AA72" s="14"/>
      <c r="AB72" s="14"/>
      <c r="AC72" s="14"/>
      <c r="AD72" s="14"/>
      <c r="AE72" s="14"/>
      <c r="AF72" s="14"/>
    </row>
    <row r="73" spans="1:32" ht="15">
      <c r="A73" s="14"/>
      <c r="B73" s="14"/>
      <c r="C73" s="14"/>
      <c r="D73" s="14"/>
      <c r="E73" s="14"/>
      <c r="F73" s="14"/>
      <c r="G73" s="14"/>
      <c r="H73" s="14"/>
      <c r="I73" s="14"/>
      <c r="J73" s="14"/>
      <c r="K73" s="14"/>
      <c r="L73" s="14"/>
      <c r="M73" s="14"/>
      <c r="N73" s="14"/>
      <c r="O73" s="14"/>
      <c r="P73" s="14"/>
      <c r="Q73" s="14"/>
      <c r="R73" s="14"/>
      <c r="S73" s="14"/>
      <c r="T73" s="14"/>
      <c r="U73" s="14"/>
      <c r="V73" s="14"/>
      <c r="W73" s="14"/>
      <c r="X73" s="14"/>
      <c r="Y73" s="14"/>
      <c r="Z73" s="14"/>
      <c r="AA73" s="14"/>
      <c r="AB73" s="14"/>
      <c r="AC73" s="14"/>
      <c r="AD73" s="14"/>
      <c r="AE73" s="14"/>
      <c r="AF73" s="14"/>
    </row>
    <row r="74" spans="1:32" ht="15">
      <c r="A74" s="14"/>
      <c r="B74" s="14"/>
      <c r="C74" s="14"/>
      <c r="D74" s="14"/>
      <c r="E74" s="14"/>
      <c r="F74" s="14"/>
      <c r="G74" s="14"/>
      <c r="H74" s="14"/>
      <c r="I74" s="14"/>
      <c r="J74" s="14"/>
      <c r="K74" s="14"/>
      <c r="L74" s="14"/>
      <c r="M74" s="14"/>
      <c r="N74" s="14"/>
      <c r="O74" s="14"/>
      <c r="P74" s="14"/>
      <c r="Q74" s="14"/>
      <c r="R74" s="14"/>
      <c r="S74" s="14"/>
      <c r="T74" s="14"/>
      <c r="U74" s="14"/>
      <c r="V74" s="14"/>
      <c r="W74" s="14"/>
      <c r="X74" s="14"/>
      <c r="Y74" s="14"/>
      <c r="Z74" s="14"/>
      <c r="AA74" s="14"/>
      <c r="AB74" s="14"/>
      <c r="AC74" s="14"/>
      <c r="AD74" s="14"/>
      <c r="AE74" s="14"/>
      <c r="AF74" s="14"/>
    </row>
    <row r="75" spans="1:32" ht="15">
      <c r="A75" s="14"/>
      <c r="B75" s="14"/>
      <c r="C75" s="14"/>
      <c r="D75" s="14"/>
      <c r="E75" s="14"/>
      <c r="F75" s="14"/>
      <c r="G75" s="14"/>
      <c r="H75" s="14"/>
      <c r="I75" s="14"/>
      <c r="J75" s="14"/>
      <c r="K75" s="14"/>
      <c r="L75" s="14"/>
      <c r="M75" s="14"/>
      <c r="N75" s="14"/>
      <c r="O75" s="14"/>
      <c r="P75" s="14"/>
      <c r="Q75" s="14"/>
      <c r="R75" s="14"/>
      <c r="S75" s="14"/>
      <c r="T75" s="14"/>
      <c r="U75" s="14"/>
      <c r="V75" s="14"/>
      <c r="W75" s="14"/>
      <c r="X75" s="14"/>
      <c r="Y75" s="14"/>
      <c r="Z75" s="14"/>
      <c r="AA75" s="14"/>
      <c r="AB75" s="14"/>
      <c r="AC75" s="14"/>
      <c r="AD75" s="14"/>
      <c r="AE75" s="14"/>
      <c r="AF75" s="14"/>
    </row>
    <row r="76" spans="1:32" ht="15">
      <c r="A76" s="14"/>
      <c r="B76" s="14"/>
      <c r="C76" s="14"/>
      <c r="D76" s="14"/>
      <c r="E76" s="14"/>
      <c r="F76" s="14"/>
      <c r="G76" s="14"/>
      <c r="H76" s="14"/>
      <c r="I76" s="14"/>
      <c r="J76" s="14"/>
      <c r="K76" s="14"/>
      <c r="L76" s="14"/>
      <c r="M76" s="14"/>
      <c r="N76" s="14"/>
      <c r="O76" s="14"/>
      <c r="P76" s="14"/>
      <c r="Q76" s="14"/>
      <c r="R76" s="14"/>
      <c r="S76" s="14"/>
      <c r="T76" s="14"/>
      <c r="U76" s="14"/>
      <c r="V76" s="14"/>
      <c r="W76" s="14"/>
      <c r="X76" s="14"/>
      <c r="Y76" s="14"/>
      <c r="Z76" s="14"/>
      <c r="AA76" s="14"/>
      <c r="AB76" s="14"/>
      <c r="AC76" s="14"/>
      <c r="AD76" s="14"/>
      <c r="AE76" s="14"/>
      <c r="AF76" s="14"/>
    </row>
    <row r="77" spans="1:32" ht="15">
      <c r="A77" s="14"/>
      <c r="B77" s="14"/>
      <c r="C77" s="14"/>
      <c r="D77" s="14"/>
      <c r="E77" s="14"/>
      <c r="F77" s="14"/>
      <c r="G77" s="14"/>
      <c r="H77" s="14"/>
      <c r="I77" s="14"/>
      <c r="J77" s="14"/>
      <c r="K77" s="14"/>
      <c r="L77" s="14"/>
      <c r="M77" s="14"/>
      <c r="N77" s="14"/>
      <c r="O77" s="14"/>
      <c r="P77" s="14"/>
      <c r="Q77" s="14"/>
      <c r="R77" s="14"/>
      <c r="S77" s="14"/>
      <c r="T77" s="14"/>
      <c r="U77" s="14"/>
      <c r="V77" s="14"/>
      <c r="W77" s="14"/>
      <c r="X77" s="14"/>
      <c r="Y77" s="14"/>
      <c r="Z77" s="14"/>
      <c r="AA77" s="14"/>
      <c r="AB77" s="14"/>
      <c r="AC77" s="14"/>
      <c r="AD77" s="14"/>
      <c r="AE77" s="14"/>
      <c r="AF77" s="14"/>
    </row>
    <row r="78" spans="1:32" ht="15">
      <c r="A78" s="14"/>
      <c r="B78" s="14"/>
      <c r="C78" s="14"/>
      <c r="D78" s="14"/>
      <c r="E78" s="14"/>
      <c r="F78" s="14"/>
      <c r="G78" s="14"/>
      <c r="H78" s="14"/>
      <c r="I78" s="14"/>
      <c r="J78" s="14"/>
      <c r="K78" s="14"/>
      <c r="L78" s="14"/>
      <c r="M78" s="14"/>
      <c r="N78" s="14"/>
      <c r="O78" s="14"/>
      <c r="P78" s="14"/>
      <c r="Q78" s="14"/>
      <c r="R78" s="14"/>
      <c r="S78" s="14"/>
      <c r="T78" s="14"/>
      <c r="U78" s="14"/>
      <c r="V78" s="14"/>
      <c r="W78" s="14"/>
      <c r="X78" s="14"/>
      <c r="Y78" s="14"/>
      <c r="Z78" s="14"/>
      <c r="AA78" s="14"/>
      <c r="AB78" s="14"/>
      <c r="AC78" s="14"/>
      <c r="AD78" s="14"/>
      <c r="AE78" s="14"/>
      <c r="AF78" s="14"/>
    </row>
    <row r="79" spans="1:32" ht="15">
      <c r="A79" s="14"/>
      <c r="B79" s="14"/>
      <c r="C79" s="14"/>
      <c r="D79" s="14"/>
      <c r="E79" s="14"/>
      <c r="F79" s="14"/>
      <c r="G79" s="14"/>
      <c r="H79" s="14"/>
      <c r="I79" s="14"/>
      <c r="J79" s="14"/>
      <c r="K79" s="14"/>
      <c r="L79" s="14"/>
      <c r="M79" s="14"/>
      <c r="N79" s="14"/>
      <c r="O79" s="14"/>
      <c r="P79" s="14"/>
      <c r="Q79" s="14"/>
      <c r="R79" s="14"/>
      <c r="S79" s="14"/>
      <c r="T79" s="14"/>
      <c r="U79" s="14"/>
      <c r="V79" s="14"/>
      <c r="W79" s="14"/>
      <c r="X79" s="14"/>
      <c r="Y79" s="14"/>
      <c r="Z79" s="14"/>
      <c r="AA79" s="14"/>
      <c r="AB79" s="14"/>
      <c r="AC79" s="14"/>
      <c r="AD79" s="14"/>
      <c r="AE79" s="14"/>
      <c r="AF79" s="14"/>
    </row>
    <row r="80" spans="1:32" ht="15">
      <c r="A80" s="14"/>
      <c r="B80" s="14"/>
      <c r="C80" s="14"/>
      <c r="D80" s="14"/>
      <c r="E80" s="14"/>
      <c r="F80" s="14"/>
      <c r="G80" s="14"/>
      <c r="H80" s="14"/>
      <c r="I80" s="14"/>
      <c r="J80" s="14"/>
      <c r="K80" s="14"/>
      <c r="L80" s="14"/>
      <c r="M80" s="14"/>
      <c r="N80" s="14"/>
      <c r="O80" s="14"/>
      <c r="P80" s="14"/>
      <c r="Q80" s="14"/>
      <c r="R80" s="14"/>
      <c r="S80" s="14"/>
      <c r="T80" s="14"/>
      <c r="U80" s="14"/>
      <c r="V80" s="14"/>
      <c r="W80" s="14"/>
      <c r="X80" s="14"/>
      <c r="Y80" s="14"/>
      <c r="Z80" s="14"/>
      <c r="AA80" s="14"/>
      <c r="AB80" s="14"/>
      <c r="AC80" s="14"/>
      <c r="AD80" s="14"/>
      <c r="AE80" s="14"/>
      <c r="AF80" s="14"/>
    </row>
    <row r="81" spans="1:32" ht="15">
      <c r="A81" s="14"/>
      <c r="B81" s="14"/>
      <c r="C81" s="14"/>
      <c r="D81" s="14"/>
      <c r="E81" s="14"/>
      <c r="F81" s="14"/>
      <c r="G81" s="14"/>
      <c r="H81" s="14"/>
      <c r="I81" s="14"/>
      <c r="J81" s="14"/>
      <c r="K81" s="14"/>
      <c r="L81" s="14"/>
      <c r="M81" s="14"/>
      <c r="N81" s="14"/>
      <c r="O81" s="14"/>
      <c r="P81" s="14"/>
      <c r="Q81" s="14"/>
      <c r="R81" s="14"/>
      <c r="S81" s="14"/>
      <c r="T81" s="14"/>
      <c r="U81" s="14"/>
      <c r="V81" s="14"/>
      <c r="W81" s="14"/>
      <c r="X81" s="14"/>
      <c r="Y81" s="14"/>
      <c r="Z81" s="14"/>
      <c r="AA81" s="14"/>
      <c r="AB81" s="14"/>
      <c r="AC81" s="14"/>
      <c r="AD81" s="14"/>
      <c r="AE81" s="14"/>
      <c r="AF81" s="14"/>
    </row>
    <row r="82" spans="1:32" ht="15">
      <c r="A82" s="14"/>
      <c r="B82" s="14"/>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row>
    <row r="83" spans="1:32" ht="15">
      <c r="A83" s="14"/>
      <c r="B83" s="14"/>
      <c r="C83" s="14"/>
      <c r="D83" s="14"/>
      <c r="E83" s="14"/>
      <c r="F83" s="14"/>
      <c r="G83" s="14"/>
      <c r="H83" s="14"/>
      <c r="I83" s="14"/>
      <c r="J83" s="14"/>
      <c r="K83" s="14"/>
      <c r="L83" s="14"/>
      <c r="M83" s="14"/>
      <c r="N83" s="14"/>
      <c r="O83" s="14"/>
      <c r="P83" s="14"/>
      <c r="Q83" s="14"/>
      <c r="R83" s="14"/>
      <c r="S83" s="14"/>
      <c r="T83" s="14"/>
      <c r="U83" s="14"/>
      <c r="V83" s="14"/>
      <c r="W83" s="14"/>
      <c r="X83" s="14"/>
      <c r="Y83" s="14"/>
      <c r="Z83" s="14"/>
      <c r="AA83" s="14"/>
      <c r="AB83" s="14"/>
      <c r="AC83" s="14"/>
      <c r="AD83" s="14"/>
      <c r="AE83" s="14"/>
      <c r="AF83" s="14"/>
    </row>
    <row r="84" spans="1:32" ht="15">
      <c r="A84" s="14"/>
      <c r="B84" s="14"/>
      <c r="C84" s="14"/>
      <c r="D84" s="14"/>
      <c r="E84" s="14"/>
      <c r="F84" s="14"/>
      <c r="G84" s="14"/>
      <c r="H84" s="14"/>
      <c r="I84" s="14"/>
      <c r="J84" s="14"/>
      <c r="K84" s="14"/>
      <c r="L84" s="14"/>
      <c r="M84" s="14"/>
      <c r="N84" s="14"/>
      <c r="O84" s="14"/>
      <c r="P84" s="14"/>
      <c r="Q84" s="14"/>
      <c r="R84" s="14"/>
      <c r="S84" s="14"/>
      <c r="T84" s="14"/>
      <c r="U84" s="14"/>
      <c r="V84" s="14"/>
      <c r="W84" s="14"/>
      <c r="X84" s="14"/>
      <c r="Y84" s="14"/>
      <c r="Z84" s="14"/>
      <c r="AA84" s="14"/>
      <c r="AB84" s="14"/>
      <c r="AC84" s="14"/>
      <c r="AD84" s="14"/>
      <c r="AE84" s="14"/>
      <c r="AF84" s="14"/>
    </row>
    <row r="85" spans="1:32" ht="15">
      <c r="A85" s="14"/>
      <c r="B85" s="14"/>
      <c r="C85" s="14"/>
      <c r="D85" s="14"/>
      <c r="E85" s="14"/>
      <c r="F85" s="14"/>
      <c r="G85" s="14"/>
      <c r="H85" s="14"/>
      <c r="I85" s="14"/>
      <c r="J85" s="14"/>
      <c r="K85" s="14"/>
      <c r="L85" s="14"/>
      <c r="M85" s="14"/>
      <c r="N85" s="14"/>
      <c r="O85" s="14"/>
      <c r="P85" s="14"/>
      <c r="Q85" s="14"/>
      <c r="R85" s="14"/>
      <c r="S85" s="14"/>
      <c r="T85" s="14"/>
      <c r="U85" s="14"/>
      <c r="V85" s="14"/>
      <c r="W85" s="14"/>
      <c r="X85" s="14"/>
      <c r="Y85" s="14"/>
      <c r="Z85" s="14"/>
      <c r="AA85" s="14"/>
      <c r="AB85" s="14"/>
      <c r="AC85" s="14"/>
      <c r="AD85" s="14"/>
      <c r="AE85" s="14"/>
      <c r="AF85" s="14"/>
    </row>
    <row r="86" spans="1:32" ht="15">
      <c r="A86" s="14"/>
      <c r="B86" s="14"/>
      <c r="C86" s="14"/>
      <c r="D86" s="14"/>
      <c r="E86" s="14"/>
      <c r="F86" s="14"/>
      <c r="G86" s="14"/>
      <c r="H86" s="14"/>
      <c r="I86" s="14"/>
      <c r="J86" s="14"/>
      <c r="K86" s="14"/>
      <c r="L86" s="14"/>
      <c r="M86" s="14"/>
      <c r="N86" s="14"/>
      <c r="O86" s="14"/>
      <c r="P86" s="14"/>
      <c r="Q86" s="14"/>
      <c r="R86" s="14"/>
      <c r="S86" s="14"/>
      <c r="T86" s="14"/>
      <c r="U86" s="14"/>
      <c r="V86" s="14"/>
      <c r="W86" s="14"/>
      <c r="X86" s="14"/>
      <c r="Y86" s="14"/>
      <c r="Z86" s="14"/>
      <c r="AA86" s="14"/>
      <c r="AB86" s="14"/>
      <c r="AC86" s="14"/>
      <c r="AD86" s="14"/>
      <c r="AE86" s="14"/>
      <c r="AF86" s="14"/>
    </row>
    <row r="87" spans="1:32" ht="15">
      <c r="A87" s="14"/>
      <c r="B87" s="14"/>
      <c r="C87" s="14"/>
      <c r="D87" s="14"/>
      <c r="E87" s="14"/>
      <c r="F87" s="14"/>
      <c r="G87" s="14"/>
      <c r="H87" s="14"/>
      <c r="I87" s="14"/>
      <c r="J87" s="14"/>
      <c r="K87" s="14"/>
      <c r="L87" s="14"/>
      <c r="M87" s="14"/>
      <c r="N87" s="14"/>
      <c r="O87" s="14"/>
      <c r="P87" s="14"/>
      <c r="Q87" s="14"/>
      <c r="R87" s="14"/>
      <c r="S87" s="14"/>
      <c r="T87" s="14"/>
      <c r="U87" s="14"/>
      <c r="V87" s="14"/>
      <c r="W87" s="14"/>
      <c r="X87" s="14"/>
      <c r="Y87" s="14"/>
      <c r="Z87" s="14"/>
      <c r="AA87" s="14"/>
      <c r="AB87" s="14"/>
      <c r="AC87" s="14"/>
      <c r="AD87" s="14"/>
      <c r="AE87" s="14"/>
      <c r="AF87" s="14"/>
    </row>
    <row r="88" spans="1:32" ht="15">
      <c r="A88" s="14"/>
      <c r="B88" s="14"/>
      <c r="C88" s="14"/>
      <c r="D88" s="14"/>
      <c r="E88" s="14"/>
      <c r="F88" s="14"/>
      <c r="G88" s="14"/>
      <c r="H88" s="14"/>
      <c r="I88" s="14"/>
      <c r="J88" s="14"/>
      <c r="K88" s="14"/>
      <c r="L88" s="14"/>
      <c r="M88" s="14"/>
      <c r="N88" s="14"/>
      <c r="O88" s="14"/>
      <c r="P88" s="14"/>
      <c r="Q88" s="14"/>
      <c r="R88" s="14"/>
      <c r="S88" s="14"/>
      <c r="T88" s="14"/>
      <c r="U88" s="14"/>
      <c r="V88" s="14"/>
      <c r="W88" s="14"/>
      <c r="X88" s="14"/>
      <c r="Y88" s="14"/>
      <c r="Z88" s="14"/>
      <c r="AA88" s="14"/>
      <c r="AB88" s="14"/>
      <c r="AC88" s="14"/>
      <c r="AD88" s="14"/>
      <c r="AE88" s="14"/>
      <c r="AF88" s="14"/>
    </row>
    <row r="89" spans="1:32" ht="15">
      <c r="A89" s="14"/>
      <c r="B89" s="14"/>
      <c r="C89" s="14"/>
      <c r="D89" s="14"/>
      <c r="E89" s="14"/>
      <c r="F89" s="14"/>
      <c r="G89" s="14"/>
      <c r="H89" s="14"/>
      <c r="I89" s="14"/>
      <c r="J89" s="14"/>
      <c r="K89" s="14"/>
      <c r="L89" s="14"/>
      <c r="M89" s="14"/>
      <c r="N89" s="14"/>
      <c r="O89" s="14"/>
      <c r="P89" s="14"/>
      <c r="Q89" s="14"/>
      <c r="R89" s="14"/>
      <c r="S89" s="14"/>
      <c r="T89" s="14"/>
      <c r="U89" s="14"/>
      <c r="V89" s="14"/>
      <c r="W89" s="14"/>
      <c r="X89" s="14"/>
      <c r="Y89" s="14"/>
      <c r="Z89" s="14"/>
      <c r="AA89" s="14"/>
      <c r="AB89" s="14"/>
      <c r="AC89" s="14"/>
      <c r="AD89" s="14"/>
      <c r="AE89" s="14"/>
      <c r="AF89" s="14"/>
    </row>
    <row r="90" spans="1:32" ht="15">
      <c r="A90" s="14"/>
      <c r="B90" s="14"/>
      <c r="C90" s="14"/>
      <c r="D90" s="14"/>
      <c r="E90" s="14"/>
      <c r="F90" s="14"/>
      <c r="G90" s="14"/>
      <c r="H90" s="14"/>
      <c r="I90" s="14"/>
      <c r="J90" s="14"/>
      <c r="K90" s="14"/>
      <c r="L90" s="14"/>
      <c r="M90" s="14"/>
      <c r="N90" s="14"/>
      <c r="O90" s="14"/>
      <c r="P90" s="14"/>
      <c r="Q90" s="14"/>
      <c r="R90" s="14"/>
      <c r="S90" s="14"/>
      <c r="T90" s="14"/>
      <c r="U90" s="14"/>
      <c r="V90" s="14"/>
      <c r="W90" s="14"/>
      <c r="X90" s="14"/>
      <c r="Y90" s="14"/>
      <c r="Z90" s="14"/>
      <c r="AA90" s="14"/>
      <c r="AB90" s="14"/>
      <c r="AC90" s="14"/>
      <c r="AD90" s="14"/>
      <c r="AE90" s="14"/>
      <c r="AF90" s="14"/>
    </row>
    <row r="91" spans="1:32" ht="15">
      <c r="A91" s="14"/>
      <c r="B91" s="14"/>
      <c r="C91" s="14"/>
      <c r="D91" s="14"/>
      <c r="E91" s="14"/>
      <c r="F91" s="14"/>
      <c r="G91" s="14"/>
      <c r="H91" s="14"/>
      <c r="I91" s="14"/>
      <c r="J91" s="14"/>
      <c r="K91" s="14"/>
      <c r="L91" s="14"/>
      <c r="M91" s="14"/>
      <c r="N91" s="14"/>
      <c r="O91" s="14"/>
      <c r="P91" s="14"/>
      <c r="Q91" s="14"/>
      <c r="R91" s="14"/>
      <c r="S91" s="14"/>
      <c r="T91" s="14"/>
      <c r="U91" s="14"/>
      <c r="V91" s="14"/>
      <c r="W91" s="14"/>
      <c r="X91" s="14"/>
      <c r="Y91" s="14"/>
      <c r="Z91" s="14"/>
      <c r="AA91" s="14"/>
      <c r="AB91" s="14"/>
      <c r="AC91" s="14"/>
      <c r="AD91" s="14"/>
      <c r="AE91" s="14"/>
      <c r="AF91" s="14"/>
    </row>
    <row r="92" spans="1:32" ht="15">
      <c r="A92" s="14"/>
      <c r="B92" s="14"/>
      <c r="C92" s="14"/>
      <c r="D92" s="14"/>
      <c r="E92" s="14"/>
      <c r="F92" s="14"/>
      <c r="G92" s="14"/>
      <c r="H92" s="14"/>
      <c r="I92" s="14"/>
      <c r="J92" s="14"/>
      <c r="K92" s="14"/>
      <c r="L92" s="14"/>
      <c r="M92" s="14"/>
      <c r="N92" s="14"/>
      <c r="O92" s="14"/>
      <c r="P92" s="14"/>
      <c r="Q92" s="14"/>
      <c r="R92" s="14"/>
      <c r="S92" s="14"/>
      <c r="T92" s="14"/>
      <c r="U92" s="14"/>
      <c r="V92" s="14"/>
      <c r="W92" s="14"/>
      <c r="X92" s="14"/>
      <c r="Y92" s="14"/>
      <c r="Z92" s="14"/>
      <c r="AA92" s="14"/>
      <c r="AB92" s="14"/>
      <c r="AC92" s="14"/>
      <c r="AD92" s="14"/>
      <c r="AE92" s="14"/>
      <c r="AF92" s="14"/>
    </row>
    <row r="93" spans="1:32" ht="15">
      <c r="A93" s="14"/>
      <c r="B93" s="14"/>
      <c r="C93" s="14"/>
      <c r="D93" s="14"/>
      <c r="E93" s="14"/>
      <c r="F93" s="14"/>
      <c r="G93" s="14"/>
      <c r="H93" s="14"/>
      <c r="I93" s="14"/>
      <c r="J93" s="14"/>
      <c r="K93" s="14"/>
      <c r="L93" s="14"/>
      <c r="M93" s="14"/>
      <c r="N93" s="14"/>
      <c r="O93" s="14"/>
      <c r="P93" s="14"/>
      <c r="Q93" s="14"/>
      <c r="R93" s="14"/>
      <c r="S93" s="14"/>
      <c r="T93" s="14"/>
      <c r="U93" s="14"/>
      <c r="V93" s="14"/>
      <c r="W93" s="14"/>
      <c r="X93" s="14"/>
      <c r="Y93" s="14"/>
      <c r="Z93" s="14"/>
      <c r="AA93" s="14"/>
      <c r="AB93" s="14"/>
      <c r="AC93" s="14"/>
      <c r="AD93" s="14"/>
      <c r="AE93" s="14"/>
      <c r="AF93" s="14"/>
    </row>
    <row r="94" spans="1:32" ht="15">
      <c r="A94" s="14"/>
      <c r="B94" s="14"/>
      <c r="C94" s="14"/>
      <c r="D94" s="14"/>
      <c r="E94" s="14"/>
      <c r="F94" s="14"/>
      <c r="G94" s="14"/>
      <c r="H94" s="14"/>
      <c r="I94" s="14"/>
      <c r="J94" s="14"/>
      <c r="K94" s="14"/>
      <c r="L94" s="14"/>
      <c r="M94" s="14"/>
      <c r="N94" s="14"/>
      <c r="O94" s="14"/>
      <c r="P94" s="14"/>
      <c r="Q94" s="14"/>
      <c r="R94" s="14"/>
      <c r="S94" s="14"/>
      <c r="T94" s="14"/>
      <c r="U94" s="14"/>
      <c r="V94" s="14"/>
      <c r="W94" s="14"/>
      <c r="X94" s="14"/>
      <c r="Y94" s="14"/>
      <c r="Z94" s="14"/>
      <c r="AA94" s="14"/>
      <c r="AB94" s="14"/>
      <c r="AC94" s="14"/>
      <c r="AD94" s="14"/>
      <c r="AE94" s="14"/>
      <c r="AF94" s="14"/>
    </row>
    <row r="95" spans="1:32" ht="15">
      <c r="A95" s="14"/>
      <c r="B95" s="14"/>
      <c r="C95" s="14"/>
      <c r="D95" s="14"/>
      <c r="E95" s="14"/>
      <c r="F95" s="14"/>
      <c r="G95" s="14"/>
      <c r="H95" s="14"/>
      <c r="I95" s="14"/>
      <c r="J95" s="14"/>
      <c r="K95" s="14"/>
      <c r="L95" s="14"/>
      <c r="M95" s="14"/>
      <c r="N95" s="14"/>
      <c r="O95" s="14"/>
      <c r="P95" s="14"/>
      <c r="Q95" s="14"/>
      <c r="R95" s="14"/>
      <c r="S95" s="14"/>
      <c r="T95" s="14"/>
      <c r="U95" s="14"/>
      <c r="V95" s="14"/>
      <c r="W95" s="14"/>
      <c r="X95" s="14"/>
      <c r="Y95" s="14"/>
      <c r="Z95" s="14"/>
      <c r="AA95" s="14"/>
      <c r="AB95" s="14"/>
      <c r="AC95" s="14"/>
      <c r="AD95" s="14"/>
      <c r="AE95" s="14"/>
      <c r="AF95" s="14"/>
    </row>
    <row r="96" spans="1:32" ht="15">
      <c r="A96" s="14"/>
      <c r="B96" s="14"/>
      <c r="C96" s="14"/>
      <c r="D96" s="14"/>
      <c r="E96" s="14"/>
      <c r="F96" s="14"/>
      <c r="G96" s="14"/>
      <c r="H96" s="14"/>
      <c r="I96" s="14"/>
      <c r="J96" s="14"/>
      <c r="K96" s="14"/>
      <c r="L96" s="14"/>
      <c r="M96" s="14"/>
      <c r="N96" s="14"/>
      <c r="O96" s="14"/>
      <c r="P96" s="14"/>
      <c r="Q96" s="14"/>
      <c r="R96" s="14"/>
      <c r="S96" s="14"/>
      <c r="T96" s="14"/>
      <c r="U96" s="14"/>
      <c r="V96" s="14"/>
      <c r="W96" s="14"/>
      <c r="X96" s="14"/>
      <c r="Y96" s="14"/>
      <c r="Z96" s="14"/>
      <c r="AA96" s="14"/>
      <c r="AB96" s="14"/>
      <c r="AC96" s="14"/>
      <c r="AD96" s="14"/>
      <c r="AE96" s="14"/>
      <c r="AF96" s="14"/>
    </row>
    <row r="97" spans="1:32" ht="15">
      <c r="A97" s="14"/>
      <c r="B97" s="14"/>
      <c r="C97" s="14"/>
      <c r="D97" s="14"/>
      <c r="E97" s="14"/>
      <c r="F97" s="14"/>
      <c r="G97" s="14"/>
      <c r="H97" s="14"/>
      <c r="I97" s="14"/>
      <c r="J97" s="14"/>
      <c r="K97" s="14"/>
      <c r="L97" s="14"/>
      <c r="M97" s="14"/>
      <c r="N97" s="14"/>
      <c r="O97" s="14"/>
      <c r="P97" s="14"/>
      <c r="Q97" s="14"/>
      <c r="R97" s="14"/>
      <c r="S97" s="14"/>
      <c r="T97" s="14"/>
      <c r="U97" s="14"/>
      <c r="V97" s="14"/>
      <c r="W97" s="14"/>
      <c r="X97" s="14"/>
      <c r="Y97" s="14"/>
      <c r="Z97" s="14"/>
      <c r="AA97" s="14"/>
      <c r="AB97" s="14"/>
      <c r="AC97" s="14"/>
      <c r="AD97" s="14"/>
      <c r="AE97" s="14"/>
      <c r="AF97" s="14"/>
    </row>
    <row r="98" spans="1:32" ht="15">
      <c r="A98" s="14"/>
      <c r="B98" s="14"/>
      <c r="C98" s="14"/>
      <c r="D98" s="14"/>
      <c r="E98" s="14"/>
      <c r="F98" s="14"/>
      <c r="G98" s="14"/>
      <c r="H98" s="14"/>
      <c r="I98" s="14"/>
      <c r="J98" s="14"/>
      <c r="K98" s="14"/>
      <c r="L98" s="14"/>
      <c r="M98" s="14"/>
      <c r="N98" s="14"/>
      <c r="O98" s="14"/>
      <c r="P98" s="14"/>
      <c r="Q98" s="14"/>
      <c r="R98" s="14"/>
      <c r="S98" s="14"/>
      <c r="T98" s="14"/>
      <c r="U98" s="14"/>
      <c r="V98" s="14"/>
      <c r="W98" s="14"/>
      <c r="X98" s="14"/>
      <c r="Y98" s="14"/>
      <c r="Z98" s="14"/>
      <c r="AA98" s="14"/>
      <c r="AB98" s="14"/>
      <c r="AC98" s="14"/>
      <c r="AD98" s="14"/>
      <c r="AE98" s="14"/>
      <c r="AF98" s="14"/>
    </row>
    <row r="99" spans="1:32" ht="15">
      <c r="A99" s="14"/>
      <c r="B99" s="14"/>
      <c r="C99" s="14"/>
      <c r="D99" s="14"/>
      <c r="E99" s="14"/>
      <c r="F99" s="14"/>
      <c r="G99" s="14"/>
      <c r="H99" s="14"/>
      <c r="I99" s="14"/>
      <c r="J99" s="14"/>
      <c r="K99" s="14"/>
      <c r="L99" s="14"/>
      <c r="M99" s="14"/>
      <c r="N99" s="14"/>
      <c r="O99" s="14"/>
      <c r="P99" s="14"/>
      <c r="Q99" s="14"/>
      <c r="R99" s="14"/>
      <c r="S99" s="14"/>
      <c r="T99" s="14"/>
      <c r="U99" s="14"/>
      <c r="V99" s="14"/>
      <c r="W99" s="14"/>
      <c r="X99" s="14"/>
      <c r="Y99" s="14"/>
      <c r="Z99" s="14"/>
      <c r="AA99" s="14"/>
      <c r="AB99" s="14"/>
      <c r="AC99" s="14"/>
      <c r="AD99" s="14"/>
      <c r="AE99" s="14"/>
      <c r="AF99" s="14"/>
    </row>
    <row r="100" spans="1:32" ht="15">
      <c r="A100" s="14"/>
      <c r="B100" s="14"/>
      <c r="C100" s="14"/>
      <c r="D100" s="14"/>
      <c r="E100" s="14"/>
      <c r="F100" s="14"/>
      <c r="G100" s="14"/>
      <c r="H100" s="14"/>
      <c r="I100" s="14"/>
      <c r="J100" s="14"/>
      <c r="K100" s="14"/>
      <c r="L100" s="14"/>
      <c r="M100" s="14"/>
      <c r="N100" s="14"/>
      <c r="O100" s="14"/>
      <c r="P100" s="14"/>
      <c r="Q100" s="14"/>
      <c r="R100" s="14"/>
      <c r="S100" s="14"/>
      <c r="T100" s="14"/>
      <c r="U100" s="14"/>
      <c r="V100" s="14"/>
      <c r="W100" s="14"/>
      <c r="X100" s="14"/>
      <c r="Y100" s="14"/>
      <c r="Z100" s="14"/>
      <c r="AA100" s="14"/>
      <c r="AB100" s="14"/>
      <c r="AC100" s="14"/>
      <c r="AD100" s="14"/>
      <c r="AE100" s="14"/>
      <c r="AF100" s="14"/>
    </row>
  </sheetData>
  <sheetProtection sheet="1"/>
  <mergeCells count="2">
    <mergeCell ref="B4:J4"/>
    <mergeCell ref="B6:J6"/>
  </mergeCells>
  <printOptions gridLines="1" horizontalCentered="1"/>
  <pageMargins left="0.25" right="0.25" top="0.75" bottom="0.5" header="0.25" footer="0.25"/>
  <pageSetup fitToHeight="0" fitToWidth="1" horizontalDpi="1200" verticalDpi="1200" orientation="portrait" r:id="rId2"/>
  <headerFooter alignWithMargins="0">
    <oddHeader>&amp;C&amp;18&amp;F</oddHeader>
    <oddFooter>&amp;C&amp;P of &amp;N</oddFooter>
  </headerFooter>
  <drawing r:id="rId1"/>
</worksheet>
</file>

<file path=xl/worksheets/sheet10.xml><?xml version="1.0" encoding="utf-8"?>
<worksheet xmlns="http://schemas.openxmlformats.org/spreadsheetml/2006/main" xmlns:r="http://schemas.openxmlformats.org/officeDocument/2006/relationships">
  <sheetPr codeName="Commercial_Kitchen">
    <pageSetUpPr fitToPage="1"/>
  </sheetPr>
  <dimension ref="A1:BP143"/>
  <sheetViews>
    <sheetView zoomScalePageLayoutView="0" workbookViewId="0" topLeftCell="A1">
      <pane xSplit="1" ySplit="2" topLeftCell="B3" activePane="bottomRight" state="frozen"/>
      <selection pane="topLeft" activeCell="A1" sqref="A1"/>
      <selection pane="topRight" activeCell="B1" sqref="B1"/>
      <selection pane="bottomLeft" activeCell="A3" sqref="A3"/>
      <selection pane="bottomRight" activeCell="G8" sqref="G8"/>
    </sheetView>
  </sheetViews>
  <sheetFormatPr defaultColWidth="9.140625" defaultRowHeight="15"/>
  <cols>
    <col min="1" max="1" width="4.7109375" style="12" customWidth="1"/>
    <col min="2" max="2" width="4.7109375" style="0" customWidth="1"/>
    <col min="3" max="3" width="7.00390625" style="0" customWidth="1"/>
    <col min="4" max="4" width="21.140625" style="0" customWidth="1"/>
    <col min="5" max="5" width="22.8515625" style="0" customWidth="1"/>
    <col min="6" max="6" width="22.7109375" style="0" customWidth="1"/>
    <col min="7" max="7" width="23.57421875" style="0" customWidth="1"/>
    <col min="8" max="8" width="15.57421875" style="0" customWidth="1"/>
    <col min="9" max="9" width="23.8515625" style="0" customWidth="1"/>
    <col min="10" max="10" width="16.28125" style="0" customWidth="1"/>
    <col min="11" max="11" width="16.7109375" style="0" customWidth="1"/>
    <col min="12" max="12" width="8.7109375" style="0" customWidth="1"/>
    <col min="13" max="13" width="4.7109375" style="12" customWidth="1"/>
    <col min="14" max="14" width="9.7109375" style="12" customWidth="1"/>
    <col min="15" max="17" width="9.7109375" style="297" customWidth="1"/>
    <col min="18" max="18" width="10.57421875" style="297" customWidth="1"/>
    <col min="19" max="32" width="9.7109375" style="12" customWidth="1"/>
    <col min="33" max="16384" width="9.140625" style="1" customWidth="1"/>
  </cols>
  <sheetData>
    <row r="1" spans="1:31" s="12" customFormat="1" ht="42" customHeight="1">
      <c r="A1" s="13"/>
      <c r="B1" s="13"/>
      <c r="C1" s="13"/>
      <c r="D1" s="797" t="s">
        <v>783</v>
      </c>
      <c r="E1" s="13"/>
      <c r="F1" s="13"/>
      <c r="G1" s="13"/>
      <c r="H1" s="13"/>
      <c r="I1" s="13"/>
      <c r="J1" s="13"/>
      <c r="K1" s="13"/>
      <c r="L1" s="13"/>
      <c r="M1" s="13"/>
      <c r="N1" s="13"/>
      <c r="O1" s="295"/>
      <c r="P1" s="295"/>
      <c r="Q1" s="295"/>
      <c r="R1" s="295"/>
      <c r="S1" s="13"/>
      <c r="T1" s="13"/>
      <c r="U1" s="13"/>
      <c r="V1" s="13"/>
      <c r="W1" s="13"/>
      <c r="X1" s="13"/>
      <c r="Y1" s="13"/>
      <c r="Z1" s="13"/>
      <c r="AA1" s="13"/>
      <c r="AB1" s="13"/>
      <c r="AC1" s="13"/>
      <c r="AD1" s="13"/>
      <c r="AE1" s="13"/>
    </row>
    <row r="2" spans="1:31" ht="18.75">
      <c r="A2" s="13"/>
      <c r="B2" s="956" t="s">
        <v>223</v>
      </c>
      <c r="C2" s="956"/>
      <c r="D2" s="956"/>
      <c r="E2" s="956"/>
      <c r="F2" s="956"/>
      <c r="G2" s="39"/>
      <c r="H2" s="39"/>
      <c r="I2" s="39"/>
      <c r="J2" s="39"/>
      <c r="K2" s="39"/>
      <c r="L2" s="39"/>
      <c r="M2" s="13"/>
      <c r="N2" s="13"/>
      <c r="O2" s="295"/>
      <c r="P2" s="295"/>
      <c r="Q2" s="295"/>
      <c r="R2" s="295"/>
      <c r="S2" s="13"/>
      <c r="T2" s="13"/>
      <c r="U2" s="13"/>
      <c r="V2" s="13"/>
      <c r="W2" s="13"/>
      <c r="X2" s="13"/>
      <c r="Y2" s="13"/>
      <c r="Z2" s="13"/>
      <c r="AA2" s="13"/>
      <c r="AB2" s="13"/>
      <c r="AC2" s="13"/>
      <c r="AD2" s="13"/>
      <c r="AE2" s="13"/>
    </row>
    <row r="3" spans="1:32" s="390" customFormat="1" ht="76.5" customHeight="1">
      <c r="A3" s="50"/>
      <c r="B3" s="954" t="s">
        <v>822</v>
      </c>
      <c r="C3" s="955"/>
      <c r="D3" s="955"/>
      <c r="E3" s="955"/>
      <c r="F3" s="955"/>
      <c r="G3" s="955"/>
      <c r="H3" s="955"/>
      <c r="I3" s="955"/>
      <c r="J3" s="955"/>
      <c r="K3" s="955"/>
      <c r="L3" s="776"/>
      <c r="M3" s="50"/>
      <c r="N3" s="50"/>
      <c r="O3" s="620"/>
      <c r="P3" s="620"/>
      <c r="Q3" s="620"/>
      <c r="R3" s="620"/>
      <c r="S3" s="50"/>
      <c r="T3" s="50"/>
      <c r="U3" s="50"/>
      <c r="V3" s="50"/>
      <c r="W3" s="50"/>
      <c r="X3" s="50"/>
      <c r="Y3" s="50"/>
      <c r="Z3" s="50"/>
      <c r="AA3" s="50"/>
      <c r="AB3" s="50"/>
      <c r="AC3" s="50"/>
      <c r="AD3" s="50"/>
      <c r="AE3" s="50"/>
      <c r="AF3" s="389"/>
    </row>
    <row r="4" spans="1:32" s="390" customFormat="1" ht="36.75" customHeight="1">
      <c r="A4" s="50"/>
      <c r="B4" s="954" t="s">
        <v>823</v>
      </c>
      <c r="C4" s="955"/>
      <c r="D4" s="955"/>
      <c r="E4" s="955"/>
      <c r="F4" s="955"/>
      <c r="G4" s="955"/>
      <c r="H4" s="955"/>
      <c r="I4" s="955"/>
      <c r="J4" s="955"/>
      <c r="K4" s="955"/>
      <c r="L4" s="776"/>
      <c r="M4" s="50"/>
      <c r="N4" s="50"/>
      <c r="O4" s="620"/>
      <c r="P4" s="620"/>
      <c r="Q4" s="620"/>
      <c r="R4" s="620"/>
      <c r="S4" s="50"/>
      <c r="T4" s="50"/>
      <c r="U4" s="50"/>
      <c r="V4" s="50"/>
      <c r="W4" s="50"/>
      <c r="X4" s="50"/>
      <c r="Y4" s="50"/>
      <c r="Z4" s="50"/>
      <c r="AA4" s="50"/>
      <c r="AB4" s="50"/>
      <c r="AC4" s="50"/>
      <c r="AD4" s="50"/>
      <c r="AE4" s="50"/>
      <c r="AF4" s="389"/>
    </row>
    <row r="5" spans="1:32" s="390" customFormat="1" ht="26.25" customHeight="1">
      <c r="A5" s="50"/>
      <c r="B5" s="954" t="s">
        <v>818</v>
      </c>
      <c r="C5" s="955"/>
      <c r="D5" s="955"/>
      <c r="E5" s="955"/>
      <c r="F5" s="955"/>
      <c r="G5" s="955"/>
      <c r="H5" s="955"/>
      <c r="I5" s="955"/>
      <c r="J5" s="955"/>
      <c r="K5" s="955"/>
      <c r="L5" s="776"/>
      <c r="M5" s="50"/>
      <c r="N5" s="50"/>
      <c r="O5" s="620"/>
      <c r="P5" s="620"/>
      <c r="Q5" s="620"/>
      <c r="R5" s="620"/>
      <c r="S5" s="50"/>
      <c r="T5" s="50"/>
      <c r="U5" s="50"/>
      <c r="V5" s="50"/>
      <c r="W5" s="50"/>
      <c r="X5" s="50"/>
      <c r="Y5" s="50"/>
      <c r="Z5" s="50"/>
      <c r="AA5" s="50"/>
      <c r="AB5" s="50"/>
      <c r="AC5" s="50"/>
      <c r="AD5" s="50"/>
      <c r="AE5" s="50"/>
      <c r="AF5" s="389"/>
    </row>
    <row r="6" spans="1:31" ht="18.75">
      <c r="A6" s="13"/>
      <c r="B6" s="39"/>
      <c r="C6" s="974" t="s">
        <v>18</v>
      </c>
      <c r="D6" s="974"/>
      <c r="E6" s="974"/>
      <c r="F6" s="974"/>
      <c r="G6" s="39"/>
      <c r="H6" s="39"/>
      <c r="I6" s="39"/>
      <c r="J6" s="39"/>
      <c r="K6" s="39"/>
      <c r="L6" s="39"/>
      <c r="M6" s="13"/>
      <c r="N6" s="13"/>
      <c r="O6" s="36"/>
      <c r="P6" s="295"/>
      <c r="Q6" s="295"/>
      <c r="R6" s="295"/>
      <c r="S6" s="13"/>
      <c r="T6" s="13"/>
      <c r="U6" s="13"/>
      <c r="V6" s="13"/>
      <c r="W6" s="13"/>
      <c r="X6" s="13"/>
      <c r="Y6" s="13"/>
      <c r="Z6" s="13"/>
      <c r="AA6" s="13"/>
      <c r="AB6" s="13"/>
      <c r="AC6" s="13"/>
      <c r="AD6" s="13"/>
      <c r="AE6" s="13"/>
    </row>
    <row r="7" spans="1:32" ht="15">
      <c r="A7" s="13"/>
      <c r="B7" s="39"/>
      <c r="C7" s="879"/>
      <c r="D7" s="879"/>
      <c r="E7" s="879"/>
      <c r="F7" s="879"/>
      <c r="G7" s="39"/>
      <c r="H7" s="39"/>
      <c r="I7" s="39"/>
      <c r="J7" s="39"/>
      <c r="K7" s="39"/>
      <c r="L7" s="39"/>
      <c r="M7" s="36"/>
      <c r="N7" s="36" t="str">
        <f>IF(OR(StatusOfCalcFields="Incomplete",StatusOfUtilityFields="Incomplete"),"Calculations on this tab use information from the 'Facility Info' tab. Therefore you must first complete the 'Facility Info' tab before you can display these results.","")</f>
        <v>Calculations on this tab use information from the 'Facility Info' tab. Therefore you must first complete the 'Facility Info' tab before you can display these results.</v>
      </c>
      <c r="O7" s="268"/>
      <c r="P7" s="268"/>
      <c r="Q7" s="268"/>
      <c r="R7" s="268"/>
      <c r="S7" s="36"/>
      <c r="T7" s="36"/>
      <c r="U7" s="36"/>
      <c r="V7" s="36"/>
      <c r="W7" s="36"/>
      <c r="X7" s="36"/>
      <c r="Y7" s="36"/>
      <c r="Z7" s="36"/>
      <c r="AA7" s="36"/>
      <c r="AB7" s="36"/>
      <c r="AC7" s="36"/>
      <c r="AD7" s="36"/>
      <c r="AE7" s="36"/>
      <c r="AF7" s="286"/>
    </row>
    <row r="8" spans="1:32" ht="15">
      <c r="A8" s="13"/>
      <c r="B8" s="39"/>
      <c r="C8" s="878" t="s">
        <v>91</v>
      </c>
      <c r="D8" s="878"/>
      <c r="E8" s="878"/>
      <c r="F8" s="883"/>
      <c r="G8" s="744"/>
      <c r="H8" s="40"/>
      <c r="I8" s="39"/>
      <c r="J8" s="39"/>
      <c r="K8" s="39"/>
      <c r="L8" s="39"/>
      <c r="M8" s="36"/>
      <c r="N8" s="36" t="str">
        <f>IF(OR(CommercialKitchen&lt;&gt;"Yes",AND(IceEquipment&lt;&gt;"Yes",SteamCookers&lt;&gt;"Yes",CombinationOven&lt;&gt;"Yes",SteamKettles&lt;&gt;"Yes",DipperWells&lt;&gt;"Yes",GarbageDisposals&lt;&gt;"Yes")),"Based on your current inputs, there are no results to display.","")</f>
        <v>Based on your current inputs, there are no results to display.</v>
      </c>
      <c r="O8" s="268"/>
      <c r="P8" s="268"/>
      <c r="Q8" s="268"/>
      <c r="R8" s="268"/>
      <c r="S8" s="36"/>
      <c r="T8" s="36"/>
      <c r="U8" s="36"/>
      <c r="V8" s="36"/>
      <c r="W8" s="36"/>
      <c r="X8" s="36"/>
      <c r="Y8" s="36"/>
      <c r="Z8" s="36"/>
      <c r="AA8" s="36"/>
      <c r="AB8" s="36"/>
      <c r="AC8" s="36"/>
      <c r="AD8" s="36"/>
      <c r="AE8" s="36"/>
      <c r="AF8" s="286"/>
    </row>
    <row r="9" spans="1:32" ht="15">
      <c r="A9" s="13"/>
      <c r="B9" s="39"/>
      <c r="C9" s="879"/>
      <c r="D9" s="879"/>
      <c r="E9" s="879"/>
      <c r="F9" s="879"/>
      <c r="G9" s="83"/>
      <c r="H9" s="40"/>
      <c r="I9" s="39"/>
      <c r="J9" s="39"/>
      <c r="K9" s="39"/>
      <c r="L9" s="39"/>
      <c r="M9" s="36"/>
      <c r="N9" s="36"/>
      <c r="O9" s="268"/>
      <c r="P9" s="268"/>
      <c r="Q9" s="268"/>
      <c r="R9" s="268"/>
      <c r="S9" s="36"/>
      <c r="T9" s="36"/>
      <c r="U9" s="36"/>
      <c r="V9" s="36"/>
      <c r="W9" s="36"/>
      <c r="X9" s="36"/>
      <c r="Y9" s="36"/>
      <c r="Z9" s="36"/>
      <c r="AA9" s="36"/>
      <c r="AB9" s="36"/>
      <c r="AC9" s="36"/>
      <c r="AD9" s="36"/>
      <c r="AE9" s="36"/>
      <c r="AF9" s="286"/>
    </row>
    <row r="10" spans="1:32" ht="15" hidden="1">
      <c r="A10" s="13"/>
      <c r="B10" s="39"/>
      <c r="C10" s="878" t="s">
        <v>215</v>
      </c>
      <c r="D10" s="878"/>
      <c r="E10" s="878"/>
      <c r="F10" s="883"/>
      <c r="G10" s="750"/>
      <c r="H10" s="40"/>
      <c r="I10" s="39"/>
      <c r="J10" s="39"/>
      <c r="K10" s="39"/>
      <c r="L10" s="39"/>
      <c r="M10" s="36"/>
      <c r="N10" s="36" t="str">
        <f>IF(ISNUMBER(G10)=FALSE,"Question 1a (operating days) is missing or invalid.","")</f>
        <v>Question 1a (operating days) is missing or invalid.</v>
      </c>
      <c r="O10" s="268"/>
      <c r="P10" s="268"/>
      <c r="Q10" s="268"/>
      <c r="R10" s="268"/>
      <c r="S10" s="36"/>
      <c r="T10" s="36"/>
      <c r="U10" s="36"/>
      <c r="V10" s="36"/>
      <c r="W10" s="36"/>
      <c r="X10" s="36"/>
      <c r="Y10" s="36"/>
      <c r="Z10" s="36"/>
      <c r="AA10" s="36"/>
      <c r="AB10" s="36"/>
      <c r="AC10" s="36"/>
      <c r="AD10" s="36"/>
      <c r="AE10" s="36"/>
      <c r="AF10" s="286"/>
    </row>
    <row r="11" spans="1:32" ht="15" hidden="1">
      <c r="A11" s="13"/>
      <c r="B11" s="39"/>
      <c r="C11" s="878" t="s">
        <v>216</v>
      </c>
      <c r="D11" s="878"/>
      <c r="E11" s="878"/>
      <c r="F11" s="883"/>
      <c r="G11" s="750"/>
      <c r="H11" s="40"/>
      <c r="I11" s="39"/>
      <c r="J11" s="39"/>
      <c r="K11" s="39"/>
      <c r="L11" s="39"/>
      <c r="M11" s="36"/>
      <c r="N11" s="36" t="str">
        <f>IF(ISNUMBER(G11)=FALSE,"Question 1b (operating hours) is missing or invalid.","")</f>
        <v>Question 1b (operating hours) is missing or invalid.</v>
      </c>
      <c r="O11" s="268"/>
      <c r="P11" s="268"/>
      <c r="Q11" s="268"/>
      <c r="R11" s="268"/>
      <c r="S11" s="36"/>
      <c r="T11" s="36"/>
      <c r="U11" s="36"/>
      <c r="V11" s="36"/>
      <c r="W11" s="36"/>
      <c r="X11" s="36"/>
      <c r="Y11" s="36"/>
      <c r="Z11" s="36"/>
      <c r="AA11" s="36"/>
      <c r="AB11" s="36"/>
      <c r="AC11" s="36"/>
      <c r="AD11" s="36"/>
      <c r="AE11" s="36"/>
      <c r="AF11" s="286"/>
    </row>
    <row r="12" spans="1:32" ht="15" hidden="1">
      <c r="A12" s="13"/>
      <c r="B12" s="39"/>
      <c r="C12" s="879"/>
      <c r="D12" s="879"/>
      <c r="E12" s="879"/>
      <c r="F12" s="879"/>
      <c r="G12" s="39"/>
      <c r="H12" s="39"/>
      <c r="I12" s="39"/>
      <c r="J12" s="39"/>
      <c r="K12" s="39"/>
      <c r="L12" s="39"/>
      <c r="M12" s="36"/>
      <c r="N12" s="36"/>
      <c r="O12" s="268"/>
      <c r="P12" s="268"/>
      <c r="Q12" s="268"/>
      <c r="R12" s="268"/>
      <c r="S12" s="36"/>
      <c r="T12" s="36"/>
      <c r="U12" s="36"/>
      <c r="V12" s="36"/>
      <c r="W12" s="36"/>
      <c r="X12" s="36"/>
      <c r="Y12" s="36"/>
      <c r="Z12" s="36"/>
      <c r="AA12" s="36"/>
      <c r="AB12" s="36"/>
      <c r="AC12" s="36"/>
      <c r="AD12" s="36"/>
      <c r="AE12" s="36"/>
      <c r="AF12" s="286"/>
    </row>
    <row r="13" spans="1:32" ht="15" hidden="1">
      <c r="A13" s="13"/>
      <c r="B13" s="39"/>
      <c r="C13" s="878" t="s">
        <v>352</v>
      </c>
      <c r="D13" s="878"/>
      <c r="E13" s="878"/>
      <c r="F13" s="883"/>
      <c r="G13" s="744"/>
      <c r="H13" s="40"/>
      <c r="I13" s="39"/>
      <c r="J13" s="39"/>
      <c r="K13" s="39"/>
      <c r="L13" s="39"/>
      <c r="M13" s="36"/>
      <c r="N13" s="36"/>
      <c r="O13" s="268"/>
      <c r="P13" s="268"/>
      <c r="Q13" s="268"/>
      <c r="R13" s="268"/>
      <c r="S13" s="36"/>
      <c r="T13" s="36"/>
      <c r="U13" s="36"/>
      <c r="V13" s="36"/>
      <c r="W13" s="36"/>
      <c r="X13" s="36"/>
      <c r="Y13" s="36"/>
      <c r="Z13" s="36"/>
      <c r="AA13" s="36"/>
      <c r="AB13" s="36"/>
      <c r="AC13" s="36"/>
      <c r="AD13" s="36"/>
      <c r="AE13" s="36"/>
      <c r="AF13" s="286"/>
    </row>
    <row r="14" spans="1:32" ht="12" customHeight="1" hidden="1">
      <c r="A14" s="13"/>
      <c r="B14" s="39"/>
      <c r="C14" s="879"/>
      <c r="D14" s="879"/>
      <c r="E14" s="879"/>
      <c r="F14" s="879"/>
      <c r="G14" s="39"/>
      <c r="H14" s="40"/>
      <c r="I14" s="39"/>
      <c r="J14" s="39"/>
      <c r="K14" s="39"/>
      <c r="L14" s="39"/>
      <c r="M14" s="36"/>
      <c r="N14" s="36"/>
      <c r="O14" s="268"/>
      <c r="P14" s="268"/>
      <c r="Q14" s="268"/>
      <c r="R14" s="268"/>
      <c r="S14" s="36"/>
      <c r="T14" s="36"/>
      <c r="U14" s="36"/>
      <c r="V14" s="36"/>
      <c r="W14" s="36"/>
      <c r="X14" s="36"/>
      <c r="Y14" s="36"/>
      <c r="Z14" s="36"/>
      <c r="AA14" s="36"/>
      <c r="AB14" s="36"/>
      <c r="AC14" s="36"/>
      <c r="AD14" s="36"/>
      <c r="AE14" s="36"/>
      <c r="AF14" s="286"/>
    </row>
    <row r="15" spans="1:32" ht="15" hidden="1">
      <c r="A15" s="13"/>
      <c r="B15" s="39"/>
      <c r="C15" s="939" t="s">
        <v>356</v>
      </c>
      <c r="D15" s="939"/>
      <c r="E15" s="939"/>
      <c r="F15" s="939"/>
      <c r="G15" s="939"/>
      <c r="H15" s="939"/>
      <c r="I15" s="39"/>
      <c r="J15" s="39"/>
      <c r="K15" s="39"/>
      <c r="L15" s="39"/>
      <c r="M15" s="36"/>
      <c r="N15" s="36"/>
      <c r="O15" s="268"/>
      <c r="P15" s="268"/>
      <c r="Q15" s="268"/>
      <c r="R15" s="268"/>
      <c r="S15" s="36"/>
      <c r="T15" s="36"/>
      <c r="U15" s="36"/>
      <c r="V15" s="36"/>
      <c r="W15" s="36"/>
      <c r="X15" s="36"/>
      <c r="Y15" s="36"/>
      <c r="Z15" s="36"/>
      <c r="AA15" s="36"/>
      <c r="AB15" s="36"/>
      <c r="AC15" s="36"/>
      <c r="AD15" s="36"/>
      <c r="AE15" s="36"/>
      <c r="AF15" s="286"/>
    </row>
    <row r="16" spans="1:35" s="12" customFormat="1" ht="15" hidden="1">
      <c r="A16" s="13"/>
      <c r="B16" s="39"/>
      <c r="C16" s="16"/>
      <c r="D16" s="16"/>
      <c r="E16" s="17" t="s">
        <v>355</v>
      </c>
      <c r="F16" s="17" t="s">
        <v>194</v>
      </c>
      <c r="G16" s="17" t="s">
        <v>14</v>
      </c>
      <c r="H16" s="18" t="s">
        <v>10</v>
      </c>
      <c r="I16" s="17" t="s">
        <v>679</v>
      </c>
      <c r="J16" s="39"/>
      <c r="K16" s="39"/>
      <c r="L16" s="39"/>
      <c r="M16" s="36"/>
      <c r="N16" s="36"/>
      <c r="O16" s="838" t="s">
        <v>195</v>
      </c>
      <c r="P16" s="838" t="s">
        <v>196</v>
      </c>
      <c r="Q16" s="838" t="s">
        <v>197</v>
      </c>
      <c r="R16" s="838" t="s">
        <v>849</v>
      </c>
      <c r="S16" s="266"/>
      <c r="T16" s="266"/>
      <c r="U16" s="266"/>
      <c r="V16" s="266"/>
      <c r="W16" s="262"/>
      <c r="X16" s="36"/>
      <c r="Y16" s="36"/>
      <c r="Z16" s="36"/>
      <c r="AA16" s="36"/>
      <c r="AB16" s="36"/>
      <c r="AC16" s="36"/>
      <c r="AD16" s="36"/>
      <c r="AE16" s="36"/>
      <c r="AF16" s="286"/>
      <c r="AG16" s="286"/>
      <c r="AH16" s="286"/>
      <c r="AI16" s="286"/>
    </row>
    <row r="17" spans="1:35" s="12" customFormat="1" ht="15" hidden="1">
      <c r="A17" s="13"/>
      <c r="B17" s="39"/>
      <c r="C17" s="16"/>
      <c r="D17" s="16"/>
      <c r="E17" s="744"/>
      <c r="F17" s="744"/>
      <c r="G17" s="744"/>
      <c r="H17" s="751"/>
      <c r="I17" s="751"/>
      <c r="J17" s="39"/>
      <c r="K17" s="39"/>
      <c r="L17" s="39"/>
      <c r="M17" s="36"/>
      <c r="N17" s="826">
        <f>IF(AND(IceEquipment="Yes",COUNTA(E17:I17)&lt;5),"The first row in question 2a (ice makers) is incomplete.","")</f>
      </c>
      <c r="O17" s="839">
        <f>IF(ISERROR(VLOOKUP($E17,'Ice Machine Calcs'!$B$29:$B$31,1,FALSE)),0,VLOOKUP($E17,'Ice Machine Calcs'!$B$29:$H$31,IF($F17="Batch",3,6),FALSE)*($H17-$I17)+VLOOKUP($E17,'Ice Machine Calcs'!$B$29:$H$31,IF($F17="Batch",4,7),FALSE)*$I17)</f>
        <v>0</v>
      </c>
      <c r="P17" s="839">
        <f>IF(ISERROR(VLOOKUP($E17,'Ice Machine Calcs'!$B$29:$B$31,1,FALSE)),0,VLOOKUP($E17,'Ice Machine Calcs'!$B$29:$I$31,IF($F17="Batch",5,8),FALSE)*($H17-$I17))</f>
        <v>0</v>
      </c>
      <c r="Q17" s="839">
        <f>IF(ISERROR(VLOOKUP($E17,'Ice Machine Calcs'!$B$23:$B$25,1,FALSE)),0,VLOOKUP($E17,'Ice Machine Calcs'!$B$23:$I$25,IF($F17="Batch",5,8),FALSE)*($H17-$I17))</f>
        <v>0</v>
      </c>
      <c r="R17" s="839">
        <f>IF(AND($G17="Single-Pass Water Cooling",$F17&lt;&gt;"",$E17&lt;&gt;""),VLOOKUP($F17&amp;"_"&amp;$E17,'Ice Machine Calcs'!$C$14:$G$19,5,FALSE)*$G$85*H17,0)</f>
        <v>0</v>
      </c>
      <c r="S17" s="264"/>
      <c r="T17" s="264"/>
      <c r="U17" s="264"/>
      <c r="V17" s="264"/>
      <c r="W17" s="264"/>
      <c r="X17" s="36"/>
      <c r="Y17" s="36"/>
      <c r="Z17" s="36"/>
      <c r="AA17" s="36"/>
      <c r="AB17" s="36"/>
      <c r="AC17" s="36"/>
      <c r="AD17" s="36"/>
      <c r="AE17" s="36"/>
      <c r="AF17" s="286"/>
      <c r="AG17" s="286"/>
      <c r="AH17" s="286"/>
      <c r="AI17" s="286"/>
    </row>
    <row r="18" spans="1:35" s="12" customFormat="1" ht="15" hidden="1">
      <c r="A18" s="13"/>
      <c r="B18" s="254"/>
      <c r="C18" s="16"/>
      <c r="D18" s="16"/>
      <c r="E18" s="744"/>
      <c r="F18" s="744"/>
      <c r="G18" s="744"/>
      <c r="H18" s="751"/>
      <c r="I18" s="751"/>
      <c r="J18" s="39"/>
      <c r="K18" s="39"/>
      <c r="L18" s="39"/>
      <c r="M18" s="36"/>
      <c r="N18" s="36">
        <f>IF(AND(IceEquipment="Yes",COUNTA(E18:I18)&gt;0,COUNTA(E18:I18)&lt;5),"The second row in question 2a (ice makers) is incomplete.","")</f>
      </c>
      <c r="O18" s="839">
        <f>IF(ISERROR(VLOOKUP($E18,'Ice Machine Calcs'!$B$29:$B$31,1,FALSE)),0,VLOOKUP($E18,'Ice Machine Calcs'!$B$29:$H$31,IF($F18="Batch",3,6),FALSE)*($H18-$I18)+VLOOKUP($E18,'Ice Machine Calcs'!$B$29:$H$31,IF($F18="Batch",4,7),FALSE)*$I18)</f>
        <v>0</v>
      </c>
      <c r="P18" s="839">
        <f>IF(ISERROR(VLOOKUP($E18,'Ice Machine Calcs'!$B$29:$B$31,1,FALSE)),0,VLOOKUP($E18,'Ice Machine Calcs'!$B$29:$I$31,IF($F18="Batch",5,8),FALSE)*($H18-$I18))</f>
        <v>0</v>
      </c>
      <c r="Q18" s="839">
        <f>IF(ISERROR(VLOOKUP($E18,'Ice Machine Calcs'!$B$23:$B$25,1,FALSE)),0,VLOOKUP($E18,'Ice Machine Calcs'!$B$23:$I$25,IF($F18="Batch",5,8),FALSE)*($H18-$I18))</f>
        <v>0</v>
      </c>
      <c r="R18" s="839">
        <f>IF(AND($G18="Single-Pass Water Cooling",$F18&lt;&gt;"",$E18&lt;&gt;""),VLOOKUP($F18&amp;"_"&amp;$E18,'Ice Machine Calcs'!$C$14:$G$19,5,FALSE)*$G$85*H18,0)</f>
        <v>0</v>
      </c>
      <c r="S18" s="264"/>
      <c r="T18" s="264"/>
      <c r="U18" s="264"/>
      <c r="V18" s="264"/>
      <c r="W18" s="264"/>
      <c r="X18" s="36"/>
      <c r="Y18" s="36"/>
      <c r="Z18" s="36"/>
      <c r="AA18" s="36"/>
      <c r="AB18" s="36"/>
      <c r="AC18" s="36"/>
      <c r="AD18" s="36"/>
      <c r="AE18" s="36"/>
      <c r="AF18" s="286"/>
      <c r="AG18" s="286"/>
      <c r="AH18" s="286"/>
      <c r="AI18" s="286"/>
    </row>
    <row r="19" spans="1:31" s="12" customFormat="1" ht="15" hidden="1">
      <c r="A19" s="13"/>
      <c r="B19" s="254"/>
      <c r="C19" s="16"/>
      <c r="D19" s="16"/>
      <c r="E19" s="744"/>
      <c r="F19" s="744"/>
      <c r="G19" s="744"/>
      <c r="H19" s="751"/>
      <c r="I19" s="751"/>
      <c r="J19" s="39"/>
      <c r="K19" s="39"/>
      <c r="L19" s="39"/>
      <c r="M19" s="36"/>
      <c r="N19" s="36">
        <f>IF(AND(IceEquipment="Yes",COUNTA(E19:I19)&gt;0,COUNTA(E19:I19)&lt;5),"The third row in question 2a (ice makers) is incomplete.","")</f>
      </c>
      <c r="O19" s="839">
        <f>IF(ISERROR(VLOOKUP($E19,'Ice Machine Calcs'!$B$29:$B$31,1,FALSE)),0,VLOOKUP($E19,'Ice Machine Calcs'!$B$29:$H$31,IF($F19="Batch",3,6),FALSE)*($H19-$I19)+VLOOKUP($E19,'Ice Machine Calcs'!$B$29:$H$31,IF($F19="Batch",4,7),FALSE)*$I19)</f>
        <v>0</v>
      </c>
      <c r="P19" s="839">
        <f>IF(ISERROR(VLOOKUP($E19,'Ice Machine Calcs'!$B$29:$B$31,1,FALSE)),0,VLOOKUP($E19,'Ice Machine Calcs'!$B$29:$I$31,IF($F19="Batch",5,8),FALSE)*($H19-$I19))</f>
        <v>0</v>
      </c>
      <c r="Q19" s="839">
        <f>IF(ISERROR(VLOOKUP($E19,'Ice Machine Calcs'!$B$23:$B$25,1,FALSE)),0,VLOOKUP($E19,'Ice Machine Calcs'!$B$23:$I$25,IF($F19="Batch",5,8),FALSE)*($H19-$I19))</f>
        <v>0</v>
      </c>
      <c r="R19" s="839">
        <f>IF(AND($G19="Single-Pass Water Cooling",$F19&lt;&gt;"",$E19&lt;&gt;""),VLOOKUP($F19&amp;"_"&amp;$E19,'Ice Machine Calcs'!$C$14:$G$19,5,FALSE)*$G$85*H19,0)</f>
        <v>0</v>
      </c>
      <c r="S19" s="264"/>
      <c r="T19" s="264"/>
      <c r="U19" s="264"/>
      <c r="V19" s="264"/>
      <c r="W19" s="264"/>
      <c r="X19" s="13"/>
      <c r="Y19" s="13"/>
      <c r="Z19" s="13"/>
      <c r="AA19" s="13"/>
      <c r="AB19" s="13"/>
      <c r="AC19" s="13"/>
      <c r="AD19" s="13"/>
      <c r="AE19" s="13"/>
    </row>
    <row r="20" spans="1:31" s="12" customFormat="1" ht="15" hidden="1">
      <c r="A20" s="13"/>
      <c r="B20" s="3"/>
      <c r="C20" s="16"/>
      <c r="D20" s="16"/>
      <c r="E20" s="558"/>
      <c r="F20" s="558"/>
      <c r="G20" s="558"/>
      <c r="H20" s="558"/>
      <c r="I20" s="558"/>
      <c r="J20" s="3"/>
      <c r="K20" s="3"/>
      <c r="L20" s="3"/>
      <c r="M20" s="13"/>
      <c r="N20" s="36">
        <f>IF(AND(IceEquipment="Yes",OR(AND(G17&lt;&gt;"Air-Cooled",I17&gt;0),AND(G18&lt;&gt;"Air-Cooled",I18&gt;0),AND(G19&lt;&gt;"Air-Cooled",I19&gt;0))),"In question 2a (ice makers), you have indicated that you have at least one ENERGY STAR qualified model that is not air-cooled. This is not a valid option, given that all ENERGY STAR qualified ice makers are air-cooled.","")</f>
      </c>
      <c r="O20" s="289"/>
      <c r="P20" s="289"/>
      <c r="Q20" s="289"/>
      <c r="R20" s="296"/>
      <c r="S20" s="13"/>
      <c r="T20" s="13"/>
      <c r="U20" s="13"/>
      <c r="V20" s="13"/>
      <c r="W20" s="13"/>
      <c r="X20" s="13"/>
      <c r="Y20" s="13"/>
      <c r="Z20" s="13"/>
      <c r="AA20" s="13"/>
      <c r="AB20" s="13"/>
      <c r="AC20" s="13"/>
      <c r="AD20" s="13"/>
      <c r="AE20" s="13"/>
    </row>
    <row r="21" spans="1:31" s="12" customFormat="1" ht="15" hidden="1">
      <c r="A21" s="13"/>
      <c r="B21" s="39"/>
      <c r="C21" s="878" t="s">
        <v>192</v>
      </c>
      <c r="D21" s="878"/>
      <c r="E21" s="878"/>
      <c r="F21" s="883"/>
      <c r="G21" s="744"/>
      <c r="H21" s="40"/>
      <c r="I21" s="39"/>
      <c r="J21" s="39"/>
      <c r="K21" s="39"/>
      <c r="L21" s="39"/>
      <c r="M21" s="13"/>
      <c r="N21" s="13"/>
      <c r="O21" s="268"/>
      <c r="P21" s="268"/>
      <c r="Q21" s="268"/>
      <c r="R21" s="268"/>
      <c r="S21" s="13"/>
      <c r="T21" s="13"/>
      <c r="U21" s="13"/>
      <c r="V21" s="13"/>
      <c r="W21" s="13"/>
      <c r="X21" s="13"/>
      <c r="Y21" s="13"/>
      <c r="Z21" s="13"/>
      <c r="AA21" s="13"/>
      <c r="AB21" s="13"/>
      <c r="AC21" s="13"/>
      <c r="AD21" s="13"/>
      <c r="AE21" s="13"/>
    </row>
    <row r="22" spans="1:32" ht="12" customHeight="1" hidden="1">
      <c r="A22" s="13"/>
      <c r="B22" s="39"/>
      <c r="C22" s="879"/>
      <c r="D22" s="879"/>
      <c r="E22" s="879"/>
      <c r="F22" s="879"/>
      <c r="G22" s="39"/>
      <c r="H22" s="40"/>
      <c r="I22" s="39"/>
      <c r="J22" s="39"/>
      <c r="K22" s="39"/>
      <c r="L22" s="39"/>
      <c r="M22" s="36"/>
      <c r="N22" s="36"/>
      <c r="O22" s="268"/>
      <c r="P22" s="268"/>
      <c r="Q22" s="268"/>
      <c r="R22" s="268"/>
      <c r="S22" s="36"/>
      <c r="T22" s="36"/>
      <c r="U22" s="36"/>
      <c r="V22" s="36"/>
      <c r="W22" s="36"/>
      <c r="X22" s="36"/>
      <c r="Y22" s="36"/>
      <c r="Z22" s="36"/>
      <c r="AA22" s="36"/>
      <c r="AB22" s="36"/>
      <c r="AC22" s="36"/>
      <c r="AD22" s="36"/>
      <c r="AE22" s="36"/>
      <c r="AF22" s="286"/>
    </row>
    <row r="23" spans="1:31" s="12" customFormat="1" ht="15" hidden="1">
      <c r="A23" s="13"/>
      <c r="B23" s="39"/>
      <c r="C23" s="939" t="s">
        <v>106</v>
      </c>
      <c r="D23" s="939"/>
      <c r="E23" s="939"/>
      <c r="F23" s="939"/>
      <c r="G23" s="939"/>
      <c r="H23" s="44"/>
      <c r="I23" s="39"/>
      <c r="J23" s="39"/>
      <c r="K23" s="39"/>
      <c r="L23" s="39"/>
      <c r="M23" s="13"/>
      <c r="N23" s="13"/>
      <c r="O23" s="268"/>
      <c r="P23" s="268"/>
      <c r="Q23" s="268"/>
      <c r="R23" s="268"/>
      <c r="S23" s="13"/>
      <c r="T23" s="13"/>
      <c r="U23" s="13"/>
      <c r="V23" s="13"/>
      <c r="W23" s="13"/>
      <c r="X23" s="13"/>
      <c r="Y23" s="13"/>
      <c r="Z23" s="13"/>
      <c r="AA23" s="13"/>
      <c r="AB23" s="13"/>
      <c r="AC23" s="13"/>
      <c r="AD23" s="13"/>
      <c r="AE23" s="13"/>
    </row>
    <row r="24" spans="1:31" s="12" customFormat="1" ht="15" hidden="1">
      <c r="A24" s="13"/>
      <c r="B24" s="39"/>
      <c r="C24" s="39"/>
      <c r="D24" s="39"/>
      <c r="E24" s="17" t="s">
        <v>13</v>
      </c>
      <c r="F24" s="17" t="s">
        <v>10</v>
      </c>
      <c r="G24" s="17" t="s">
        <v>679</v>
      </c>
      <c r="H24" s="17" t="s">
        <v>92</v>
      </c>
      <c r="I24" s="39"/>
      <c r="J24" s="39"/>
      <c r="K24" s="38" t="s">
        <v>93</v>
      </c>
      <c r="L24" s="39"/>
      <c r="M24" s="13"/>
      <c r="N24" s="13"/>
      <c r="O24" s="716" t="s">
        <v>195</v>
      </c>
      <c r="P24" s="716" t="s">
        <v>196</v>
      </c>
      <c r="Q24" s="268"/>
      <c r="R24" s="268"/>
      <c r="S24" s="13"/>
      <c r="T24" s="13"/>
      <c r="U24" s="13"/>
      <c r="V24" s="13"/>
      <c r="W24" s="13"/>
      <c r="X24" s="13"/>
      <c r="Y24" s="13"/>
      <c r="Z24" s="13"/>
      <c r="AA24" s="13"/>
      <c r="AB24" s="13"/>
      <c r="AC24" s="13"/>
      <c r="AD24" s="13"/>
      <c r="AE24" s="13"/>
    </row>
    <row r="25" spans="1:31" s="12" customFormat="1" ht="15" hidden="1">
      <c r="A25" s="13"/>
      <c r="B25" s="39"/>
      <c r="C25" s="39"/>
      <c r="D25" s="39"/>
      <c r="E25" s="744"/>
      <c r="F25" s="751"/>
      <c r="G25" s="751"/>
      <c r="H25" s="751"/>
      <c r="I25" s="39"/>
      <c r="J25" s="39"/>
      <c r="K25" s="561"/>
      <c r="L25" s="39"/>
      <c r="M25" s="36"/>
      <c r="N25" s="36">
        <f>IF(AND(SteamCookers="Yes",COUNTA(E25:H25)&lt;4),"The first row in question 3a (steam cookers) is incomplete.","")</f>
      </c>
      <c r="O25" s="268">
        <f>(((F25-G25)*$G$86)+(G25*$G$87))*H25*OperatingDays</f>
        <v>0</v>
      </c>
      <c r="P25" s="268">
        <f>(F25-G25)*H25*OperatingDays*($G$86-$G$87)</f>
        <v>0</v>
      </c>
      <c r="Q25" s="268"/>
      <c r="R25" s="268"/>
      <c r="S25" s="13"/>
      <c r="T25" s="13"/>
      <c r="U25" s="13"/>
      <c r="V25" s="13"/>
      <c r="W25" s="13"/>
      <c r="X25" s="13"/>
      <c r="Y25" s="13"/>
      <c r="Z25" s="13"/>
      <c r="AA25" s="13"/>
      <c r="AB25" s="13"/>
      <c r="AC25" s="13"/>
      <c r="AD25" s="13"/>
      <c r="AE25" s="13"/>
    </row>
    <row r="26" spans="1:31" s="12" customFormat="1" ht="15" hidden="1">
      <c r="A26" s="13"/>
      <c r="B26" s="39"/>
      <c r="C26" s="39"/>
      <c r="D26" s="39"/>
      <c r="E26" s="744"/>
      <c r="F26" s="751"/>
      <c r="G26" s="751"/>
      <c r="H26" s="751"/>
      <c r="I26" s="39"/>
      <c r="J26" s="39"/>
      <c r="K26" s="561"/>
      <c r="L26" s="39"/>
      <c r="M26" s="36"/>
      <c r="N26" s="36">
        <f>IF(AND(SteamCookers="Yes",COUNTA(E26:H26)&gt;0,COUNTA(E26:H26)&lt;4),"The second row in question 3a (steam cookers) is incomplete.","")</f>
      </c>
      <c r="O26" s="268">
        <f>(((F26-G26)*$G$86)+(G26*$G$87))*H26*OperatingDays</f>
        <v>0</v>
      </c>
      <c r="P26" s="268">
        <f>(F26-G26)*H26*OperatingDays*($G$86-$G$87)</f>
        <v>0</v>
      </c>
      <c r="Q26" s="268"/>
      <c r="R26" s="268"/>
      <c r="S26" s="13"/>
      <c r="T26" s="13"/>
      <c r="U26" s="13"/>
      <c r="V26" s="13"/>
      <c r="W26" s="13"/>
      <c r="X26" s="13"/>
      <c r="Y26" s="13"/>
      <c r="Z26" s="13"/>
      <c r="AA26" s="13"/>
      <c r="AB26" s="13"/>
      <c r="AC26" s="13"/>
      <c r="AD26" s="13"/>
      <c r="AE26" s="13"/>
    </row>
    <row r="27" spans="1:31" s="12" customFormat="1" ht="15" hidden="1">
      <c r="A27" s="13"/>
      <c r="B27" s="3"/>
      <c r="C27" s="3"/>
      <c r="D27" s="3"/>
      <c r="E27" s="3"/>
      <c r="F27" s="3"/>
      <c r="G27" s="3"/>
      <c r="H27" s="3"/>
      <c r="I27" s="558"/>
      <c r="J27" s="3"/>
      <c r="K27" s="3"/>
      <c r="L27" s="3"/>
      <c r="M27" s="13"/>
      <c r="N27" s="36">
        <f>IF(AND(SteamCookers="Yes",OR(AND(E25="Boiler-Based Unit",G25&gt;0),AND(E26="Boiler-Based Unit",G26&gt;0))),"In question 3a (steam cookers), you have indicated that you have at least one ENERGY STAR qualified model that is a boiler-based unit. This is not a valid option, given that all ENERGY STAR qualified steam cookers are connectionless units.","")</f>
      </c>
      <c r="O27" s="268"/>
      <c r="P27" s="268"/>
      <c r="Q27" s="268"/>
      <c r="R27" s="268"/>
      <c r="S27" s="13"/>
      <c r="T27" s="13"/>
      <c r="U27" s="13"/>
      <c r="V27" s="13"/>
      <c r="W27" s="13"/>
      <c r="X27" s="13"/>
      <c r="Y27" s="13"/>
      <c r="Z27" s="13"/>
      <c r="AA27" s="13"/>
      <c r="AB27" s="13"/>
      <c r="AC27" s="13"/>
      <c r="AD27" s="13"/>
      <c r="AE27" s="13"/>
    </row>
    <row r="28" spans="1:31" s="12" customFormat="1" ht="15" hidden="1">
      <c r="A28" s="13"/>
      <c r="B28" s="39"/>
      <c r="C28" s="878" t="s">
        <v>94</v>
      </c>
      <c r="D28" s="878"/>
      <c r="E28" s="878"/>
      <c r="F28" s="883"/>
      <c r="G28" s="744"/>
      <c r="H28" s="40"/>
      <c r="I28" s="39"/>
      <c r="J28" s="39"/>
      <c r="K28" s="39"/>
      <c r="L28" s="39"/>
      <c r="M28" s="13"/>
      <c r="N28" s="13"/>
      <c r="O28" s="268"/>
      <c r="P28" s="268"/>
      <c r="Q28" s="268"/>
      <c r="R28" s="268"/>
      <c r="S28" s="13"/>
      <c r="T28" s="13"/>
      <c r="U28" s="13"/>
      <c r="V28" s="13"/>
      <c r="W28" s="13"/>
      <c r="X28" s="13"/>
      <c r="Y28" s="13"/>
      <c r="Z28" s="13"/>
      <c r="AA28" s="13"/>
      <c r="AB28" s="13"/>
      <c r="AC28" s="13"/>
      <c r="AD28" s="13"/>
      <c r="AE28" s="13"/>
    </row>
    <row r="29" spans="1:32" ht="12" customHeight="1" hidden="1">
      <c r="A29" s="13"/>
      <c r="B29" s="39"/>
      <c r="C29" s="879"/>
      <c r="D29" s="879"/>
      <c r="E29" s="879"/>
      <c r="F29" s="879"/>
      <c r="G29" s="39"/>
      <c r="H29" s="40"/>
      <c r="I29" s="39"/>
      <c r="J29" s="39"/>
      <c r="K29" s="39"/>
      <c r="L29" s="39"/>
      <c r="M29" s="36"/>
      <c r="N29" s="36"/>
      <c r="O29" s="268"/>
      <c r="P29" s="268"/>
      <c r="Q29" s="268"/>
      <c r="R29" s="268"/>
      <c r="S29" s="36"/>
      <c r="T29" s="36"/>
      <c r="U29" s="36"/>
      <c r="V29" s="36"/>
      <c r="W29" s="36"/>
      <c r="X29" s="36"/>
      <c r="Y29" s="36"/>
      <c r="Z29" s="36"/>
      <c r="AA29" s="36"/>
      <c r="AB29" s="36"/>
      <c r="AC29" s="36"/>
      <c r="AD29" s="36"/>
      <c r="AE29" s="36"/>
      <c r="AF29" s="286"/>
    </row>
    <row r="30" spans="1:31" s="12" customFormat="1" ht="15" hidden="1">
      <c r="A30" s="13"/>
      <c r="B30" s="39"/>
      <c r="C30" s="939" t="s">
        <v>107</v>
      </c>
      <c r="D30" s="939"/>
      <c r="E30" s="939"/>
      <c r="F30" s="939"/>
      <c r="G30" s="939"/>
      <c r="H30" s="39"/>
      <c r="I30" s="39"/>
      <c r="J30" s="39"/>
      <c r="K30" s="39"/>
      <c r="L30" s="39"/>
      <c r="M30" s="13"/>
      <c r="N30" s="13"/>
      <c r="O30" s="268"/>
      <c r="P30" s="268"/>
      <c r="Q30" s="268"/>
      <c r="R30" s="268"/>
      <c r="S30" s="13"/>
      <c r="T30" s="13"/>
      <c r="U30" s="13"/>
      <c r="V30" s="13"/>
      <c r="W30" s="13"/>
      <c r="X30" s="13"/>
      <c r="Y30" s="13"/>
      <c r="Z30" s="13"/>
      <c r="AA30" s="13"/>
      <c r="AB30" s="13"/>
      <c r="AC30" s="13"/>
      <c r="AD30" s="13"/>
      <c r="AE30" s="13"/>
    </row>
    <row r="31" spans="1:31" s="12" customFormat="1" ht="15" hidden="1">
      <c r="A31" s="13"/>
      <c r="B31" s="39"/>
      <c r="C31" s="39"/>
      <c r="D31" s="39"/>
      <c r="E31" s="17" t="s">
        <v>13</v>
      </c>
      <c r="F31" s="17" t="s">
        <v>10</v>
      </c>
      <c r="G31" s="17" t="s">
        <v>92</v>
      </c>
      <c r="H31" s="39"/>
      <c r="I31" s="39"/>
      <c r="J31" s="3"/>
      <c r="K31" s="39"/>
      <c r="L31" s="39"/>
      <c r="M31" s="13"/>
      <c r="N31" s="13"/>
      <c r="O31" s="716" t="s">
        <v>195</v>
      </c>
      <c r="P31" s="716" t="s">
        <v>196</v>
      </c>
      <c r="Q31" s="268"/>
      <c r="R31" s="268"/>
      <c r="S31" s="13"/>
      <c r="T31" s="13"/>
      <c r="U31" s="13"/>
      <c r="V31" s="13"/>
      <c r="W31" s="13"/>
      <c r="X31" s="13"/>
      <c r="Y31" s="13"/>
      <c r="Z31" s="13"/>
      <c r="AA31" s="13"/>
      <c r="AB31" s="13"/>
      <c r="AC31" s="13"/>
      <c r="AD31" s="13"/>
      <c r="AE31" s="13"/>
    </row>
    <row r="32" spans="1:31" s="12" customFormat="1" ht="15" customHeight="1" hidden="1">
      <c r="A32" s="13"/>
      <c r="B32" s="39"/>
      <c r="C32" s="39"/>
      <c r="D32" s="39"/>
      <c r="E32" s="744"/>
      <c r="F32" s="751"/>
      <c r="G32" s="751"/>
      <c r="H32" s="39"/>
      <c r="I32" s="39"/>
      <c r="J32" s="561"/>
      <c r="K32" s="39"/>
      <c r="L32" s="39"/>
      <c r="M32" s="36"/>
      <c r="N32" s="36">
        <f>IF(AND(CombinationOven="Yes",COUNTA(E32:G32)&lt;3),"The first row in question 4a (combination ovens) is incomplete.","")</f>
      </c>
      <c r="O32" s="268">
        <f>F32*G32*IF(E32="Boiler-Based Unit",$G$88,$G$89)*OperatingDays</f>
        <v>0</v>
      </c>
      <c r="P32" s="268">
        <f>IF(E32="Boiler-Based Unit",F32,0)*G32*OperatingDays*($G$88-$G$89)</f>
        <v>0</v>
      </c>
      <c r="Q32" s="268"/>
      <c r="R32" s="268"/>
      <c r="S32" s="13"/>
      <c r="T32" s="13"/>
      <c r="U32" s="13"/>
      <c r="V32" s="13"/>
      <c r="W32" s="13"/>
      <c r="X32" s="13"/>
      <c r="Y32" s="13"/>
      <c r="Z32" s="13"/>
      <c r="AA32" s="13"/>
      <c r="AB32" s="13"/>
      <c r="AC32" s="13"/>
      <c r="AD32" s="13"/>
      <c r="AE32" s="13"/>
    </row>
    <row r="33" spans="1:31" s="12" customFormat="1" ht="15" hidden="1">
      <c r="A33" s="13"/>
      <c r="B33" s="39"/>
      <c r="C33" s="39"/>
      <c r="D33" s="39"/>
      <c r="E33" s="744"/>
      <c r="F33" s="751"/>
      <c r="G33" s="751"/>
      <c r="H33" s="39"/>
      <c r="I33" s="39"/>
      <c r="J33" s="561"/>
      <c r="K33" s="43"/>
      <c r="L33" s="39"/>
      <c r="M33" s="36"/>
      <c r="N33" s="36">
        <f>IF(AND(CombinationOven="Yes",COUNTA(E33:G33)&gt;0,COUNTA(E33:G33)&lt;3),"The second row in question 4a (combination ovens) is incomplete.","")</f>
      </c>
      <c r="O33" s="268">
        <f>F33*G33*IF(E33="Boiler-Based Unit",$G$88,$G$89)*OperatingDays</f>
        <v>0</v>
      </c>
      <c r="P33" s="268">
        <f>IF(E33="Boiler-Based Unit",F33,0)*G33*OperatingDays*($G$88-$G$89)</f>
        <v>0</v>
      </c>
      <c r="Q33" s="268"/>
      <c r="R33" s="268"/>
      <c r="S33" s="13"/>
      <c r="T33" s="13"/>
      <c r="U33" s="13"/>
      <c r="V33" s="13"/>
      <c r="W33" s="13"/>
      <c r="X33" s="13"/>
      <c r="Y33" s="13"/>
      <c r="Z33" s="13"/>
      <c r="AA33" s="13"/>
      <c r="AB33" s="13"/>
      <c r="AC33" s="13"/>
      <c r="AD33" s="13"/>
      <c r="AE33" s="13"/>
    </row>
    <row r="34" spans="1:31" s="12" customFormat="1" ht="15" hidden="1">
      <c r="A34" s="13"/>
      <c r="B34" s="3"/>
      <c r="C34" s="3"/>
      <c r="D34" s="3"/>
      <c r="E34" s="558"/>
      <c r="F34" s="558"/>
      <c r="G34" s="558"/>
      <c r="H34" s="562"/>
      <c r="I34" s="563"/>
      <c r="J34" s="3"/>
      <c r="K34" s="3"/>
      <c r="L34" s="3"/>
      <c r="M34" s="13"/>
      <c r="N34" s="13"/>
      <c r="O34" s="268"/>
      <c r="P34" s="268"/>
      <c r="Q34" s="268"/>
      <c r="R34" s="268"/>
      <c r="S34" s="13"/>
      <c r="T34" s="13"/>
      <c r="U34" s="13"/>
      <c r="V34" s="13"/>
      <c r="W34" s="13"/>
      <c r="X34" s="13"/>
      <c r="Y34" s="13"/>
      <c r="Z34" s="13"/>
      <c r="AA34" s="13"/>
      <c r="AB34" s="13"/>
      <c r="AC34" s="13"/>
      <c r="AD34" s="13"/>
      <c r="AE34" s="13"/>
    </row>
    <row r="35" spans="1:31" s="12" customFormat="1" ht="15" customHeight="1" hidden="1">
      <c r="A35" s="13"/>
      <c r="B35" s="39"/>
      <c r="C35" s="878" t="s">
        <v>95</v>
      </c>
      <c r="D35" s="878"/>
      <c r="E35" s="878"/>
      <c r="F35" s="883"/>
      <c r="G35" s="744"/>
      <c r="H35" s="40"/>
      <c r="I35" s="39"/>
      <c r="J35" s="39"/>
      <c r="K35" s="39"/>
      <c r="L35" s="39"/>
      <c r="M35" s="13"/>
      <c r="N35" s="13"/>
      <c r="O35" s="268"/>
      <c r="P35" s="268"/>
      <c r="Q35" s="268"/>
      <c r="R35" s="268"/>
      <c r="S35" s="13"/>
      <c r="T35" s="13"/>
      <c r="U35" s="13"/>
      <c r="V35" s="13"/>
      <c r="W35" s="13"/>
      <c r="X35" s="13"/>
      <c r="Y35" s="13"/>
      <c r="Z35" s="13"/>
      <c r="AA35" s="13"/>
      <c r="AB35" s="13"/>
      <c r="AC35" s="13"/>
      <c r="AD35" s="13"/>
      <c r="AE35" s="13"/>
    </row>
    <row r="36" spans="1:32" ht="12" customHeight="1" hidden="1">
      <c r="A36" s="13"/>
      <c r="B36" s="39"/>
      <c r="C36" s="879"/>
      <c r="D36" s="879"/>
      <c r="E36" s="879"/>
      <c r="F36" s="879"/>
      <c r="G36" s="39"/>
      <c r="H36" s="40"/>
      <c r="I36" s="39"/>
      <c r="J36" s="39"/>
      <c r="K36" s="39"/>
      <c r="L36" s="39"/>
      <c r="M36" s="36"/>
      <c r="N36" s="36"/>
      <c r="O36" s="268"/>
      <c r="P36" s="268"/>
      <c r="Q36" s="268"/>
      <c r="R36" s="268"/>
      <c r="S36" s="36"/>
      <c r="T36" s="36"/>
      <c r="U36" s="36"/>
      <c r="V36" s="36"/>
      <c r="W36" s="36"/>
      <c r="X36" s="36"/>
      <c r="Y36" s="36"/>
      <c r="Z36" s="36"/>
      <c r="AA36" s="36"/>
      <c r="AB36" s="36"/>
      <c r="AC36" s="36"/>
      <c r="AD36" s="36"/>
      <c r="AE36" s="36"/>
      <c r="AF36" s="286"/>
    </row>
    <row r="37" spans="1:31" s="12" customFormat="1" ht="15" hidden="1">
      <c r="A37" s="13"/>
      <c r="B37" s="39"/>
      <c r="C37" s="939" t="s">
        <v>108</v>
      </c>
      <c r="D37" s="939"/>
      <c r="E37" s="939"/>
      <c r="F37" s="939"/>
      <c r="G37" s="939"/>
      <c r="H37" s="44"/>
      <c r="I37" s="39"/>
      <c r="J37" s="39"/>
      <c r="K37" s="39"/>
      <c r="L37" s="39"/>
      <c r="M37" s="13"/>
      <c r="N37" s="13"/>
      <c r="O37" s="268"/>
      <c r="P37" s="268"/>
      <c r="Q37" s="268"/>
      <c r="R37" s="268"/>
      <c r="S37" s="13"/>
      <c r="T37" s="13"/>
      <c r="U37" s="13"/>
      <c r="V37" s="13"/>
      <c r="W37" s="13"/>
      <c r="X37" s="13"/>
      <c r="Y37" s="13"/>
      <c r="Z37" s="13"/>
      <c r="AA37" s="13"/>
      <c r="AB37" s="13"/>
      <c r="AC37" s="13"/>
      <c r="AD37" s="13"/>
      <c r="AE37" s="13"/>
    </row>
    <row r="38" spans="1:31" s="12" customFormat="1" ht="26.25" hidden="1">
      <c r="A38" s="13"/>
      <c r="B38" s="39"/>
      <c r="C38" s="39"/>
      <c r="D38" s="39"/>
      <c r="E38" s="17" t="s">
        <v>13</v>
      </c>
      <c r="F38" s="17" t="s">
        <v>10</v>
      </c>
      <c r="G38" s="84" t="s">
        <v>96</v>
      </c>
      <c r="H38" s="17" t="s">
        <v>92</v>
      </c>
      <c r="I38" s="39"/>
      <c r="J38" s="39"/>
      <c r="K38" s="38" t="s">
        <v>93</v>
      </c>
      <c r="L38" s="39"/>
      <c r="M38" s="13"/>
      <c r="N38" s="13"/>
      <c r="O38" s="268"/>
      <c r="P38" s="268"/>
      <c r="Q38" s="268"/>
      <c r="R38" s="268"/>
      <c r="S38" s="13"/>
      <c r="T38" s="13"/>
      <c r="U38" s="13"/>
      <c r="V38" s="13"/>
      <c r="W38" s="13"/>
      <c r="X38" s="13"/>
      <c r="Y38" s="13"/>
      <c r="Z38" s="13"/>
      <c r="AA38" s="13"/>
      <c r="AB38" s="13"/>
      <c r="AC38" s="13"/>
      <c r="AD38" s="13"/>
      <c r="AE38" s="13"/>
    </row>
    <row r="39" spans="1:34" s="12" customFormat="1" ht="15" hidden="1">
      <c r="A39" s="13"/>
      <c r="B39" s="39"/>
      <c r="C39" s="39"/>
      <c r="D39" s="39"/>
      <c r="E39" s="744"/>
      <c r="F39" s="754"/>
      <c r="G39" s="753"/>
      <c r="H39" s="751"/>
      <c r="I39" s="39"/>
      <c r="J39" s="39"/>
      <c r="K39" s="561"/>
      <c r="L39" s="39"/>
      <c r="M39" s="36"/>
      <c r="N39" s="36">
        <f>IF(AND(SteamKettles="Yes",COUNTA(E39:H39)&lt;4),"The first row in question 5a (steam kettles) is incomplete.","")</f>
      </c>
      <c r="O39" s="268"/>
      <c r="P39" s="726"/>
      <c r="Q39" s="726"/>
      <c r="R39" s="726"/>
      <c r="S39" s="22"/>
      <c r="T39" s="22"/>
      <c r="U39" s="22"/>
      <c r="V39" s="22"/>
      <c r="W39" s="22"/>
      <c r="X39" s="22"/>
      <c r="Y39" s="22"/>
      <c r="Z39" s="22"/>
      <c r="AA39" s="22"/>
      <c r="AB39" s="22"/>
      <c r="AC39" s="22"/>
      <c r="AD39" s="22"/>
      <c r="AE39" s="22"/>
      <c r="AF39" s="33"/>
      <c r="AG39" s="33"/>
      <c r="AH39" s="33"/>
    </row>
    <row r="40" spans="1:31" s="12" customFormat="1" ht="15" customHeight="1" hidden="1">
      <c r="A40" s="13"/>
      <c r="B40" s="85"/>
      <c r="C40" s="39"/>
      <c r="D40" s="39"/>
      <c r="E40" s="744"/>
      <c r="F40" s="751"/>
      <c r="G40" s="753"/>
      <c r="H40" s="751"/>
      <c r="I40" s="39"/>
      <c r="J40" s="39"/>
      <c r="K40" s="561"/>
      <c r="L40" s="39"/>
      <c r="M40" s="36"/>
      <c r="N40" s="36">
        <f>IF(AND(SteamKettles="Yes",COUNTA(E40:H40)&gt;0,COUNTA(E40:H40)&lt;4),"The second row in question 5a (steam kettles) is incomplete.","")</f>
      </c>
      <c r="O40" s="268"/>
      <c r="P40" s="268"/>
      <c r="Q40" s="268"/>
      <c r="R40" s="268"/>
      <c r="S40" s="13"/>
      <c r="T40" s="13"/>
      <c r="U40" s="13"/>
      <c r="V40" s="13"/>
      <c r="W40" s="13"/>
      <c r="X40" s="13"/>
      <c r="Y40" s="13"/>
      <c r="Z40" s="13"/>
      <c r="AA40" s="13"/>
      <c r="AB40" s="13"/>
      <c r="AC40" s="13"/>
      <c r="AD40" s="13"/>
      <c r="AE40" s="13"/>
    </row>
    <row r="41" spans="1:31" s="12" customFormat="1" ht="15" hidden="1">
      <c r="A41" s="13"/>
      <c r="B41" s="39"/>
      <c r="C41" s="39"/>
      <c r="D41" s="39"/>
      <c r="E41" s="39"/>
      <c r="F41" s="39"/>
      <c r="G41" s="39"/>
      <c r="H41" s="39"/>
      <c r="I41" s="85"/>
      <c r="J41" s="39"/>
      <c r="K41" s="39"/>
      <c r="L41" s="39"/>
      <c r="M41" s="13"/>
      <c r="N41" s="13"/>
      <c r="O41" s="268"/>
      <c r="P41" s="268"/>
      <c r="Q41" s="268"/>
      <c r="R41" s="268"/>
      <c r="S41" s="13"/>
      <c r="T41" s="13"/>
      <c r="U41" s="13"/>
      <c r="V41" s="13"/>
      <c r="W41" s="13"/>
      <c r="X41" s="13"/>
      <c r="Y41" s="13"/>
      <c r="Z41" s="13"/>
      <c r="AA41" s="13"/>
      <c r="AB41" s="13"/>
      <c r="AC41" s="13"/>
      <c r="AD41" s="13"/>
      <c r="AE41" s="13"/>
    </row>
    <row r="42" spans="1:31" s="12" customFormat="1" ht="15" hidden="1">
      <c r="A42" s="13"/>
      <c r="B42" s="39"/>
      <c r="C42" s="878" t="s">
        <v>198</v>
      </c>
      <c r="D42" s="878"/>
      <c r="E42" s="878"/>
      <c r="F42" s="883"/>
      <c r="G42" s="744"/>
      <c r="H42" s="40"/>
      <c r="I42" s="85"/>
      <c r="J42" s="39"/>
      <c r="K42" s="39"/>
      <c r="L42" s="39"/>
      <c r="M42" s="13"/>
      <c r="N42" s="13"/>
      <c r="O42" s="268"/>
      <c r="P42" s="268"/>
      <c r="Q42" s="268"/>
      <c r="R42" s="268"/>
      <c r="S42" s="13"/>
      <c r="T42" s="13"/>
      <c r="U42" s="13"/>
      <c r="V42" s="13"/>
      <c r="W42" s="13"/>
      <c r="X42" s="13"/>
      <c r="Y42" s="13"/>
      <c r="Z42" s="13"/>
      <c r="AA42" s="13"/>
      <c r="AB42" s="13"/>
      <c r="AC42" s="13"/>
      <c r="AD42" s="13"/>
      <c r="AE42" s="13"/>
    </row>
    <row r="43" spans="1:32" ht="12" customHeight="1" hidden="1">
      <c r="A43" s="13"/>
      <c r="B43" s="39"/>
      <c r="C43" s="879"/>
      <c r="D43" s="879"/>
      <c r="E43" s="879"/>
      <c r="F43" s="879"/>
      <c r="G43" s="39"/>
      <c r="H43" s="40"/>
      <c r="I43" s="39"/>
      <c r="J43" s="39"/>
      <c r="K43" s="39"/>
      <c r="L43" s="39"/>
      <c r="M43" s="36"/>
      <c r="N43" s="36"/>
      <c r="O43" s="268"/>
      <c r="P43" s="268"/>
      <c r="Q43" s="268"/>
      <c r="R43" s="268"/>
      <c r="S43" s="36"/>
      <c r="T43" s="36"/>
      <c r="U43" s="36"/>
      <c r="V43" s="36"/>
      <c r="W43" s="36"/>
      <c r="X43" s="36"/>
      <c r="Y43" s="36"/>
      <c r="Z43" s="36"/>
      <c r="AA43" s="36"/>
      <c r="AB43" s="36"/>
      <c r="AC43" s="36"/>
      <c r="AD43" s="36"/>
      <c r="AE43" s="36"/>
      <c r="AF43" s="286"/>
    </row>
    <row r="44" spans="1:31" s="12" customFormat="1" ht="15" hidden="1">
      <c r="A44" s="13"/>
      <c r="B44" s="39"/>
      <c r="C44" s="939" t="s">
        <v>351</v>
      </c>
      <c r="D44" s="939"/>
      <c r="E44" s="939"/>
      <c r="F44" s="939"/>
      <c r="G44" s="939"/>
      <c r="H44" s="39"/>
      <c r="I44" s="85"/>
      <c r="J44" s="39"/>
      <c r="K44" s="39"/>
      <c r="L44" s="39"/>
      <c r="M44" s="13"/>
      <c r="N44" s="13"/>
      <c r="O44" s="268"/>
      <c r="P44" s="268"/>
      <c r="Q44" s="268"/>
      <c r="R44" s="268"/>
      <c r="S44" s="13"/>
      <c r="T44" s="13"/>
      <c r="U44" s="13"/>
      <c r="V44" s="13"/>
      <c r="W44" s="13"/>
      <c r="X44" s="13"/>
      <c r="Y44" s="13"/>
      <c r="Z44" s="13"/>
      <c r="AA44" s="13"/>
      <c r="AB44" s="13"/>
      <c r="AC44" s="13"/>
      <c r="AD44" s="13"/>
      <c r="AE44" s="13"/>
    </row>
    <row r="45" spans="1:31" s="12" customFormat="1" ht="15" hidden="1">
      <c r="A45" s="13"/>
      <c r="B45" s="39"/>
      <c r="C45" s="39"/>
      <c r="D45" s="39"/>
      <c r="E45" s="17" t="s">
        <v>10</v>
      </c>
      <c r="F45" s="17" t="s">
        <v>97</v>
      </c>
      <c r="G45" s="17" t="s">
        <v>92</v>
      </c>
      <c r="H45" s="3"/>
      <c r="I45" s="85"/>
      <c r="J45" s="39"/>
      <c r="K45" s="39"/>
      <c r="L45" s="39"/>
      <c r="M45" s="13"/>
      <c r="N45" s="13"/>
      <c r="O45" s="716" t="s">
        <v>195</v>
      </c>
      <c r="P45" s="716" t="s">
        <v>196</v>
      </c>
      <c r="Q45" s="268"/>
      <c r="R45" s="268"/>
      <c r="S45" s="13"/>
      <c r="T45" s="13"/>
      <c r="U45" s="13"/>
      <c r="V45" s="13"/>
      <c r="W45" s="13"/>
      <c r="X45" s="13"/>
      <c r="Y45" s="13"/>
      <c r="Z45" s="13"/>
      <c r="AA45" s="13"/>
      <c r="AB45" s="13"/>
      <c r="AC45" s="13"/>
      <c r="AD45" s="13"/>
      <c r="AE45" s="13"/>
    </row>
    <row r="46" spans="1:31" s="12" customFormat="1" ht="15" hidden="1">
      <c r="A46" s="13"/>
      <c r="B46" s="39"/>
      <c r="C46" s="39"/>
      <c r="D46" s="39"/>
      <c r="E46" s="751"/>
      <c r="F46" s="755"/>
      <c r="G46" s="751"/>
      <c r="H46" s="561"/>
      <c r="I46" s="85"/>
      <c r="J46" s="39"/>
      <c r="K46" s="39"/>
      <c r="L46" s="39"/>
      <c r="M46" s="36"/>
      <c r="N46" s="36">
        <f>IF(AND(DipperWells="Yes",COUNTA(E46:G46)&lt;3),"The first row in question 6a (dipper wells) is incomplete.","")</f>
      </c>
      <c r="O46" s="268">
        <f>E46*F46*60*G46*OperatingDays</f>
        <v>0</v>
      </c>
      <c r="P46" s="268">
        <f>E46*(F46-$G$90)*60*G46*OperatingDays</f>
        <v>0</v>
      </c>
      <c r="Q46" s="268"/>
      <c r="R46" s="268"/>
      <c r="S46" s="13"/>
      <c r="T46" s="13"/>
      <c r="U46" s="13"/>
      <c r="V46" s="13"/>
      <c r="W46" s="13"/>
      <c r="X46" s="13"/>
      <c r="Y46" s="13"/>
      <c r="Z46" s="13"/>
      <c r="AA46" s="13"/>
      <c r="AB46" s="13"/>
      <c r="AC46" s="13"/>
      <c r="AD46" s="13"/>
      <c r="AE46" s="13"/>
    </row>
    <row r="47" spans="1:31" s="12" customFormat="1" ht="15" hidden="1">
      <c r="A47" s="13"/>
      <c r="B47" s="254"/>
      <c r="C47" s="39"/>
      <c r="D47" s="39"/>
      <c r="E47" s="751"/>
      <c r="F47" s="755"/>
      <c r="G47" s="751"/>
      <c r="H47" s="561"/>
      <c r="I47" s="85"/>
      <c r="J47" s="39"/>
      <c r="K47" s="39"/>
      <c r="L47" s="39"/>
      <c r="M47" s="36"/>
      <c r="N47" s="36">
        <f>IF(AND(DipperWells="Yes",COUNTA(E47:G47)&gt;0,COUNTA(E47:G47)&lt;3),"The second row in question 6a (dipper wells) is incomplete.","")</f>
      </c>
      <c r="O47" s="839">
        <f>E47*F47*60*G47*OperatingDays</f>
        <v>0</v>
      </c>
      <c r="P47" s="268">
        <f>(F47-$G$90)*60*G47*OperatingDays</f>
        <v>0</v>
      </c>
      <c r="Q47" s="268"/>
      <c r="R47" s="268"/>
      <c r="S47" s="13"/>
      <c r="T47" s="13"/>
      <c r="U47" s="13"/>
      <c r="V47" s="13"/>
      <c r="W47" s="13"/>
      <c r="X47" s="13"/>
      <c r="Y47" s="13"/>
      <c r="Z47" s="13"/>
      <c r="AA47" s="13"/>
      <c r="AB47" s="13"/>
      <c r="AC47" s="13"/>
      <c r="AD47" s="13"/>
      <c r="AE47" s="13"/>
    </row>
    <row r="48" spans="1:34" ht="12" customHeight="1" hidden="1">
      <c r="A48" s="13"/>
      <c r="B48" s="254"/>
      <c r="C48" s="259"/>
      <c r="D48" s="764"/>
      <c r="E48" s="259"/>
      <c r="F48" s="259"/>
      <c r="G48" s="39"/>
      <c r="H48" s="40"/>
      <c r="I48" s="39"/>
      <c r="J48" s="39"/>
      <c r="K48" s="39"/>
      <c r="L48" s="39"/>
      <c r="M48" s="36"/>
      <c r="N48" s="36"/>
      <c r="O48" s="268"/>
      <c r="P48" s="268"/>
      <c r="Q48" s="268"/>
      <c r="R48" s="268"/>
      <c r="S48" s="36"/>
      <c r="T48" s="36"/>
      <c r="U48" s="36"/>
      <c r="V48" s="36"/>
      <c r="W48" s="36"/>
      <c r="X48" s="36"/>
      <c r="Y48" s="36"/>
      <c r="Z48" s="36"/>
      <c r="AA48" s="36"/>
      <c r="AB48" s="36"/>
      <c r="AC48" s="36"/>
      <c r="AD48" s="36"/>
      <c r="AE48" s="36"/>
      <c r="AF48" s="286"/>
      <c r="AG48" s="286"/>
      <c r="AH48" s="286"/>
    </row>
    <row r="49" spans="1:31" s="12" customFormat="1" ht="15" customHeight="1" hidden="1">
      <c r="A49" s="13"/>
      <c r="B49" s="39"/>
      <c r="C49" s="878" t="s">
        <v>213</v>
      </c>
      <c r="D49" s="878"/>
      <c r="E49" s="878"/>
      <c r="F49" s="883"/>
      <c r="G49" s="744"/>
      <c r="H49" s="40"/>
      <c r="I49" s="39"/>
      <c r="J49" s="39"/>
      <c r="K49" s="39"/>
      <c r="L49" s="39"/>
      <c r="M49" s="13"/>
      <c r="N49" s="13"/>
      <c r="O49" s="268"/>
      <c r="P49" s="268"/>
      <c r="Q49" s="268"/>
      <c r="R49" s="268"/>
      <c r="S49" s="13"/>
      <c r="T49" s="13"/>
      <c r="U49" s="13"/>
      <c r="V49" s="13"/>
      <c r="W49" s="13"/>
      <c r="X49" s="13"/>
      <c r="Y49" s="13"/>
      <c r="Z49" s="13"/>
      <c r="AA49" s="13"/>
      <c r="AB49" s="13"/>
      <c r="AC49" s="13"/>
      <c r="AD49" s="13"/>
      <c r="AE49" s="13"/>
    </row>
    <row r="50" spans="1:31" s="12" customFormat="1" ht="12" customHeight="1" hidden="1">
      <c r="A50" s="13"/>
      <c r="B50" s="39"/>
      <c r="C50" s="258"/>
      <c r="D50" s="763"/>
      <c r="E50" s="259"/>
      <c r="F50" s="259"/>
      <c r="G50" s="39"/>
      <c r="H50" s="40"/>
      <c r="I50" s="39"/>
      <c r="J50" s="39"/>
      <c r="K50" s="39"/>
      <c r="L50" s="39"/>
      <c r="M50" s="13"/>
      <c r="N50" s="13"/>
      <c r="O50" s="268"/>
      <c r="P50" s="268"/>
      <c r="Q50" s="268"/>
      <c r="R50" s="268"/>
      <c r="S50" s="13"/>
      <c r="T50" s="13"/>
      <c r="U50" s="13"/>
      <c r="V50" s="13"/>
      <c r="W50" s="13"/>
      <c r="X50" s="13"/>
      <c r="Y50" s="13"/>
      <c r="Z50" s="13"/>
      <c r="AA50" s="13"/>
      <c r="AB50" s="13"/>
      <c r="AC50" s="13"/>
      <c r="AD50" s="13"/>
      <c r="AE50" s="13"/>
    </row>
    <row r="51" spans="1:31" s="12" customFormat="1" ht="15" hidden="1">
      <c r="A51" s="13"/>
      <c r="B51" s="39"/>
      <c r="C51" s="939" t="s">
        <v>214</v>
      </c>
      <c r="D51" s="939"/>
      <c r="E51" s="939"/>
      <c r="F51" s="939"/>
      <c r="G51" s="939"/>
      <c r="H51" s="44"/>
      <c r="I51" s="39"/>
      <c r="J51" s="39"/>
      <c r="K51" s="39"/>
      <c r="L51" s="39"/>
      <c r="M51" s="13"/>
      <c r="N51" s="13"/>
      <c r="O51" s="268"/>
      <c r="P51" s="268"/>
      <c r="Q51" s="268"/>
      <c r="R51" s="268"/>
      <c r="S51" s="13"/>
      <c r="T51" s="13"/>
      <c r="U51" s="13"/>
      <c r="V51" s="13"/>
      <c r="W51" s="13"/>
      <c r="X51" s="13"/>
      <c r="Y51" s="13"/>
      <c r="Z51" s="13"/>
      <c r="AA51" s="13"/>
      <c r="AB51" s="13"/>
      <c r="AC51" s="13"/>
      <c r="AD51" s="13"/>
      <c r="AE51" s="13"/>
    </row>
    <row r="52" spans="1:31" s="12" customFormat="1" ht="26.25" hidden="1">
      <c r="A52" s="13"/>
      <c r="B52" s="39"/>
      <c r="C52" s="39"/>
      <c r="D52" s="39"/>
      <c r="E52" s="17" t="s">
        <v>13</v>
      </c>
      <c r="F52" s="17" t="s">
        <v>10</v>
      </c>
      <c r="G52" s="84" t="s">
        <v>488</v>
      </c>
      <c r="H52" s="84" t="s">
        <v>486</v>
      </c>
      <c r="I52" s="627" t="s">
        <v>489</v>
      </c>
      <c r="J52" s="3"/>
      <c r="K52" s="39"/>
      <c r="L52" s="39"/>
      <c r="M52" s="13"/>
      <c r="N52" s="13"/>
      <c r="O52" s="838" t="s">
        <v>195</v>
      </c>
      <c r="P52" s="838" t="s">
        <v>196</v>
      </c>
      <c r="Q52" s="268"/>
      <c r="R52" s="268"/>
      <c r="S52" s="13"/>
      <c r="T52" s="13"/>
      <c r="U52" s="13"/>
      <c r="V52" s="13"/>
      <c r="W52" s="13"/>
      <c r="X52" s="13"/>
      <c r="Y52" s="13"/>
      <c r="Z52" s="13"/>
      <c r="AA52" s="13"/>
      <c r="AB52" s="13"/>
      <c r="AC52" s="13"/>
      <c r="AD52" s="13"/>
      <c r="AE52" s="13"/>
    </row>
    <row r="53" spans="1:31" s="12" customFormat="1" ht="15" hidden="1">
      <c r="A53" s="13"/>
      <c r="B53" s="39"/>
      <c r="C53" s="39"/>
      <c r="D53" s="39"/>
      <c r="E53" s="744"/>
      <c r="F53" s="751"/>
      <c r="G53" s="756"/>
      <c r="H53" s="756"/>
      <c r="I53" s="756"/>
      <c r="J53" s="561"/>
      <c r="K53" s="39"/>
      <c r="L53" s="39"/>
      <c r="M53" s="36"/>
      <c r="N53" s="36">
        <f>IF(AND(GarbageDisposals="Yes",COUNTA(E53:I53)&lt;5),"The first row in question 7a (garbage disposals) is incomplete.","")</f>
      </c>
      <c r="O53" s="839">
        <f>IF($G$56="Yes",(F53*IF(ISNUMBER(G53),G53,0)*IF(AND(ISNUMBER(H53),ISNUMBER(I53)),H53-I53,0)*60*OperatingDays)+(F53*$G$91*IF(ISNUMBER(I53),I53,0)*60*OperatingDays),(F53*IF(ISNUMBER(G53),G53,0)*IF(ISNUMBER(H53),H53,0)*60*OperatingDays))</f>
        <v>0</v>
      </c>
      <c r="P53" s="839">
        <f>IF(O53&gt;0,IF(G53&gt;$G$90,F53*(G53-$G$91)*60*I53*OperatingDays,0),0)</f>
        <v>0</v>
      </c>
      <c r="Q53" s="268"/>
      <c r="R53" s="268"/>
      <c r="S53" s="13"/>
      <c r="T53" s="13"/>
      <c r="U53" s="13"/>
      <c r="V53" s="13"/>
      <c r="W53" s="13"/>
      <c r="X53" s="13"/>
      <c r="Y53" s="13"/>
      <c r="Z53" s="13"/>
      <c r="AA53" s="13"/>
      <c r="AB53" s="13"/>
      <c r="AC53" s="13"/>
      <c r="AD53" s="13"/>
      <c r="AE53" s="13"/>
    </row>
    <row r="54" spans="1:31" s="12" customFormat="1" ht="15" customHeight="1" hidden="1">
      <c r="A54" s="13"/>
      <c r="B54" s="254"/>
      <c r="C54" s="39"/>
      <c r="D54" s="39"/>
      <c r="E54" s="744"/>
      <c r="F54" s="751"/>
      <c r="G54" s="756"/>
      <c r="H54" s="756"/>
      <c r="I54" s="756"/>
      <c r="J54" s="564"/>
      <c r="K54" s="39"/>
      <c r="L54" s="39"/>
      <c r="M54" s="36"/>
      <c r="N54" s="36">
        <f>IF(AND(GarbageDisposals="Yes",COUNTA(E54:I54)&gt;0,COUNTA(E54:I54)&lt;5),"The second row in question 7a (garbage disposals) is incomplete.","")</f>
      </c>
      <c r="O54" s="839">
        <f>IF($G$56="Yes",(F54*IF(ISNUMBER(G54),G54,0)*IF(AND(ISNUMBER(H54),ISNUMBER(I54)),H54-I54,0)*60*OperatingDays)+(F54*$G$91*IF(ISNUMBER(I54),I54,0)*60*OperatingDays),(F54*IF(ISNUMBER(G54),G54,0)*IF(ISNUMBER(H54),H54,0)*60*OperatingDays))</f>
        <v>0</v>
      </c>
      <c r="P54" s="839">
        <f>IF(O54&gt;0,IF(G54&gt;$G$90,F54*(G54-$G$91)*60*I54*OperatingDays,0),0)</f>
        <v>0</v>
      </c>
      <c r="Q54" s="268"/>
      <c r="R54" s="268"/>
      <c r="S54" s="13"/>
      <c r="T54" s="13"/>
      <c r="U54" s="13"/>
      <c r="V54" s="13"/>
      <c r="W54" s="13"/>
      <c r="X54" s="13"/>
      <c r="Y54" s="13"/>
      <c r="Z54" s="13"/>
      <c r="AA54" s="13"/>
      <c r="AB54" s="13"/>
      <c r="AC54" s="13"/>
      <c r="AD54" s="13"/>
      <c r="AE54" s="13"/>
    </row>
    <row r="55" spans="1:31" s="12" customFormat="1" ht="15" customHeight="1" hidden="1">
      <c r="A55" s="13"/>
      <c r="B55" s="254"/>
      <c r="C55" s="39"/>
      <c r="D55" s="39"/>
      <c r="E55" s="259"/>
      <c r="F55" s="259"/>
      <c r="G55" s="39"/>
      <c r="H55" s="39"/>
      <c r="I55" s="39"/>
      <c r="J55" s="85"/>
      <c r="K55" s="39"/>
      <c r="L55" s="39"/>
      <c r="M55" s="13"/>
      <c r="N55" s="13"/>
      <c r="O55" s="295"/>
      <c r="P55" s="295"/>
      <c r="Q55" s="295"/>
      <c r="R55" s="295"/>
      <c r="S55" s="13"/>
      <c r="T55" s="13"/>
      <c r="U55" s="13"/>
      <c r="V55" s="13"/>
      <c r="W55" s="13"/>
      <c r="X55" s="13"/>
      <c r="Y55" s="13"/>
      <c r="Z55" s="13"/>
      <c r="AA55" s="13"/>
      <c r="AB55" s="13"/>
      <c r="AC55" s="13"/>
      <c r="AD55" s="13"/>
      <c r="AE55" s="13"/>
    </row>
    <row r="56" spans="1:31" s="12" customFormat="1" ht="15" hidden="1">
      <c r="A56" s="13"/>
      <c r="B56" s="39"/>
      <c r="C56" s="939" t="s">
        <v>222</v>
      </c>
      <c r="D56" s="939"/>
      <c r="E56" s="939"/>
      <c r="F56" s="939"/>
      <c r="G56" s="744"/>
      <c r="H56" s="40"/>
      <c r="I56" s="85"/>
      <c r="J56" s="39"/>
      <c r="K56" s="39"/>
      <c r="L56" s="39"/>
      <c r="M56" s="13"/>
      <c r="N56" s="36">
        <f>IF(AND(GarbageDisposals="Yes",OR(E53="Food Grinder",E54="Food Grinder"),GarbageDisposalLoadSensor=""),"Question 7b (garbage disposals) is incomplete.","")</f>
      </c>
      <c r="O56" s="295"/>
      <c r="P56" s="295"/>
      <c r="Q56" s="295"/>
      <c r="R56" s="295"/>
      <c r="S56" s="13"/>
      <c r="T56" s="13"/>
      <c r="U56" s="13"/>
      <c r="V56" s="13"/>
      <c r="W56" s="13"/>
      <c r="X56" s="13"/>
      <c r="Y56" s="13"/>
      <c r="Z56" s="13"/>
      <c r="AA56" s="13"/>
      <c r="AB56" s="13"/>
      <c r="AC56" s="13"/>
      <c r="AD56" s="13"/>
      <c r="AE56" s="13"/>
    </row>
    <row r="57" spans="1:31" s="12" customFormat="1" ht="15" hidden="1">
      <c r="A57" s="13"/>
      <c r="B57" s="39"/>
      <c r="C57" s="39"/>
      <c r="D57" s="39"/>
      <c r="E57" s="259"/>
      <c r="F57" s="259"/>
      <c r="G57" s="39"/>
      <c r="H57" s="39"/>
      <c r="I57" s="85"/>
      <c r="J57" s="39"/>
      <c r="K57" s="39"/>
      <c r="L57" s="39"/>
      <c r="M57" s="13"/>
      <c r="N57" s="13"/>
      <c r="O57" s="295"/>
      <c r="P57" s="295"/>
      <c r="Q57" s="295"/>
      <c r="R57" s="295"/>
      <c r="S57" s="13"/>
      <c r="T57" s="13"/>
      <c r="U57" s="13"/>
      <c r="V57" s="13"/>
      <c r="W57" s="13"/>
      <c r="X57" s="13"/>
      <c r="Y57" s="13"/>
      <c r="Z57" s="13"/>
      <c r="AA57" s="13"/>
      <c r="AB57" s="13"/>
      <c r="AC57" s="13"/>
      <c r="AD57" s="13"/>
      <c r="AE57" s="13"/>
    </row>
    <row r="58" spans="1:31" s="12" customFormat="1" ht="36" customHeight="1" hidden="1">
      <c r="A58" s="13"/>
      <c r="B58" s="39"/>
      <c r="C58" s="39"/>
      <c r="D58" s="39"/>
      <c r="E58" s="259"/>
      <c r="F58" s="39"/>
      <c r="G58" s="39"/>
      <c r="H58" s="39"/>
      <c r="I58" s="85"/>
      <c r="J58" s="39"/>
      <c r="K58" s="39"/>
      <c r="L58" s="39"/>
      <c r="M58" s="13"/>
      <c r="N58" s="13"/>
      <c r="O58" s="295"/>
      <c r="P58" s="295"/>
      <c r="Q58" s="295"/>
      <c r="R58" s="295"/>
      <c r="S58" s="13"/>
      <c r="T58" s="13"/>
      <c r="U58" s="13"/>
      <c r="V58" s="13"/>
      <c r="W58" s="13"/>
      <c r="X58" s="13"/>
      <c r="Y58" s="13"/>
      <c r="Z58" s="13"/>
      <c r="AA58" s="13"/>
      <c r="AB58" s="13"/>
      <c r="AC58" s="13"/>
      <c r="AD58" s="13"/>
      <c r="AE58" s="13"/>
    </row>
    <row r="59" spans="1:31" s="12" customFormat="1" ht="18.75" customHeight="1" hidden="1">
      <c r="A59" s="13"/>
      <c r="B59" s="39"/>
      <c r="C59" s="872" t="s">
        <v>38</v>
      </c>
      <c r="D59" s="872"/>
      <c r="E59" s="872"/>
      <c r="F59" s="82"/>
      <c r="G59" s="39"/>
      <c r="H59" s="86"/>
      <c r="I59" s="39"/>
      <c r="J59" s="39"/>
      <c r="K59" s="39"/>
      <c r="L59" s="39"/>
      <c r="M59" s="13"/>
      <c r="N59" s="13"/>
      <c r="O59" s="295"/>
      <c r="P59" s="295"/>
      <c r="Q59" s="295"/>
      <c r="R59" s="295"/>
      <c r="S59" s="13"/>
      <c r="T59" s="13"/>
      <c r="U59" s="13"/>
      <c r="V59" s="13"/>
      <c r="W59" s="13"/>
      <c r="X59" s="13"/>
      <c r="Y59" s="13"/>
      <c r="Z59" s="13"/>
      <c r="AA59" s="13"/>
      <c r="AB59" s="13"/>
      <c r="AC59" s="13"/>
      <c r="AD59" s="13"/>
      <c r="AE59" s="13"/>
    </row>
    <row r="60" spans="1:31" s="459" customFormat="1" ht="34.5" customHeight="1" hidden="1">
      <c r="A60" s="439"/>
      <c r="B60" s="457"/>
      <c r="C60" s="962" t="str">
        <f>"Your existing commercial kitchen equipment uses approximately "&amp;TEXT(E68,"#,##0")&amp;" gallons of water per year. The following table provides your estimated water use for each appliance and equipment type."</f>
        <v>Your existing commercial kitchen equipment uses approximately 0 gallons of water per year. The following table provides your estimated water use for each appliance and equipment type.</v>
      </c>
      <c r="D60" s="962"/>
      <c r="E60" s="962"/>
      <c r="F60" s="962"/>
      <c r="G60" s="962"/>
      <c r="H60" s="962"/>
      <c r="I60" s="962"/>
      <c r="J60" s="457"/>
      <c r="K60" s="457"/>
      <c r="L60" s="457"/>
      <c r="M60" s="439"/>
      <c r="N60" s="439"/>
      <c r="O60" s="458"/>
      <c r="P60" s="458"/>
      <c r="Q60" s="458"/>
      <c r="R60" s="458"/>
      <c r="S60" s="439"/>
      <c r="T60" s="439"/>
      <c r="U60" s="439"/>
      <c r="V60" s="439"/>
      <c r="W60" s="439"/>
      <c r="X60" s="439"/>
      <c r="Y60" s="439"/>
      <c r="Z60" s="439"/>
      <c r="AA60" s="439"/>
      <c r="AB60" s="439"/>
      <c r="AC60" s="439"/>
      <c r="AD60" s="439"/>
      <c r="AE60" s="439"/>
    </row>
    <row r="61" spans="1:31" s="12" customFormat="1" ht="26.25" customHeight="1" hidden="1">
      <c r="A61" s="13"/>
      <c r="B61" s="39"/>
      <c r="C61" s="23"/>
      <c r="D61" s="529"/>
      <c r="E61" s="26" t="s">
        <v>58</v>
      </c>
      <c r="F61" s="39"/>
      <c r="G61" s="39"/>
      <c r="H61" s="39"/>
      <c r="I61" s="39"/>
      <c r="J61" s="39"/>
      <c r="K61" s="39"/>
      <c r="L61" s="39"/>
      <c r="M61" s="13"/>
      <c r="N61" s="13"/>
      <c r="O61" s="840"/>
      <c r="P61" s="838"/>
      <c r="Q61" s="838"/>
      <c r="R61" s="838"/>
      <c r="S61" s="840"/>
      <c r="T61" s="13"/>
      <c r="U61" s="13"/>
      <c r="V61" s="13"/>
      <c r="W61" s="13"/>
      <c r="X61" s="13"/>
      <c r="Y61" s="13"/>
      <c r="Z61" s="13"/>
      <c r="AA61" s="13"/>
      <c r="AB61" s="13"/>
      <c r="AC61" s="13"/>
      <c r="AD61" s="13"/>
      <c r="AE61" s="13"/>
    </row>
    <row r="62" spans="1:31" s="12" customFormat="1" ht="15" customHeight="1" hidden="1">
      <c r="A62" s="13"/>
      <c r="B62" s="39"/>
      <c r="C62" s="529"/>
      <c r="D62" s="16" t="s">
        <v>353</v>
      </c>
      <c r="E62" s="24" t="str">
        <f>IF(IceEquipment="Yes",ROUNDDOWN(SUM(O17:O19)+SUM(R17:R19),-3),"N/A")</f>
        <v>N/A</v>
      </c>
      <c r="F62" s="87"/>
      <c r="G62" s="87"/>
      <c r="H62" s="87"/>
      <c r="I62" s="39"/>
      <c r="J62" s="39"/>
      <c r="K62" s="39"/>
      <c r="L62" s="39"/>
      <c r="M62" s="13"/>
      <c r="N62" s="13"/>
      <c r="O62" s="841"/>
      <c r="P62" s="839"/>
      <c r="Q62" s="839"/>
      <c r="R62" s="839"/>
      <c r="S62" s="841"/>
      <c r="T62" s="13"/>
      <c r="U62" s="13"/>
      <c r="V62" s="13"/>
      <c r="W62" s="13"/>
      <c r="X62" s="13"/>
      <c r="Y62" s="13"/>
      <c r="Z62" s="13"/>
      <c r="AA62" s="13"/>
      <c r="AB62" s="13"/>
      <c r="AC62" s="13"/>
      <c r="AD62" s="13"/>
      <c r="AE62" s="13"/>
    </row>
    <row r="63" spans="1:31" s="12" customFormat="1" ht="15" customHeight="1" hidden="1">
      <c r="A63" s="13"/>
      <c r="B63" s="39"/>
      <c r="C63" s="529"/>
      <c r="D63" s="16" t="s">
        <v>98</v>
      </c>
      <c r="E63" s="24" t="str">
        <f>IF(SteamCookers="Yes",ROUNDDOWN(SUM(O25:O26),-3),"N/A")</f>
        <v>N/A</v>
      </c>
      <c r="F63" s="39"/>
      <c r="G63" s="39"/>
      <c r="H63" s="39"/>
      <c r="I63" s="39"/>
      <c r="J63" s="39"/>
      <c r="K63" s="39"/>
      <c r="L63" s="39"/>
      <c r="M63" s="13"/>
      <c r="N63" s="13"/>
      <c r="O63" s="295"/>
      <c r="P63" s="295"/>
      <c r="Q63" s="295"/>
      <c r="R63" s="295"/>
      <c r="S63" s="13"/>
      <c r="T63" s="13"/>
      <c r="U63" s="13"/>
      <c r="V63" s="13"/>
      <c r="W63" s="13"/>
      <c r="X63" s="13"/>
      <c r="Y63" s="13"/>
      <c r="Z63" s="13"/>
      <c r="AA63" s="13"/>
      <c r="AB63" s="13"/>
      <c r="AC63" s="13"/>
      <c r="AD63" s="13"/>
      <c r="AE63" s="13"/>
    </row>
    <row r="64" spans="1:31" s="12" customFormat="1" ht="15" customHeight="1" hidden="1">
      <c r="A64" s="13"/>
      <c r="B64" s="39"/>
      <c r="C64" s="529"/>
      <c r="D64" s="16" t="s">
        <v>99</v>
      </c>
      <c r="E64" s="24" t="str">
        <f>IF(CombinationOven="Yes",ROUNDDOWN(SUM(O32:O33),-3),"N/A")</f>
        <v>N/A</v>
      </c>
      <c r="F64" s="39"/>
      <c r="G64" s="39"/>
      <c r="H64" s="39"/>
      <c r="I64" s="39"/>
      <c r="J64" s="39"/>
      <c r="K64" s="39"/>
      <c r="L64" s="39"/>
      <c r="M64" s="13"/>
      <c r="N64" s="13"/>
      <c r="O64" s="295"/>
      <c r="P64" s="295"/>
      <c r="Q64" s="295"/>
      <c r="R64" s="295"/>
      <c r="S64" s="13"/>
      <c r="T64" s="13"/>
      <c r="U64" s="13"/>
      <c r="V64" s="13"/>
      <c r="W64" s="13"/>
      <c r="X64" s="13"/>
      <c r="Y64" s="13"/>
      <c r="Z64" s="13"/>
      <c r="AA64" s="13"/>
      <c r="AB64" s="13"/>
      <c r="AC64" s="13"/>
      <c r="AD64" s="13"/>
      <c r="AE64" s="13"/>
    </row>
    <row r="65" spans="1:31" s="12" customFormat="1" ht="15" customHeight="1" hidden="1">
      <c r="A65" s="13"/>
      <c r="B65" s="39"/>
      <c r="C65" s="529"/>
      <c r="D65" s="16" t="s">
        <v>100</v>
      </c>
      <c r="E65" s="24" t="str">
        <f>IF(SteamKettles="Yes","Not Estimated","N/A")</f>
        <v>N/A</v>
      </c>
      <c r="F65" s="977" t="s">
        <v>423</v>
      </c>
      <c r="G65" s="978"/>
      <c r="H65" s="978"/>
      <c r="I65" s="978"/>
      <c r="J65" s="39"/>
      <c r="K65" s="39"/>
      <c r="L65" s="39"/>
      <c r="M65" s="13"/>
      <c r="N65" s="13"/>
      <c r="O65" s="295"/>
      <c r="P65" s="295"/>
      <c r="Q65" s="295"/>
      <c r="R65" s="295"/>
      <c r="S65" s="13"/>
      <c r="T65" s="13"/>
      <c r="U65" s="13"/>
      <c r="V65" s="13"/>
      <c r="W65" s="13"/>
      <c r="X65" s="13"/>
      <c r="Y65" s="13"/>
      <c r="Z65" s="13"/>
      <c r="AA65" s="13"/>
      <c r="AB65" s="13"/>
      <c r="AC65" s="13"/>
      <c r="AD65" s="13"/>
      <c r="AE65" s="13"/>
    </row>
    <row r="66" spans="1:31" s="12" customFormat="1" ht="15" customHeight="1" hidden="1">
      <c r="A66" s="13"/>
      <c r="B66" s="39"/>
      <c r="C66" s="529"/>
      <c r="D66" s="16" t="s">
        <v>101</v>
      </c>
      <c r="E66" s="24" t="str">
        <f>IF(DipperWells="Yes",ROUNDDOWN(SUM(O46:O47),-3),"N/A")</f>
        <v>N/A</v>
      </c>
      <c r="F66" s="39"/>
      <c r="G66" s="39"/>
      <c r="H66" s="39"/>
      <c r="I66" s="39"/>
      <c r="J66" s="39"/>
      <c r="K66" s="39"/>
      <c r="L66" s="39"/>
      <c r="M66" s="13"/>
      <c r="N66" s="13"/>
      <c r="O66" s="295"/>
      <c r="P66" s="295"/>
      <c r="Q66" s="295"/>
      <c r="R66" s="295"/>
      <c r="S66" s="13"/>
      <c r="T66" s="13"/>
      <c r="U66" s="13"/>
      <c r="V66" s="13"/>
      <c r="W66" s="13"/>
      <c r="X66" s="13"/>
      <c r="Y66" s="13"/>
      <c r="Z66" s="13"/>
      <c r="AA66" s="13"/>
      <c r="AB66" s="13"/>
      <c r="AC66" s="13"/>
      <c r="AD66" s="13"/>
      <c r="AE66" s="13"/>
    </row>
    <row r="67" spans="1:31" s="12" customFormat="1" ht="15" customHeight="1" hidden="1">
      <c r="A67" s="13"/>
      <c r="B67" s="39"/>
      <c r="C67" s="529"/>
      <c r="D67" s="16" t="s">
        <v>384</v>
      </c>
      <c r="E67" s="24" t="str">
        <f>IF(GarbageDisposals="Yes",IF(OR(E53="Food Grinder",E54="Food Grinder"),ROUNDDOWN(SUM(O53:O54),-3),"Not Estimated"),"N/A")</f>
        <v>N/A</v>
      </c>
      <c r="F67" s="39"/>
      <c r="G67" s="39"/>
      <c r="H67" s="39"/>
      <c r="I67" s="39"/>
      <c r="J67" s="39"/>
      <c r="K67" s="39"/>
      <c r="L67" s="39"/>
      <c r="M67" s="13"/>
      <c r="N67" s="13"/>
      <c r="O67" s="295"/>
      <c r="P67" s="295"/>
      <c r="Q67" s="295"/>
      <c r="R67" s="295"/>
      <c r="S67" s="13"/>
      <c r="T67" s="13"/>
      <c r="U67" s="13"/>
      <c r="V67" s="13"/>
      <c r="W67" s="13"/>
      <c r="X67" s="13"/>
      <c r="Y67" s="13"/>
      <c r="Z67" s="13"/>
      <c r="AA67" s="13"/>
      <c r="AB67" s="13"/>
      <c r="AC67" s="13"/>
      <c r="AD67" s="13"/>
      <c r="AE67" s="13"/>
    </row>
    <row r="68" spans="1:31" s="12" customFormat="1" ht="15" customHeight="1" hidden="1">
      <c r="A68" s="13"/>
      <c r="B68" s="39"/>
      <c r="C68" s="529"/>
      <c r="D68" s="16" t="s">
        <v>338</v>
      </c>
      <c r="E68" s="461">
        <f>SUM(E62:E67)</f>
        <v>0</v>
      </c>
      <c r="F68" s="39"/>
      <c r="G68" s="39"/>
      <c r="H68" s="39"/>
      <c r="I68" s="39"/>
      <c r="J68" s="39"/>
      <c r="K68" s="39"/>
      <c r="L68" s="39"/>
      <c r="M68" s="13"/>
      <c r="N68" s="13"/>
      <c r="O68" s="295"/>
      <c r="P68" s="295"/>
      <c r="Q68" s="295"/>
      <c r="R68" s="295"/>
      <c r="S68" s="13"/>
      <c r="T68" s="13"/>
      <c r="U68" s="13"/>
      <c r="V68" s="13"/>
      <c r="W68" s="13"/>
      <c r="X68" s="13"/>
      <c r="Y68" s="13"/>
      <c r="Z68" s="13"/>
      <c r="AA68" s="13"/>
      <c r="AB68" s="13"/>
      <c r="AC68" s="13"/>
      <c r="AD68" s="13"/>
      <c r="AE68" s="13"/>
    </row>
    <row r="69" spans="1:31" s="12" customFormat="1" ht="15" hidden="1">
      <c r="A69" s="22"/>
      <c r="B69" s="39"/>
      <c r="C69" s="16"/>
      <c r="D69" s="16"/>
      <c r="E69" s="16"/>
      <c r="F69" s="44"/>
      <c r="G69" s="44"/>
      <c r="H69" s="39"/>
      <c r="I69" s="39"/>
      <c r="J69" s="39"/>
      <c r="K69" s="39"/>
      <c r="L69" s="39"/>
      <c r="M69" s="13"/>
      <c r="N69" s="13"/>
      <c r="O69" s="295"/>
      <c r="P69" s="295"/>
      <c r="Q69" s="295"/>
      <c r="R69" s="295"/>
      <c r="S69" s="13"/>
      <c r="T69" s="13"/>
      <c r="U69" s="13"/>
      <c r="V69" s="13"/>
      <c r="W69" s="13"/>
      <c r="X69" s="13"/>
      <c r="Y69" s="13"/>
      <c r="Z69" s="13"/>
      <c r="AA69" s="13"/>
      <c r="AB69" s="13"/>
      <c r="AC69" s="13"/>
      <c r="AD69" s="13"/>
      <c r="AE69" s="13"/>
    </row>
    <row r="70" spans="1:31" s="389" customFormat="1" ht="36" customHeight="1" hidden="1">
      <c r="A70" s="50"/>
      <c r="B70" s="776"/>
      <c r="C70" s="969" t="s">
        <v>64</v>
      </c>
      <c r="D70" s="969"/>
      <c r="E70" s="969"/>
      <c r="F70" s="969"/>
      <c r="G70" s="969"/>
      <c r="H70" s="969"/>
      <c r="I70" s="776"/>
      <c r="J70" s="776"/>
      <c r="K70" s="776"/>
      <c r="L70" s="776"/>
      <c r="M70" s="50"/>
      <c r="N70" s="50"/>
      <c r="O70" s="820"/>
      <c r="P70" s="620"/>
      <c r="Q70" s="620"/>
      <c r="R70" s="620"/>
      <c r="S70" s="50"/>
      <c r="T70" s="50"/>
      <c r="U70" s="50"/>
      <c r="V70" s="50"/>
      <c r="W70" s="50"/>
      <c r="X70" s="50"/>
      <c r="Y70" s="50"/>
      <c r="Z70" s="50"/>
      <c r="AA70" s="50"/>
      <c r="AB70" s="50"/>
      <c r="AC70" s="50"/>
      <c r="AD70" s="50"/>
      <c r="AE70" s="50"/>
    </row>
    <row r="71" spans="1:68" ht="81.75" customHeight="1" hidden="1">
      <c r="A71" s="13"/>
      <c r="B71" s="39"/>
      <c r="C71" s="792" t="s">
        <v>760</v>
      </c>
      <c r="D71" s="975" t="str">
        <f>"By replacing your standard single-pass water-cooled ice makers, you could save more than "&amp;TEXT(ROUNDDOWN(SUM(R17:R19),-2),"#,##0")&amp;" gallons of water per year that is currently used for cooling purposes. Moreover, by replacing your existing, water-cooled ice makers with ENERGY STAR qualified models, you can save an additional "&amp;TEXT(ROUNDDOWN(SUM(P17:P19),-2),"#,##0")&amp;" gallons of water and "&amp;TEXT(ROUND(SUM(Q17:Q19),-2),"#,##0")&amp;" kilowatt-hours of electricity annually from the operation of the equipment, saving you a total of about $"&amp;TEXT(UtilityCostSavings,"#,##0")&amp;" per year in utility costs. "&amp;"If replacing existing ice makers is not feasible, modify them to operate on a closed loop that recirculates the cooling water through a cooling tower or heat exchanger. "&amp;"If eliminating single-pass cooling for your ice makers is not possible, consider reusing the cooling water for other applications where non-potable water could be used."</f>
        <v>By replacing your standard single-pass water-cooled ice makers, you could save more than 0 gallons of water per year that is currently used for cooling purposes. Moreover, by replacing your existing, water-cooled ice makers with ENERGY STAR qualified models, you can save an additional 0 gallons of water and 0 kilowatt-hours of electricity annually from the operation of the equipment, saving you a total of about $0 per year in utility costs. If replacing existing ice makers is not feasible, modify them to operate on a closed loop that recirculates the cooling water through a cooling tower or heat exchanger. If eliminating single-pass cooling for your ice makers is not possible, consider reusing the cooling water for other applications where non-potable water could be used.</v>
      </c>
      <c r="E71" s="975"/>
      <c r="F71" s="975"/>
      <c r="G71" s="975"/>
      <c r="H71" s="975"/>
      <c r="I71" s="975"/>
      <c r="J71" s="975"/>
      <c r="K71" s="975"/>
      <c r="L71" s="39"/>
      <c r="M71" s="13"/>
      <c r="N71" s="13"/>
      <c r="O71" s="842">
        <f>ROUNDDOWN(SUM(P17:P19,R17:R19)*(ConvertedWaterRate+ConvertedWastewaterRate),-2)+ROUND(SUM(Q17:Q19),-3)*ConvertedElectricityRate</f>
        <v>0</v>
      </c>
      <c r="P71" s="821"/>
      <c r="Q71" s="295"/>
      <c r="R71" s="295"/>
      <c r="S71" s="13"/>
      <c r="T71" s="13"/>
      <c r="U71" s="13"/>
      <c r="V71" s="13"/>
      <c r="W71" s="13"/>
      <c r="X71" s="13"/>
      <c r="Y71" s="13"/>
      <c r="Z71" s="13"/>
      <c r="AA71" s="13"/>
      <c r="AB71" s="13"/>
      <c r="AC71" s="13"/>
      <c r="AD71" s="13"/>
      <c r="AE71" s="13"/>
      <c r="AG71" s="12"/>
      <c r="AH71" s="12"/>
      <c r="AI71" s="12"/>
      <c r="AJ71" s="12"/>
      <c r="AK71" s="12"/>
      <c r="AL71" s="12"/>
      <c r="AM71" s="12"/>
      <c r="AN71" s="12"/>
      <c r="AO71" s="12"/>
      <c r="AP71" s="12"/>
      <c r="AQ71" s="12"/>
      <c r="AR71" s="12"/>
      <c r="AS71" s="12"/>
      <c r="AT71" s="12"/>
      <c r="AU71" s="12"/>
      <c r="AV71" s="12"/>
      <c r="AW71" s="12"/>
      <c r="AX71" s="12"/>
      <c r="AY71" s="12"/>
      <c r="AZ71" s="12"/>
      <c r="BA71" s="12"/>
      <c r="BB71" s="12"/>
      <c r="BC71" s="12"/>
      <c r="BD71" s="12"/>
      <c r="BE71" s="12"/>
      <c r="BF71" s="12"/>
      <c r="BG71" s="12"/>
      <c r="BH71" s="12"/>
      <c r="BI71" s="12"/>
      <c r="BJ71" s="12"/>
      <c r="BK71" s="12"/>
      <c r="BL71" s="12"/>
      <c r="BM71" s="12"/>
      <c r="BN71" s="12"/>
      <c r="BO71" s="12"/>
      <c r="BP71" s="12"/>
    </row>
    <row r="72" spans="1:68" ht="38.25" customHeight="1" hidden="1">
      <c r="A72" s="13"/>
      <c r="B72" s="39"/>
      <c r="C72" s="792" t="s">
        <v>760</v>
      </c>
      <c r="D72" s="975" t="str">
        <f>"Consider replacing your existing ice makers with ENERGY STAR qualified models. This can help you save approximately "&amp;TEXT(ROUNDDOWN(SUM(P17:P19),-2),"#,##0")&amp;" gallons of water and "&amp;TEXT(ROUND(SUM(Q17:Q19),-2),"#,##0")&amp;" kilowatt-hours of electricity annually, saving you about $"&amp;TEXT(ROUND(ROUNDDOWN(SUM(P17:P19),-2)*(ConvertedWaterRate+ConvertedWastewaterRate)+ROUND(SUM(Q17:Q19),-3)*ConvertedElectricityRate,-1),"#,##0")&amp;" per year in utility costs."</f>
        <v>Consider replacing your existing ice makers with ENERGY STAR qualified models. This can help you save approximately 0 gallons of water and 0 kilowatt-hours of electricity annually, saving you about $0 per year in utility costs.</v>
      </c>
      <c r="E72" s="975"/>
      <c r="F72" s="975"/>
      <c r="G72" s="975"/>
      <c r="H72" s="975"/>
      <c r="I72" s="975"/>
      <c r="J72" s="975"/>
      <c r="K72" s="975"/>
      <c r="L72" s="39"/>
      <c r="M72" s="13"/>
      <c r="N72" s="13"/>
      <c r="O72" s="821"/>
      <c r="P72" s="295"/>
      <c r="Q72" s="295"/>
      <c r="R72" s="295"/>
      <c r="S72" s="13"/>
      <c r="T72" s="13"/>
      <c r="U72" s="13"/>
      <c r="V72" s="13"/>
      <c r="W72" s="13"/>
      <c r="X72" s="13"/>
      <c r="Y72" s="13"/>
      <c r="Z72" s="13"/>
      <c r="AA72" s="13"/>
      <c r="AB72" s="13"/>
      <c r="AC72" s="13"/>
      <c r="AD72" s="13"/>
      <c r="AE72" s="13"/>
      <c r="AG72" s="12"/>
      <c r="AH72" s="12"/>
      <c r="AI72" s="12"/>
      <c r="AJ72" s="12"/>
      <c r="AK72" s="12"/>
      <c r="AL72" s="12"/>
      <c r="AM72" s="12"/>
      <c r="AN72" s="12"/>
      <c r="AO72" s="12"/>
      <c r="AP72" s="12"/>
      <c r="AQ72" s="12"/>
      <c r="AR72" s="12"/>
      <c r="AS72" s="12"/>
      <c r="AT72" s="12"/>
      <c r="AU72" s="12"/>
      <c r="AV72" s="12"/>
      <c r="AW72" s="12"/>
      <c r="AX72" s="12"/>
      <c r="AY72" s="12"/>
      <c r="AZ72" s="12"/>
      <c r="BA72" s="12"/>
      <c r="BB72" s="12"/>
      <c r="BC72" s="12"/>
      <c r="BD72" s="12"/>
      <c r="BE72" s="12"/>
      <c r="BF72" s="12"/>
      <c r="BG72" s="12"/>
      <c r="BH72" s="12"/>
      <c r="BI72" s="12"/>
      <c r="BJ72" s="12"/>
      <c r="BK72" s="12"/>
      <c r="BL72" s="12"/>
      <c r="BM72" s="12"/>
      <c r="BN72" s="12"/>
      <c r="BO72" s="12"/>
      <c r="BP72" s="12"/>
    </row>
    <row r="73" spans="1:68" ht="46.5" customHeight="1" hidden="1">
      <c r="A73" s="13"/>
      <c r="B73" s="39"/>
      <c r="C73" s="792" t="s">
        <v>760</v>
      </c>
      <c r="D73" s="975" t="str">
        <f>"Replacing your existing inefficient steam cookers with ENERGY STAR qualified models can reduce your water use by approximately "&amp;TEXT(ROUNDDOWN(SUM(P25:P26),-2),"#,##0")&amp;" gallons per year, saving you about $"&amp;TEXT(ROUNDDOWN(SUM(P25:P26)*(ConvertedWaterRate+ConvertedWastewaterRate),-2),"#,##0")&amp;" in utility costs annually. "&amp;"ENERGY STAR qualified steam cookers reduce water use by 90 percent and are as much as 50 percent more energy-efficient, reducing energy costs as well."</f>
        <v>Replacing your existing inefficient steam cookers with ENERGY STAR qualified models can reduce your water use by approximately 0 gallons per year, saving you about $0 in utility costs annually. ENERGY STAR qualified steam cookers reduce water use by 90 percent and are as much as 50 percent more energy-efficient, reducing energy costs as well.</v>
      </c>
      <c r="E73" s="975"/>
      <c r="F73" s="975"/>
      <c r="G73" s="975"/>
      <c r="H73" s="975"/>
      <c r="I73" s="975"/>
      <c r="J73" s="975"/>
      <c r="L73" s="39"/>
      <c r="M73" s="13"/>
      <c r="N73" s="13"/>
      <c r="O73" s="821"/>
      <c r="P73" s="295"/>
      <c r="Q73" s="295"/>
      <c r="R73" s="295"/>
      <c r="S73" s="13"/>
      <c r="T73" s="13"/>
      <c r="U73" s="13"/>
      <c r="V73" s="13"/>
      <c r="W73" s="13"/>
      <c r="X73" s="13"/>
      <c r="Y73" s="13"/>
      <c r="Z73" s="13"/>
      <c r="AA73" s="13"/>
      <c r="AB73" s="13"/>
      <c r="AC73" s="13"/>
      <c r="AD73" s="13"/>
      <c r="AE73" s="13"/>
      <c r="AG73" s="12"/>
      <c r="AH73" s="12"/>
      <c r="AI73" s="12"/>
      <c r="AJ73" s="12"/>
      <c r="AK73" s="12"/>
      <c r="AL73" s="12"/>
      <c r="AM73" s="12"/>
      <c r="AN73" s="12"/>
      <c r="AO73" s="12"/>
      <c r="AP73" s="12"/>
      <c r="AQ73" s="12"/>
      <c r="AR73" s="12"/>
      <c r="AS73" s="12"/>
      <c r="AT73" s="12"/>
      <c r="AU73" s="12"/>
      <c r="AV73" s="12"/>
      <c r="AW73" s="12"/>
      <c r="AX73" s="12"/>
      <c r="AY73" s="12"/>
      <c r="AZ73" s="12"/>
      <c r="BA73" s="12"/>
      <c r="BB73" s="12"/>
      <c r="BC73" s="12"/>
      <c r="BD73" s="12"/>
      <c r="BE73" s="12"/>
      <c r="BF73" s="12"/>
      <c r="BG73" s="12"/>
      <c r="BH73" s="12"/>
      <c r="BI73" s="12"/>
      <c r="BJ73" s="12"/>
      <c r="BK73" s="12"/>
      <c r="BL73" s="12"/>
      <c r="BM73" s="12"/>
      <c r="BN73" s="12"/>
      <c r="BO73" s="12"/>
      <c r="BP73" s="12"/>
    </row>
    <row r="74" spans="1:68" ht="36" customHeight="1" hidden="1">
      <c r="A74" s="13"/>
      <c r="B74" s="39"/>
      <c r="C74" s="792" t="s">
        <v>760</v>
      </c>
      <c r="D74" s="975" t="str">
        <f>"Consider replacing your existing boiler-based combination ovens with connectionless models that use 15 gallons of water per hour or less. "&amp;"This can reduce your combination oven’s water use by approximately "&amp;TEXT(ROUNDDOWN(SUM(P32:P33),-2),"#,##0")&amp;" gallons or more per year, saving you about $"&amp;TEXT(ROUNDDOWN(SUM(P32:P33),-2)*(ConvertedWaterRate+ConvertedWastewaterRate),"#,##0")&amp;" in utility costs annually."</f>
        <v>Consider replacing your existing boiler-based combination ovens with connectionless models that use 15 gallons of water per hour or less. This can reduce your combination oven’s water use by approximately 0 gallons or more per year, saving you about $0 in utility costs annually.</v>
      </c>
      <c r="E74" s="975"/>
      <c r="F74" s="975"/>
      <c r="G74" s="975"/>
      <c r="H74" s="975"/>
      <c r="I74" s="975"/>
      <c r="J74" s="975"/>
      <c r="K74" s="975"/>
      <c r="L74" s="39"/>
      <c r="M74" s="13"/>
      <c r="N74" s="13"/>
      <c r="O74" s="821"/>
      <c r="P74" s="295"/>
      <c r="Q74" s="295"/>
      <c r="R74" s="295"/>
      <c r="S74" s="13"/>
      <c r="T74" s="13"/>
      <c r="U74" s="13"/>
      <c r="V74" s="13"/>
      <c r="W74" s="13"/>
      <c r="X74" s="13"/>
      <c r="Y74" s="13"/>
      <c r="Z74" s="13"/>
      <c r="AA74" s="13"/>
      <c r="AB74" s="13"/>
      <c r="AC74" s="13"/>
      <c r="AD74" s="13"/>
      <c r="AE74" s="13"/>
      <c r="AG74" s="12"/>
      <c r="AH74" s="12"/>
      <c r="AI74" s="12"/>
      <c r="AJ74" s="12"/>
      <c r="AK74" s="12"/>
      <c r="AL74" s="12"/>
      <c r="AM74" s="12"/>
      <c r="AN74" s="12"/>
      <c r="AO74" s="12"/>
      <c r="AP74" s="12"/>
      <c r="AQ74" s="12"/>
      <c r="AR74" s="12"/>
      <c r="AS74" s="12"/>
      <c r="AT74" s="12"/>
      <c r="AU74" s="12"/>
      <c r="AV74" s="12"/>
      <c r="AW74" s="12"/>
      <c r="AX74" s="12"/>
      <c r="AY74" s="12"/>
      <c r="AZ74" s="12"/>
      <c r="BA74" s="12"/>
      <c r="BB74" s="12"/>
      <c r="BC74" s="12"/>
      <c r="BD74" s="12"/>
      <c r="BE74" s="12"/>
      <c r="BF74" s="12"/>
      <c r="BG74" s="12"/>
      <c r="BH74" s="12"/>
      <c r="BI74" s="12"/>
      <c r="BJ74" s="12"/>
      <c r="BK74" s="12"/>
      <c r="BL74" s="12"/>
      <c r="BM74" s="12"/>
      <c r="BN74" s="12"/>
      <c r="BO74" s="12"/>
      <c r="BP74" s="12"/>
    </row>
    <row r="75" spans="1:68" ht="48" customHeight="1" hidden="1">
      <c r="A75" s="13"/>
      <c r="B75" s="39"/>
      <c r="C75" s="792" t="s">
        <v>760</v>
      </c>
      <c r="D75" s="975" t="s">
        <v>722</v>
      </c>
      <c r="E75" s="975"/>
      <c r="F75" s="975"/>
      <c r="G75" s="975"/>
      <c r="H75" s="975"/>
      <c r="I75" s="975"/>
      <c r="J75" s="975"/>
      <c r="K75" s="975"/>
      <c r="L75" s="39"/>
      <c r="M75" s="13"/>
      <c r="N75" s="13"/>
      <c r="O75" s="821"/>
      <c r="P75" s="295"/>
      <c r="Q75" s="295"/>
      <c r="R75" s="295"/>
      <c r="S75" s="13"/>
      <c r="T75" s="13"/>
      <c r="U75" s="13"/>
      <c r="V75" s="13"/>
      <c r="W75" s="13"/>
      <c r="X75" s="13"/>
      <c r="Y75" s="13"/>
      <c r="Z75" s="13"/>
      <c r="AA75" s="13"/>
      <c r="AB75" s="13"/>
      <c r="AC75" s="13"/>
      <c r="AD75" s="13"/>
      <c r="AE75" s="13"/>
      <c r="AG75" s="12"/>
      <c r="AH75" s="12"/>
      <c r="AI75" s="12"/>
      <c r="AJ75" s="12"/>
      <c r="AK75" s="12"/>
      <c r="AL75" s="12"/>
      <c r="AM75" s="12"/>
      <c r="AN75" s="12"/>
      <c r="AO75" s="12"/>
      <c r="AP75" s="12"/>
      <c r="AQ75" s="12"/>
      <c r="AR75" s="12"/>
      <c r="AS75" s="12"/>
      <c r="AT75" s="12"/>
      <c r="AU75" s="12"/>
      <c r="AV75" s="12"/>
      <c r="AW75" s="12"/>
      <c r="AX75" s="12"/>
      <c r="AY75" s="12"/>
      <c r="AZ75" s="12"/>
      <c r="BA75" s="12"/>
      <c r="BB75" s="12"/>
      <c r="BC75" s="12"/>
      <c r="BD75" s="12"/>
      <c r="BE75" s="12"/>
      <c r="BF75" s="12"/>
      <c r="BG75" s="12"/>
      <c r="BH75" s="12"/>
      <c r="BI75" s="12"/>
      <c r="BJ75" s="12"/>
      <c r="BK75" s="12"/>
      <c r="BL75" s="12"/>
      <c r="BM75" s="12"/>
      <c r="BN75" s="12"/>
      <c r="BO75" s="12"/>
      <c r="BP75" s="12"/>
    </row>
    <row r="76" spans="1:68" s="390" customFormat="1" ht="33" customHeight="1" hidden="1">
      <c r="A76" s="50"/>
      <c r="B76" s="631"/>
      <c r="C76" s="793" t="s">
        <v>760</v>
      </c>
      <c r="D76" s="975" t="s">
        <v>723</v>
      </c>
      <c r="E76" s="975"/>
      <c r="F76" s="975"/>
      <c r="G76" s="975"/>
      <c r="H76" s="975"/>
      <c r="I76" s="975"/>
      <c r="J76" s="975"/>
      <c r="K76" s="975"/>
      <c r="L76" s="631"/>
      <c r="M76" s="50"/>
      <c r="N76" s="50"/>
      <c r="O76" s="821"/>
      <c r="P76" s="620"/>
      <c r="Q76" s="620"/>
      <c r="R76" s="620"/>
      <c r="S76" s="50"/>
      <c r="T76" s="50"/>
      <c r="U76" s="50"/>
      <c r="V76" s="50"/>
      <c r="W76" s="50"/>
      <c r="X76" s="50"/>
      <c r="Y76" s="50"/>
      <c r="Z76" s="50"/>
      <c r="AA76" s="50"/>
      <c r="AB76" s="50"/>
      <c r="AC76" s="50"/>
      <c r="AD76" s="50"/>
      <c r="AE76" s="50"/>
      <c r="AF76" s="389"/>
      <c r="AG76" s="389"/>
      <c r="AH76" s="389"/>
      <c r="AI76" s="389"/>
      <c r="AJ76" s="389"/>
      <c r="AK76" s="389"/>
      <c r="AL76" s="389"/>
      <c r="AM76" s="389"/>
      <c r="AN76" s="389"/>
      <c r="AO76" s="389"/>
      <c r="AP76" s="389"/>
      <c r="AQ76" s="389"/>
      <c r="AR76" s="389"/>
      <c r="AS76" s="389"/>
      <c r="AT76" s="389"/>
      <c r="AU76" s="389"/>
      <c r="AV76" s="389"/>
      <c r="AW76" s="389"/>
      <c r="AX76" s="389"/>
      <c r="AY76" s="389"/>
      <c r="AZ76" s="389"/>
      <c r="BA76" s="389"/>
      <c r="BB76" s="389"/>
      <c r="BC76" s="389"/>
      <c r="BD76" s="389"/>
      <c r="BE76" s="389"/>
      <c r="BF76" s="389"/>
      <c r="BG76" s="389"/>
      <c r="BH76" s="389"/>
      <c r="BI76" s="389"/>
      <c r="BJ76" s="389"/>
      <c r="BK76" s="389"/>
      <c r="BL76" s="389"/>
      <c r="BM76" s="389"/>
      <c r="BN76" s="389"/>
      <c r="BO76" s="389"/>
      <c r="BP76" s="389"/>
    </row>
    <row r="77" spans="1:68" ht="48.75" customHeight="1" hidden="1">
      <c r="A77" s="13"/>
      <c r="B77" s="39"/>
      <c r="C77" s="792" t="s">
        <v>760</v>
      </c>
      <c r="D77" s="970" t="str">
        <f>"For your dipper wells, consider installing an in-line flow restrictor to reduce the flow rate to "&amp;$G$90&amp;" gallons per minute. "&amp;"This will help you reduce water use from dipper wells by approximately "&amp;TEXT(ROUNDDOWN(SUM(P46:P47),-2),"#,##0")&amp;" gallons per year, saving you about $"&amp;TEXT(ROUNDDOWN(SUM(P46:P47)*(ConvertedWaterRate+ConvertedWastewaterRate),-2),"#,##0")&amp;" in utility costs annually. Alternatively, consider replacing dipper wells with push-button, metered faucets for rinsing utensils."</f>
        <v>For your dipper wells, consider installing an in-line flow restrictor to reduce the flow rate to 0.3 gallons per minute. This will help you reduce water use from dipper wells by approximately 0 gallons per year, saving you about $0 in utility costs annually. Alternatively, consider replacing dipper wells with push-button, metered faucets for rinsing utensils.</v>
      </c>
      <c r="E77" s="970"/>
      <c r="F77" s="970"/>
      <c r="G77" s="970"/>
      <c r="H77" s="970"/>
      <c r="I77" s="970"/>
      <c r="J77" s="970"/>
      <c r="K77" s="970"/>
      <c r="L77" s="39"/>
      <c r="M77" s="13"/>
      <c r="N77" s="13"/>
      <c r="O77" s="821"/>
      <c r="P77" s="295"/>
      <c r="Q77" s="295"/>
      <c r="R77" s="295"/>
      <c r="S77" s="13"/>
      <c r="T77" s="13"/>
      <c r="U77" s="13"/>
      <c r="V77" s="13"/>
      <c r="W77" s="13"/>
      <c r="X77" s="13"/>
      <c r="Y77" s="13"/>
      <c r="Z77" s="13"/>
      <c r="AA77" s="13"/>
      <c r="AB77" s="13"/>
      <c r="AC77" s="13"/>
      <c r="AD77" s="13"/>
      <c r="AE77" s="13"/>
      <c r="AG77" s="12"/>
      <c r="AH77" s="12"/>
      <c r="AI77" s="12"/>
      <c r="AJ77" s="12"/>
      <c r="AK77" s="12"/>
      <c r="AL77" s="12"/>
      <c r="AM77" s="12"/>
      <c r="AN77" s="12"/>
      <c r="AO77" s="12"/>
      <c r="AP77" s="12"/>
      <c r="AQ77" s="12"/>
      <c r="AR77" s="12"/>
      <c r="AS77" s="12"/>
      <c r="AT77" s="12"/>
      <c r="AU77" s="12"/>
      <c r="AV77" s="12"/>
      <c r="AW77" s="12"/>
      <c r="AX77" s="12"/>
      <c r="AY77" s="12"/>
      <c r="AZ77" s="12"/>
      <c r="BA77" s="12"/>
      <c r="BB77" s="12"/>
      <c r="BC77" s="12"/>
      <c r="BD77" s="12"/>
      <c r="BE77" s="12"/>
      <c r="BF77" s="12"/>
      <c r="BG77" s="12"/>
      <c r="BH77" s="12"/>
      <c r="BI77" s="12"/>
      <c r="BJ77" s="12"/>
      <c r="BK77" s="12"/>
      <c r="BL77" s="12"/>
      <c r="BM77" s="12"/>
      <c r="BN77" s="12"/>
      <c r="BO77" s="12"/>
      <c r="BP77" s="12"/>
    </row>
    <row r="78" spans="1:68" ht="65.25" customHeight="1" hidden="1">
      <c r="A78" s="13"/>
      <c r="B78" s="39"/>
      <c r="C78" s="792" t="s">
        <v>760</v>
      </c>
      <c r="D78" s="970" t="str">
        <f>"Consider installing a device on your food disposal that monitors the disposal motor’s load and regulates water use. "&amp;"This device can save you approximately "&amp;TEXT(ROUNDDOWN(SUM(P53:P54),-2),"#,##0")&amp;" gallons of water per year and about $"&amp;TEXT(ROUNDDOWN(SUM(P53:P54)*(ConvertedWaterRate+ConvertedWastewaterRate),-2),"#,##0")&amp;" in utility costs annually. Also consider installing a timer to stop flow of water to the garbage disposal after 15 minutes, "&amp;"so that the user must periodically reactivate the system. "&amp;"If you plan to replace your food disposal, consider installing a food pulper or food strainer instead of a standard food grinder, since they use less water for food disposal."</f>
        <v>Consider installing a device on your food disposal that monitors the disposal motor’s load and regulates water use. This device can save you approximately 0 gallons of water per year and about $0 in utility costs annually. Also consider installing a timer to stop flow of water to the garbage disposal after 15 minutes, so that the user must periodically reactivate the system. If you plan to replace your food disposal, consider installing a food pulper or food strainer instead of a standard food grinder, since they use less water for food disposal.</v>
      </c>
      <c r="E78" s="970"/>
      <c r="F78" s="970"/>
      <c r="G78" s="970"/>
      <c r="H78" s="970"/>
      <c r="I78" s="970"/>
      <c r="J78" s="970"/>
      <c r="K78" s="970"/>
      <c r="L78" s="39"/>
      <c r="M78" s="13"/>
      <c r="N78" s="13"/>
      <c r="O78" s="821"/>
      <c r="P78" s="295"/>
      <c r="Q78" s="295"/>
      <c r="R78" s="295"/>
      <c r="S78" s="13"/>
      <c r="T78" s="13"/>
      <c r="U78" s="13"/>
      <c r="V78" s="13"/>
      <c r="W78" s="13"/>
      <c r="X78" s="13"/>
      <c r="Y78" s="13"/>
      <c r="Z78" s="13"/>
      <c r="AA78" s="13"/>
      <c r="AB78" s="13"/>
      <c r="AC78" s="13"/>
      <c r="AD78" s="13"/>
      <c r="AE78" s="13"/>
      <c r="AG78" s="12"/>
      <c r="AH78" s="12"/>
      <c r="AI78" s="12"/>
      <c r="AJ78" s="12"/>
      <c r="AK78" s="12"/>
      <c r="AL78" s="12"/>
      <c r="AM78" s="12"/>
      <c r="AN78" s="12"/>
      <c r="AO78" s="12"/>
      <c r="AP78" s="12"/>
      <c r="AQ78" s="12"/>
      <c r="AR78" s="12"/>
      <c r="AS78" s="12"/>
      <c r="AT78" s="12"/>
      <c r="AU78" s="12"/>
      <c r="AV78" s="12"/>
      <c r="AW78" s="12"/>
      <c r="AX78" s="12"/>
      <c r="AY78" s="12"/>
      <c r="AZ78" s="12"/>
      <c r="BA78" s="12"/>
      <c r="BB78" s="12"/>
      <c r="BC78" s="12"/>
      <c r="BD78" s="12"/>
      <c r="BE78" s="12"/>
      <c r="BF78" s="12"/>
      <c r="BG78" s="12"/>
      <c r="BH78" s="12"/>
      <c r="BI78" s="12"/>
      <c r="BJ78" s="12"/>
      <c r="BK78" s="12"/>
      <c r="BL78" s="12"/>
      <c r="BM78" s="12"/>
      <c r="BN78" s="12"/>
      <c r="BO78" s="12"/>
      <c r="BP78" s="12"/>
    </row>
    <row r="79" spans="1:68" ht="36.75" customHeight="1" hidden="1">
      <c r="A79" s="13"/>
      <c r="B79" s="39"/>
      <c r="C79" s="792" t="s">
        <v>760</v>
      </c>
      <c r="D79" s="975" t="s">
        <v>724</v>
      </c>
      <c r="E79" s="975"/>
      <c r="F79" s="975"/>
      <c r="G79" s="975"/>
      <c r="H79" s="975"/>
      <c r="I79" s="975"/>
      <c r="J79" s="975"/>
      <c r="K79" s="975"/>
      <c r="L79" s="39"/>
      <c r="M79" s="13"/>
      <c r="N79" s="13"/>
      <c r="O79" s="821"/>
      <c r="P79" s="295"/>
      <c r="Q79" s="295"/>
      <c r="R79" s="295"/>
      <c r="S79" s="13"/>
      <c r="T79" s="13"/>
      <c r="U79" s="13"/>
      <c r="V79" s="13"/>
      <c r="W79" s="13"/>
      <c r="X79" s="13"/>
      <c r="Y79" s="13"/>
      <c r="Z79" s="13"/>
      <c r="AA79" s="13"/>
      <c r="AB79" s="13"/>
      <c r="AC79" s="13"/>
      <c r="AD79" s="13"/>
      <c r="AE79" s="13"/>
      <c r="AG79" s="12"/>
      <c r="AH79" s="12"/>
      <c r="AI79" s="12"/>
      <c r="AJ79" s="12"/>
      <c r="AK79" s="12"/>
      <c r="AL79" s="12"/>
      <c r="AM79" s="12"/>
      <c r="AN79" s="12"/>
      <c r="AO79" s="12"/>
      <c r="AP79" s="12"/>
      <c r="AQ79" s="12"/>
      <c r="AR79" s="12"/>
      <c r="AS79" s="12"/>
      <c r="AT79" s="12"/>
      <c r="AU79" s="12"/>
      <c r="AV79" s="12"/>
      <c r="AW79" s="12"/>
      <c r="AX79" s="12"/>
      <c r="AY79" s="12"/>
      <c r="AZ79" s="12"/>
      <c r="BA79" s="12"/>
      <c r="BB79" s="12"/>
      <c r="BC79" s="12"/>
      <c r="BD79" s="12"/>
      <c r="BE79" s="12"/>
      <c r="BF79" s="12"/>
      <c r="BG79" s="12"/>
      <c r="BH79" s="12"/>
      <c r="BI79" s="12"/>
      <c r="BJ79" s="12"/>
      <c r="BK79" s="12"/>
      <c r="BL79" s="12"/>
      <c r="BM79" s="12"/>
      <c r="BN79" s="12"/>
      <c r="BO79" s="12"/>
      <c r="BP79" s="12"/>
    </row>
    <row r="80" spans="1:68" ht="36.75" customHeight="1" hidden="1">
      <c r="A80" s="13"/>
      <c r="B80" s="39"/>
      <c r="C80" s="793" t="s">
        <v>760</v>
      </c>
      <c r="D80" s="975" t="s">
        <v>762</v>
      </c>
      <c r="E80" s="975"/>
      <c r="F80" s="975"/>
      <c r="G80" s="975"/>
      <c r="H80" s="975"/>
      <c r="I80" s="975"/>
      <c r="J80" s="975"/>
      <c r="K80" s="975"/>
      <c r="L80" s="39"/>
      <c r="M80" s="13"/>
      <c r="N80" s="13"/>
      <c r="O80" s="295"/>
      <c r="P80" s="295"/>
      <c r="Q80" s="295"/>
      <c r="R80" s="295"/>
      <c r="S80" s="13"/>
      <c r="T80" s="13"/>
      <c r="U80" s="13"/>
      <c r="V80" s="13"/>
      <c r="W80" s="13"/>
      <c r="X80" s="13"/>
      <c r="Y80" s="13"/>
      <c r="Z80" s="13"/>
      <c r="AA80" s="13"/>
      <c r="AB80" s="13"/>
      <c r="AC80" s="13"/>
      <c r="AD80" s="13"/>
      <c r="AE80" s="13"/>
      <c r="AG80" s="12"/>
      <c r="AH80" s="12"/>
      <c r="AI80" s="12"/>
      <c r="AJ80" s="12"/>
      <c r="AK80" s="12"/>
      <c r="AL80" s="12"/>
      <c r="AM80" s="12"/>
      <c r="AN80" s="12"/>
      <c r="AO80" s="12"/>
      <c r="AP80" s="12"/>
      <c r="AQ80" s="12"/>
      <c r="AR80" s="12"/>
      <c r="AS80" s="12"/>
      <c r="AT80" s="12"/>
      <c r="AU80" s="12"/>
      <c r="AV80" s="12"/>
      <c r="AW80" s="12"/>
      <c r="AX80" s="12"/>
      <c r="AY80" s="12"/>
      <c r="AZ80" s="12"/>
      <c r="BA80" s="12"/>
      <c r="BB80" s="12"/>
      <c r="BC80" s="12"/>
      <c r="BD80" s="12"/>
      <c r="BE80" s="12"/>
      <c r="BF80" s="12"/>
      <c r="BG80" s="12"/>
      <c r="BH80" s="12"/>
      <c r="BI80" s="12"/>
      <c r="BJ80" s="12"/>
      <c r="BK80" s="12"/>
      <c r="BL80" s="12"/>
      <c r="BM80" s="12"/>
      <c r="BN80" s="12"/>
      <c r="BO80" s="12"/>
      <c r="BP80" s="12"/>
    </row>
    <row r="81" spans="1:68" ht="36" customHeight="1" hidden="1">
      <c r="A81" s="13"/>
      <c r="B81" s="39"/>
      <c r="C81" s="793" t="s">
        <v>760</v>
      </c>
      <c r="D81" s="975" t="s">
        <v>360</v>
      </c>
      <c r="E81" s="975"/>
      <c r="F81" s="975"/>
      <c r="G81" s="975"/>
      <c r="H81" s="976" t="s">
        <v>725</v>
      </c>
      <c r="I81" s="976"/>
      <c r="J81" s="976"/>
      <c r="K81" s="976"/>
      <c r="L81" s="39"/>
      <c r="M81" s="13"/>
      <c r="N81" s="13"/>
      <c r="O81" s="295"/>
      <c r="P81" s="295"/>
      <c r="Q81" s="295"/>
      <c r="R81" s="295"/>
      <c r="S81" s="13"/>
      <c r="T81" s="13"/>
      <c r="U81" s="13"/>
      <c r="V81" s="13"/>
      <c r="W81" s="13"/>
      <c r="X81" s="13"/>
      <c r="Y81" s="13"/>
      <c r="Z81" s="13"/>
      <c r="AA81" s="13"/>
      <c r="AB81" s="13"/>
      <c r="AC81" s="13"/>
      <c r="AD81" s="13"/>
      <c r="AE81" s="13"/>
      <c r="AG81" s="12"/>
      <c r="AH81" s="12"/>
      <c r="AI81" s="12"/>
      <c r="AJ81" s="12"/>
      <c r="AK81" s="12"/>
      <c r="AL81" s="12"/>
      <c r="AM81" s="12"/>
      <c r="AN81" s="12"/>
      <c r="AO81" s="12"/>
      <c r="AP81" s="12"/>
      <c r="AQ81" s="12"/>
      <c r="AR81" s="12"/>
      <c r="AS81" s="12"/>
      <c r="AT81" s="12"/>
      <c r="AU81" s="12"/>
      <c r="AV81" s="12"/>
      <c r="AW81" s="12"/>
      <c r="AX81" s="12"/>
      <c r="AY81" s="12"/>
      <c r="AZ81" s="12"/>
      <c r="BA81" s="12"/>
      <c r="BB81" s="12"/>
      <c r="BC81" s="12"/>
      <c r="BD81" s="12"/>
      <c r="BE81" s="12"/>
      <c r="BF81" s="12"/>
      <c r="BG81" s="12"/>
      <c r="BH81" s="12"/>
      <c r="BI81" s="12"/>
      <c r="BJ81" s="12"/>
      <c r="BK81" s="12"/>
      <c r="BL81" s="12"/>
      <c r="BM81" s="12"/>
      <c r="BN81" s="12"/>
      <c r="BO81" s="12"/>
      <c r="BP81" s="12"/>
    </row>
    <row r="82" spans="1:31" s="12" customFormat="1" ht="15" hidden="1">
      <c r="A82" s="13"/>
      <c r="B82" s="46"/>
      <c r="C82" s="39"/>
      <c r="D82" s="39"/>
      <c r="E82" s="39"/>
      <c r="F82" s="39"/>
      <c r="G82" s="39"/>
      <c r="H82" s="963"/>
      <c r="I82" s="963"/>
      <c r="J82" s="963"/>
      <c r="K82" s="46"/>
      <c r="L82" s="39"/>
      <c r="M82" s="13"/>
      <c r="N82" s="13"/>
      <c r="O82" s="295"/>
      <c r="P82" s="295"/>
      <c r="Q82" s="295"/>
      <c r="R82" s="295"/>
      <c r="S82" s="13"/>
      <c r="T82" s="13"/>
      <c r="U82" s="13"/>
      <c r="V82" s="13"/>
      <c r="W82" s="13"/>
      <c r="X82" s="13"/>
      <c r="Y82" s="13"/>
      <c r="Z82" s="13"/>
      <c r="AA82" s="13"/>
      <c r="AB82" s="13"/>
      <c r="AC82" s="13"/>
      <c r="AD82" s="13"/>
      <c r="AE82" s="13"/>
    </row>
    <row r="83" spans="1:31" s="12" customFormat="1" ht="18.75" hidden="1">
      <c r="A83" s="13"/>
      <c r="B83" s="46"/>
      <c r="C83" s="956" t="s">
        <v>767</v>
      </c>
      <c r="D83" s="956"/>
      <c r="E83" s="956"/>
      <c r="F83" s="956"/>
      <c r="G83" s="456"/>
      <c r="H83" s="964"/>
      <c r="I83" s="964"/>
      <c r="J83" s="964"/>
      <c r="K83" s="46"/>
      <c r="L83" s="39"/>
      <c r="M83" s="13"/>
      <c r="N83" s="13"/>
      <c r="O83" s="295"/>
      <c r="P83" s="295"/>
      <c r="Q83" s="295"/>
      <c r="R83" s="295"/>
      <c r="S83" s="13"/>
      <c r="T83" s="13"/>
      <c r="U83" s="13"/>
      <c r="V83" s="13"/>
      <c r="W83" s="13"/>
      <c r="X83" s="13"/>
      <c r="Y83" s="13"/>
      <c r="Z83" s="13"/>
      <c r="AA83" s="13"/>
      <c r="AB83" s="13"/>
      <c r="AC83" s="13"/>
      <c r="AD83" s="13"/>
      <c r="AE83" s="13"/>
    </row>
    <row r="84" spans="1:31" s="12" customFormat="1" ht="28.5" customHeight="1" hidden="1">
      <c r="A84" s="13"/>
      <c r="B84" s="410"/>
      <c r="C84" s="934" t="s">
        <v>801</v>
      </c>
      <c r="D84" s="934"/>
      <c r="E84" s="934"/>
      <c r="F84" s="934"/>
      <c r="G84" s="934"/>
      <c r="H84" s="934"/>
      <c r="I84" s="934"/>
      <c r="J84" s="934"/>
      <c r="K84" s="934"/>
      <c r="L84" s="39"/>
      <c r="M84" s="13"/>
      <c r="N84" s="13"/>
      <c r="O84" s="13"/>
      <c r="P84" s="13"/>
      <c r="Q84" s="13"/>
      <c r="R84" s="13"/>
      <c r="S84" s="13"/>
      <c r="T84" s="13"/>
      <c r="U84" s="13"/>
      <c r="V84" s="13"/>
      <c r="W84" s="13"/>
      <c r="X84" s="13"/>
      <c r="Y84" s="13"/>
      <c r="Z84" s="13"/>
      <c r="AA84" s="13"/>
      <c r="AB84" s="13"/>
      <c r="AC84" s="13"/>
      <c r="AD84" s="13"/>
      <c r="AE84" s="13"/>
    </row>
    <row r="85" spans="1:31" s="12" customFormat="1" ht="15" hidden="1">
      <c r="A85" s="13"/>
      <c r="B85" s="39"/>
      <c r="C85" s="927" t="s">
        <v>359</v>
      </c>
      <c r="D85" s="927"/>
      <c r="E85" s="927"/>
      <c r="F85" s="928"/>
      <c r="G85" s="545">
        <v>1.5</v>
      </c>
      <c r="H85" s="89"/>
      <c r="I85" s="39"/>
      <c r="J85" s="39"/>
      <c r="K85" s="39"/>
      <c r="L85" s="39"/>
      <c r="M85" s="13"/>
      <c r="N85" s="13"/>
      <c r="O85" s="295"/>
      <c r="P85" s="295"/>
      <c r="Q85" s="295"/>
      <c r="R85" s="295"/>
      <c r="S85" s="13"/>
      <c r="T85" s="13"/>
      <c r="U85" s="13"/>
      <c r="V85" s="13"/>
      <c r="W85" s="13"/>
      <c r="X85" s="13"/>
      <c r="Y85" s="13"/>
      <c r="Z85" s="13"/>
      <c r="AA85" s="13"/>
      <c r="AB85" s="13"/>
      <c r="AC85" s="13"/>
      <c r="AD85" s="13"/>
      <c r="AE85" s="13"/>
    </row>
    <row r="86" spans="1:31" s="12" customFormat="1" ht="15" hidden="1">
      <c r="A86" s="13"/>
      <c r="B86" s="39"/>
      <c r="C86" s="927" t="s">
        <v>490</v>
      </c>
      <c r="D86" s="927"/>
      <c r="E86" s="927"/>
      <c r="F86" s="928"/>
      <c r="G86" s="545">
        <v>40</v>
      </c>
      <c r="H86" s="89"/>
      <c r="I86" s="39"/>
      <c r="J86" s="39"/>
      <c r="K86" s="39"/>
      <c r="L86" s="39"/>
      <c r="M86" s="13"/>
      <c r="N86" s="13"/>
      <c r="O86" s="295"/>
      <c r="P86" s="295"/>
      <c r="Q86" s="295"/>
      <c r="R86" s="295"/>
      <c r="S86" s="13"/>
      <c r="T86" s="13"/>
      <c r="U86" s="13"/>
      <c r="V86" s="13"/>
      <c r="W86" s="13"/>
      <c r="X86" s="13"/>
      <c r="Y86" s="13"/>
      <c r="Z86" s="13"/>
      <c r="AA86" s="13"/>
      <c r="AB86" s="13"/>
      <c r="AC86" s="13"/>
      <c r="AD86" s="13"/>
      <c r="AE86" s="13"/>
    </row>
    <row r="87" spans="1:31" s="12" customFormat="1" ht="15" hidden="1">
      <c r="A87" s="13"/>
      <c r="B87" s="46"/>
      <c r="C87" s="927" t="s">
        <v>774</v>
      </c>
      <c r="D87" s="927"/>
      <c r="E87" s="927"/>
      <c r="F87" s="928"/>
      <c r="G87" s="545">
        <v>3</v>
      </c>
      <c r="H87" s="963"/>
      <c r="I87" s="963"/>
      <c r="J87" s="963"/>
      <c r="K87" s="46"/>
      <c r="L87" s="39"/>
      <c r="M87" s="13"/>
      <c r="N87" s="13"/>
      <c r="O87" s="295"/>
      <c r="P87" s="295"/>
      <c r="Q87" s="295"/>
      <c r="R87" s="295"/>
      <c r="S87" s="13"/>
      <c r="T87" s="13"/>
      <c r="U87" s="13"/>
      <c r="V87" s="13"/>
      <c r="W87" s="13"/>
      <c r="X87" s="13"/>
      <c r="Y87" s="13"/>
      <c r="Z87" s="13"/>
      <c r="AA87" s="13"/>
      <c r="AB87" s="13"/>
      <c r="AC87" s="13"/>
      <c r="AD87" s="13"/>
      <c r="AE87" s="13"/>
    </row>
    <row r="88" spans="1:31" s="12" customFormat="1" ht="15" hidden="1">
      <c r="A88" s="13"/>
      <c r="B88" s="46"/>
      <c r="C88" s="927" t="s">
        <v>103</v>
      </c>
      <c r="D88" s="927"/>
      <c r="E88" s="927"/>
      <c r="F88" s="928"/>
      <c r="G88" s="545">
        <v>30</v>
      </c>
      <c r="H88" s="88"/>
      <c r="I88" s="88"/>
      <c r="J88" s="88"/>
      <c r="K88" s="46"/>
      <c r="L88" s="39"/>
      <c r="M88" s="13"/>
      <c r="N88" s="13"/>
      <c r="O88" s="295"/>
      <c r="P88" s="295"/>
      <c r="Q88" s="295"/>
      <c r="R88" s="295"/>
      <c r="S88" s="13"/>
      <c r="T88" s="13"/>
      <c r="U88" s="13"/>
      <c r="V88" s="13"/>
      <c r="W88" s="13"/>
      <c r="X88" s="13"/>
      <c r="Y88" s="13"/>
      <c r="Z88" s="13"/>
      <c r="AA88" s="13"/>
      <c r="AB88" s="13"/>
      <c r="AC88" s="13"/>
      <c r="AD88" s="13"/>
      <c r="AE88" s="13"/>
    </row>
    <row r="89" spans="1:31" s="12" customFormat="1" ht="15" hidden="1">
      <c r="A89" s="13"/>
      <c r="B89" s="46"/>
      <c r="C89" s="927" t="s">
        <v>104</v>
      </c>
      <c r="D89" s="927"/>
      <c r="E89" s="927"/>
      <c r="F89" s="928"/>
      <c r="G89" s="545">
        <v>15</v>
      </c>
      <c r="H89" s="964"/>
      <c r="I89" s="964"/>
      <c r="J89" s="964"/>
      <c r="K89" s="46"/>
      <c r="L89" s="39"/>
      <c r="M89" s="13"/>
      <c r="N89" s="13"/>
      <c r="O89" s="295"/>
      <c r="P89" s="295"/>
      <c r="Q89" s="295"/>
      <c r="R89" s="295"/>
      <c r="S89" s="13"/>
      <c r="T89" s="13"/>
      <c r="U89" s="13"/>
      <c r="V89" s="13"/>
      <c r="W89" s="13"/>
      <c r="X89" s="13"/>
      <c r="Y89" s="13"/>
      <c r="Z89" s="13"/>
      <c r="AA89" s="13"/>
      <c r="AB89" s="13"/>
      <c r="AC89" s="13"/>
      <c r="AD89" s="13"/>
      <c r="AE89" s="13"/>
    </row>
    <row r="90" spans="1:31" s="12" customFormat="1" ht="15" hidden="1">
      <c r="A90" s="13"/>
      <c r="B90" s="39"/>
      <c r="C90" s="927" t="s">
        <v>775</v>
      </c>
      <c r="D90" s="927"/>
      <c r="E90" s="927"/>
      <c r="F90" s="928"/>
      <c r="G90" s="545">
        <v>0.3</v>
      </c>
      <c r="H90" s="89"/>
      <c r="I90" s="39"/>
      <c r="J90" s="39"/>
      <c r="K90" s="39"/>
      <c r="L90" s="39"/>
      <c r="M90" s="13"/>
      <c r="N90" s="13"/>
      <c r="O90" s="295"/>
      <c r="P90" s="295"/>
      <c r="Q90" s="295"/>
      <c r="R90" s="295"/>
      <c r="S90" s="13"/>
      <c r="T90" s="13"/>
      <c r="U90" s="13"/>
      <c r="V90" s="13"/>
      <c r="W90" s="13"/>
      <c r="X90" s="13"/>
      <c r="Y90" s="13"/>
      <c r="Z90" s="13"/>
      <c r="AA90" s="13"/>
      <c r="AB90" s="13"/>
      <c r="AC90" s="13"/>
      <c r="AD90" s="13"/>
      <c r="AE90" s="13"/>
    </row>
    <row r="91" spans="1:31" s="12" customFormat="1" ht="15" hidden="1">
      <c r="A91" s="13"/>
      <c r="B91" s="39"/>
      <c r="C91" s="927" t="s">
        <v>491</v>
      </c>
      <c r="D91" s="927"/>
      <c r="E91" s="927"/>
      <c r="F91" s="928"/>
      <c r="G91" s="545">
        <v>1</v>
      </c>
      <c r="H91" s="89"/>
      <c r="I91" s="39"/>
      <c r="J91" s="39"/>
      <c r="K91" s="39"/>
      <c r="L91" s="39"/>
      <c r="M91" s="13"/>
      <c r="N91" s="13"/>
      <c r="O91" s="295"/>
      <c r="P91" s="295"/>
      <c r="Q91" s="295"/>
      <c r="R91" s="295"/>
      <c r="S91" s="13"/>
      <c r="T91" s="13"/>
      <c r="U91" s="13"/>
      <c r="V91" s="13"/>
      <c r="W91" s="13"/>
      <c r="X91" s="13"/>
      <c r="Y91" s="13"/>
      <c r="Z91" s="13"/>
      <c r="AA91" s="13"/>
      <c r="AB91" s="13"/>
      <c r="AC91" s="13"/>
      <c r="AD91" s="13"/>
      <c r="AE91" s="13"/>
    </row>
    <row r="92" spans="1:31" s="12" customFormat="1" ht="15" hidden="1">
      <c r="A92" s="13"/>
      <c r="B92" s="39"/>
      <c r="C92" s="938"/>
      <c r="D92" s="938"/>
      <c r="E92" s="938"/>
      <c r="F92" s="938"/>
      <c r="G92" s="39"/>
      <c r="H92" s="89"/>
      <c r="I92" s="39"/>
      <c r="J92" s="39"/>
      <c r="K92" s="39"/>
      <c r="L92" s="39"/>
      <c r="M92" s="13"/>
      <c r="N92" s="13"/>
      <c r="O92" s="295"/>
      <c r="P92" s="295"/>
      <c r="Q92" s="295"/>
      <c r="R92" s="295"/>
      <c r="S92" s="13"/>
      <c r="T92" s="13"/>
      <c r="U92" s="13"/>
      <c r="V92" s="13"/>
      <c r="W92" s="13"/>
      <c r="X92" s="13"/>
      <c r="Y92" s="13"/>
      <c r="Z92" s="13"/>
      <c r="AA92" s="13"/>
      <c r="AB92" s="13"/>
      <c r="AC92" s="13"/>
      <c r="AD92" s="13"/>
      <c r="AE92" s="13"/>
    </row>
    <row r="93" spans="1:31" s="12" customFormat="1" ht="36" customHeight="1" hidden="1">
      <c r="A93" s="13"/>
      <c r="B93" s="39"/>
      <c r="E93" s="967" t="s">
        <v>847</v>
      </c>
      <c r="F93" s="967"/>
      <c r="G93" s="967"/>
      <c r="H93" s="967"/>
      <c r="I93" s="967"/>
      <c r="J93" s="302"/>
      <c r="K93" s="302"/>
      <c r="L93" s="39"/>
      <c r="M93" s="13"/>
      <c r="N93" s="13"/>
      <c r="O93" s="13"/>
      <c r="P93" s="13"/>
      <c r="Q93" s="13"/>
      <c r="R93" s="13"/>
      <c r="S93" s="13"/>
      <c r="T93" s="13"/>
      <c r="U93" s="13"/>
      <c r="V93" s="13"/>
      <c r="W93" s="13"/>
      <c r="X93" s="13"/>
      <c r="Y93" s="13"/>
      <c r="Z93" s="13"/>
      <c r="AA93" s="13"/>
      <c r="AB93" s="13"/>
      <c r="AC93" s="13"/>
      <c r="AD93" s="13"/>
      <c r="AE93" s="13"/>
    </row>
    <row r="94" spans="1:31" s="12" customFormat="1" ht="15">
      <c r="A94" s="13"/>
      <c r="B94" s="654" t="s">
        <v>877</v>
      </c>
      <c r="C94" s="37"/>
      <c r="D94" s="37"/>
      <c r="E94" s="37"/>
      <c r="F94" s="37"/>
      <c r="G94" s="37"/>
      <c r="H94" s="37"/>
      <c r="I94" s="37"/>
      <c r="J94" s="37"/>
      <c r="K94" s="37"/>
      <c r="L94" s="37"/>
      <c r="M94" s="13"/>
      <c r="N94" s="13"/>
      <c r="O94" s="295"/>
      <c r="P94" s="295"/>
      <c r="Q94" s="295"/>
      <c r="R94" s="295"/>
      <c r="S94" s="13"/>
      <c r="T94" s="13"/>
      <c r="U94" s="13"/>
      <c r="V94" s="13"/>
      <c r="W94" s="13"/>
      <c r="X94" s="13"/>
      <c r="Y94" s="13"/>
      <c r="Z94" s="13"/>
      <c r="AA94" s="13"/>
      <c r="AB94" s="13"/>
      <c r="AC94" s="13"/>
      <c r="AD94" s="13"/>
      <c r="AE94" s="13"/>
    </row>
    <row r="95" spans="1:31" s="12" customFormat="1" ht="15">
      <c r="A95" s="13"/>
      <c r="B95" s="37"/>
      <c r="C95" s="37"/>
      <c r="D95" s="37"/>
      <c r="E95" s="37"/>
      <c r="F95" s="37"/>
      <c r="G95" s="37"/>
      <c r="H95" s="37"/>
      <c r="I95" s="37"/>
      <c r="J95" s="37"/>
      <c r="K95" s="37"/>
      <c r="L95" s="37"/>
      <c r="M95" s="13"/>
      <c r="N95" s="13"/>
      <c r="O95" s="295"/>
      <c r="P95" s="295"/>
      <c r="Q95" s="295"/>
      <c r="R95" s="295"/>
      <c r="S95" s="13"/>
      <c r="T95" s="13"/>
      <c r="U95" s="13"/>
      <c r="V95" s="13"/>
      <c r="W95" s="13"/>
      <c r="X95" s="13"/>
      <c r="Y95" s="13"/>
      <c r="Z95" s="13"/>
      <c r="AA95" s="13"/>
      <c r="AB95" s="13"/>
      <c r="AC95" s="13"/>
      <c r="AD95" s="13"/>
      <c r="AE95" s="13"/>
    </row>
    <row r="96" spans="1:31" s="12" customFormat="1" ht="15">
      <c r="A96" s="13"/>
      <c r="B96" s="37"/>
      <c r="C96" s="37"/>
      <c r="D96" s="37"/>
      <c r="E96" s="37"/>
      <c r="F96" s="37"/>
      <c r="G96" s="37"/>
      <c r="H96" s="37"/>
      <c r="I96" s="37"/>
      <c r="J96" s="37"/>
      <c r="K96" s="37"/>
      <c r="L96" s="37"/>
      <c r="M96" s="13"/>
      <c r="N96" s="13"/>
      <c r="O96" s="295"/>
      <c r="P96" s="295"/>
      <c r="Q96" s="295"/>
      <c r="R96" s="295"/>
      <c r="S96" s="13"/>
      <c r="T96" s="13"/>
      <c r="U96" s="13"/>
      <c r="V96" s="13"/>
      <c r="W96" s="13"/>
      <c r="X96" s="13"/>
      <c r="Y96" s="13"/>
      <c r="Z96" s="13"/>
      <c r="AA96" s="13"/>
      <c r="AB96" s="13"/>
      <c r="AC96" s="13"/>
      <c r="AD96" s="13"/>
      <c r="AE96" s="13"/>
    </row>
    <row r="97" spans="1:31" s="12" customFormat="1" ht="15">
      <c r="A97" s="13"/>
      <c r="B97" s="37"/>
      <c r="C97" s="37"/>
      <c r="D97" s="37"/>
      <c r="E97" s="37"/>
      <c r="F97" s="37"/>
      <c r="G97" s="37"/>
      <c r="H97" s="37"/>
      <c r="I97" s="37"/>
      <c r="J97" s="37"/>
      <c r="K97" s="37"/>
      <c r="L97" s="37"/>
      <c r="M97" s="13"/>
      <c r="N97" s="13"/>
      <c r="O97" s="295"/>
      <c r="P97" s="295"/>
      <c r="Q97" s="295"/>
      <c r="R97" s="295"/>
      <c r="S97" s="13"/>
      <c r="T97" s="13"/>
      <c r="U97" s="13"/>
      <c r="V97" s="13"/>
      <c r="W97" s="13"/>
      <c r="X97" s="13"/>
      <c r="Y97" s="13"/>
      <c r="Z97" s="13"/>
      <c r="AA97" s="13"/>
      <c r="AB97" s="13"/>
      <c r="AC97" s="13"/>
      <c r="AD97" s="13"/>
      <c r="AE97" s="13"/>
    </row>
    <row r="98" spans="1:31" s="12" customFormat="1" ht="15">
      <c r="A98" s="13"/>
      <c r="B98" s="37"/>
      <c r="C98" s="37"/>
      <c r="D98" s="37"/>
      <c r="E98" s="37"/>
      <c r="F98" s="37"/>
      <c r="G98" s="37"/>
      <c r="H98" s="37"/>
      <c r="I98" s="37"/>
      <c r="J98" s="37"/>
      <c r="K98" s="37"/>
      <c r="L98" s="37"/>
      <c r="M98" s="13"/>
      <c r="N98" s="13"/>
      <c r="O98" s="295"/>
      <c r="P98" s="295"/>
      <c r="Q98" s="295"/>
      <c r="R98" s="295"/>
      <c r="S98" s="13"/>
      <c r="T98" s="13"/>
      <c r="U98" s="13"/>
      <c r="V98" s="13"/>
      <c r="W98" s="13"/>
      <c r="X98" s="13"/>
      <c r="Y98" s="13"/>
      <c r="Z98" s="13"/>
      <c r="AA98" s="13"/>
      <c r="AB98" s="13"/>
      <c r="AC98" s="13"/>
      <c r="AD98" s="13"/>
      <c r="AE98" s="13"/>
    </row>
    <row r="99" spans="1:31" s="12" customFormat="1" ht="15">
      <c r="A99" s="13"/>
      <c r="B99" s="37"/>
      <c r="C99" s="37"/>
      <c r="D99" s="37"/>
      <c r="E99" s="37"/>
      <c r="F99" s="37"/>
      <c r="G99" s="37"/>
      <c r="H99" s="37"/>
      <c r="I99" s="37"/>
      <c r="J99" s="37"/>
      <c r="K99" s="37"/>
      <c r="L99" s="37"/>
      <c r="M99" s="13"/>
      <c r="N99" s="13"/>
      <c r="O99" s="295"/>
      <c r="P99" s="295"/>
      <c r="Q99" s="295"/>
      <c r="R99" s="295"/>
      <c r="S99" s="13"/>
      <c r="T99" s="13"/>
      <c r="U99" s="13"/>
      <c r="V99" s="13"/>
      <c r="W99" s="13"/>
      <c r="X99" s="13"/>
      <c r="Y99" s="13"/>
      <c r="Z99" s="13"/>
      <c r="AA99" s="13"/>
      <c r="AB99" s="13"/>
      <c r="AC99" s="13"/>
      <c r="AD99" s="13"/>
      <c r="AE99" s="13"/>
    </row>
    <row r="100" spans="1:31" s="12" customFormat="1" ht="15">
      <c r="A100" s="13"/>
      <c r="B100" s="37"/>
      <c r="C100" s="37"/>
      <c r="D100" s="37"/>
      <c r="E100" s="37"/>
      <c r="F100" s="37"/>
      <c r="G100" s="37"/>
      <c r="H100" s="37"/>
      <c r="I100" s="37"/>
      <c r="J100" s="37"/>
      <c r="K100" s="37"/>
      <c r="L100" s="37"/>
      <c r="M100" s="13"/>
      <c r="N100" s="13"/>
      <c r="O100" s="295"/>
      <c r="P100" s="295"/>
      <c r="Q100" s="295"/>
      <c r="R100" s="295"/>
      <c r="S100" s="13"/>
      <c r="T100" s="13"/>
      <c r="U100" s="13"/>
      <c r="V100" s="13"/>
      <c r="W100" s="13"/>
      <c r="X100" s="13"/>
      <c r="Y100" s="13"/>
      <c r="Z100" s="13"/>
      <c r="AA100" s="13"/>
      <c r="AB100" s="13"/>
      <c r="AC100" s="13"/>
      <c r="AD100" s="13"/>
      <c r="AE100" s="13"/>
    </row>
    <row r="101" spans="1:31" s="12" customFormat="1" ht="15">
      <c r="A101" s="13"/>
      <c r="B101" s="37"/>
      <c r="C101" s="37"/>
      <c r="D101" s="37"/>
      <c r="E101" s="37"/>
      <c r="F101" s="37"/>
      <c r="G101" s="37"/>
      <c r="H101" s="37"/>
      <c r="I101" s="37"/>
      <c r="J101" s="37"/>
      <c r="K101" s="37"/>
      <c r="L101" s="37"/>
      <c r="M101" s="13"/>
      <c r="N101" s="13"/>
      <c r="O101" s="295"/>
      <c r="P101" s="295"/>
      <c r="Q101" s="295"/>
      <c r="R101" s="295"/>
      <c r="S101" s="13"/>
      <c r="T101" s="13"/>
      <c r="U101" s="13"/>
      <c r="V101" s="13"/>
      <c r="W101" s="13"/>
      <c r="X101" s="13"/>
      <c r="Y101" s="13"/>
      <c r="Z101" s="13"/>
      <c r="AA101" s="13"/>
      <c r="AB101" s="13"/>
      <c r="AC101" s="13"/>
      <c r="AD101" s="13"/>
      <c r="AE101" s="13"/>
    </row>
    <row r="102" spans="1:31" s="12" customFormat="1" ht="15">
      <c r="A102" s="13"/>
      <c r="B102" s="37"/>
      <c r="C102" s="37"/>
      <c r="D102" s="37"/>
      <c r="E102" s="37"/>
      <c r="F102" s="37"/>
      <c r="G102" s="37"/>
      <c r="H102" s="37"/>
      <c r="I102" s="37"/>
      <c r="J102" s="37"/>
      <c r="K102" s="37"/>
      <c r="L102" s="37"/>
      <c r="M102" s="13"/>
      <c r="N102" s="13"/>
      <c r="O102" s="295"/>
      <c r="P102" s="295"/>
      <c r="Q102" s="295"/>
      <c r="R102" s="295"/>
      <c r="S102" s="13"/>
      <c r="T102" s="13"/>
      <c r="U102" s="13"/>
      <c r="V102" s="13"/>
      <c r="W102" s="13"/>
      <c r="X102" s="13"/>
      <c r="Y102" s="13"/>
      <c r="Z102" s="13"/>
      <c r="AA102" s="13"/>
      <c r="AB102" s="13"/>
      <c r="AC102" s="13"/>
      <c r="AD102" s="13"/>
      <c r="AE102" s="13"/>
    </row>
    <row r="103" spans="1:31" s="12" customFormat="1" ht="15">
      <c r="A103" s="13"/>
      <c r="B103" s="37"/>
      <c r="C103" s="37"/>
      <c r="D103" s="37"/>
      <c r="E103" s="37"/>
      <c r="F103" s="37"/>
      <c r="G103" s="37"/>
      <c r="H103" s="37"/>
      <c r="I103" s="37"/>
      <c r="J103" s="37"/>
      <c r="K103" s="37"/>
      <c r="L103" s="37"/>
      <c r="M103" s="13"/>
      <c r="N103" s="13"/>
      <c r="O103" s="295"/>
      <c r="P103" s="295"/>
      <c r="Q103" s="295"/>
      <c r="R103" s="295"/>
      <c r="S103" s="13"/>
      <c r="T103" s="13"/>
      <c r="U103" s="13"/>
      <c r="V103" s="13"/>
      <c r="W103" s="13"/>
      <c r="X103" s="13"/>
      <c r="Y103" s="13"/>
      <c r="Z103" s="13"/>
      <c r="AA103" s="13"/>
      <c r="AB103" s="13"/>
      <c r="AC103" s="13"/>
      <c r="AD103" s="13"/>
      <c r="AE103" s="13"/>
    </row>
    <row r="104" spans="1:31" s="12" customFormat="1" ht="15">
      <c r="A104" s="13"/>
      <c r="B104" s="37"/>
      <c r="C104" s="37"/>
      <c r="D104" s="37"/>
      <c r="E104" s="37"/>
      <c r="F104" s="37"/>
      <c r="G104" s="37"/>
      <c r="H104" s="37"/>
      <c r="I104" s="37"/>
      <c r="J104" s="37"/>
      <c r="K104" s="37"/>
      <c r="L104" s="37"/>
      <c r="M104" s="13"/>
      <c r="N104" s="13"/>
      <c r="O104" s="295"/>
      <c r="P104" s="295"/>
      <c r="Q104" s="295"/>
      <c r="R104" s="295"/>
      <c r="S104" s="13"/>
      <c r="T104" s="13"/>
      <c r="U104" s="13"/>
      <c r="V104" s="13"/>
      <c r="W104" s="13"/>
      <c r="X104" s="13"/>
      <c r="Y104" s="13"/>
      <c r="Z104" s="13"/>
      <c r="AA104" s="13"/>
      <c r="AB104" s="13"/>
      <c r="AC104" s="13"/>
      <c r="AD104" s="13"/>
      <c r="AE104" s="13"/>
    </row>
    <row r="105" spans="1:31" s="12" customFormat="1" ht="15">
      <c r="A105" s="13"/>
      <c r="B105" s="37"/>
      <c r="C105" s="37"/>
      <c r="D105" s="37"/>
      <c r="E105" s="37"/>
      <c r="F105" s="37"/>
      <c r="G105" s="37"/>
      <c r="H105" s="37"/>
      <c r="I105" s="37"/>
      <c r="J105" s="37"/>
      <c r="K105" s="37"/>
      <c r="L105" s="37"/>
      <c r="M105" s="13"/>
      <c r="N105" s="13"/>
      <c r="O105" s="295"/>
      <c r="P105" s="295"/>
      <c r="Q105" s="295"/>
      <c r="R105" s="295"/>
      <c r="S105" s="13"/>
      <c r="T105" s="13"/>
      <c r="U105" s="13"/>
      <c r="V105" s="13"/>
      <c r="W105" s="13"/>
      <c r="X105" s="13"/>
      <c r="Y105" s="13"/>
      <c r="Z105" s="13"/>
      <c r="AA105" s="13"/>
      <c r="AB105" s="13"/>
      <c r="AC105" s="13"/>
      <c r="AD105" s="13"/>
      <c r="AE105" s="13"/>
    </row>
    <row r="106" spans="1:31" s="12" customFormat="1" ht="15">
      <c r="A106" s="13"/>
      <c r="B106" s="37"/>
      <c r="C106" s="37"/>
      <c r="D106" s="37"/>
      <c r="E106" s="37"/>
      <c r="F106" s="37"/>
      <c r="G106" s="37"/>
      <c r="H106" s="37"/>
      <c r="I106" s="37"/>
      <c r="J106" s="37"/>
      <c r="K106" s="37"/>
      <c r="L106" s="37"/>
      <c r="M106" s="13"/>
      <c r="N106" s="13"/>
      <c r="O106" s="295"/>
      <c r="P106" s="295"/>
      <c r="Q106" s="295"/>
      <c r="R106" s="295"/>
      <c r="S106" s="13"/>
      <c r="T106" s="13"/>
      <c r="U106" s="13"/>
      <c r="V106" s="13"/>
      <c r="W106" s="13"/>
      <c r="X106" s="13"/>
      <c r="Y106" s="13"/>
      <c r="Z106" s="13"/>
      <c r="AA106" s="13"/>
      <c r="AB106" s="13"/>
      <c r="AC106" s="13"/>
      <c r="AD106" s="13"/>
      <c r="AE106" s="13"/>
    </row>
    <row r="107" spans="1:31" s="12" customFormat="1" ht="15">
      <c r="A107" s="13"/>
      <c r="B107" s="37"/>
      <c r="C107" s="37"/>
      <c r="D107" s="37"/>
      <c r="E107" s="37"/>
      <c r="F107" s="37"/>
      <c r="G107" s="37"/>
      <c r="H107" s="37"/>
      <c r="I107" s="37"/>
      <c r="J107" s="37"/>
      <c r="K107" s="37"/>
      <c r="L107" s="37"/>
      <c r="M107" s="13"/>
      <c r="N107" s="13"/>
      <c r="O107" s="295"/>
      <c r="P107" s="295"/>
      <c r="Q107" s="295"/>
      <c r="R107" s="295"/>
      <c r="S107" s="13"/>
      <c r="T107" s="13"/>
      <c r="U107" s="13"/>
      <c r="V107" s="13"/>
      <c r="W107" s="13"/>
      <c r="X107" s="13"/>
      <c r="Y107" s="13"/>
      <c r="Z107" s="13"/>
      <c r="AA107" s="13"/>
      <c r="AB107" s="13"/>
      <c r="AC107" s="13"/>
      <c r="AD107" s="13"/>
      <c r="AE107" s="13"/>
    </row>
    <row r="108" spans="1:31" s="12" customFormat="1" ht="15">
      <c r="A108" s="13"/>
      <c r="B108" s="37"/>
      <c r="C108" s="37"/>
      <c r="D108" s="37"/>
      <c r="E108" s="37"/>
      <c r="F108" s="37"/>
      <c r="G108" s="37"/>
      <c r="H108" s="37"/>
      <c r="I108" s="37"/>
      <c r="J108" s="37"/>
      <c r="K108" s="37"/>
      <c r="L108" s="37"/>
      <c r="M108" s="13"/>
      <c r="N108" s="13"/>
      <c r="O108" s="295"/>
      <c r="P108" s="295"/>
      <c r="Q108" s="295"/>
      <c r="R108" s="295"/>
      <c r="S108" s="13"/>
      <c r="T108" s="13"/>
      <c r="U108" s="13"/>
      <c r="V108" s="13"/>
      <c r="W108" s="13"/>
      <c r="X108" s="13"/>
      <c r="Y108" s="13"/>
      <c r="Z108" s="13"/>
      <c r="AA108" s="13"/>
      <c r="AB108" s="13"/>
      <c r="AC108" s="13"/>
      <c r="AD108" s="13"/>
      <c r="AE108" s="13"/>
    </row>
    <row r="109" spans="1:31" s="12" customFormat="1" ht="15">
      <c r="A109" s="13"/>
      <c r="B109" s="37"/>
      <c r="C109" s="37"/>
      <c r="D109" s="37"/>
      <c r="E109" s="37"/>
      <c r="F109" s="37"/>
      <c r="G109" s="37"/>
      <c r="H109" s="37"/>
      <c r="I109" s="37"/>
      <c r="J109" s="37"/>
      <c r="K109" s="37"/>
      <c r="L109" s="37"/>
      <c r="M109" s="13"/>
      <c r="N109" s="13"/>
      <c r="O109" s="295"/>
      <c r="P109" s="295"/>
      <c r="Q109" s="295"/>
      <c r="R109" s="295"/>
      <c r="S109" s="13"/>
      <c r="T109" s="13"/>
      <c r="U109" s="13"/>
      <c r="V109" s="13"/>
      <c r="W109" s="13"/>
      <c r="X109" s="13"/>
      <c r="Y109" s="13"/>
      <c r="Z109" s="13"/>
      <c r="AA109" s="13"/>
      <c r="AB109" s="13"/>
      <c r="AC109" s="13"/>
      <c r="AD109" s="13"/>
      <c r="AE109" s="13"/>
    </row>
    <row r="110" spans="1:31" s="12" customFormat="1" ht="15">
      <c r="A110" s="13"/>
      <c r="B110" s="37"/>
      <c r="C110" s="37"/>
      <c r="D110" s="37"/>
      <c r="E110" s="37"/>
      <c r="F110" s="37"/>
      <c r="G110" s="37"/>
      <c r="H110" s="37"/>
      <c r="I110" s="37"/>
      <c r="J110" s="37"/>
      <c r="K110" s="37"/>
      <c r="L110" s="37"/>
      <c r="M110" s="13"/>
      <c r="N110" s="13"/>
      <c r="O110" s="295"/>
      <c r="P110" s="295"/>
      <c r="Q110" s="295"/>
      <c r="R110" s="295"/>
      <c r="S110" s="13"/>
      <c r="T110" s="13"/>
      <c r="U110" s="13"/>
      <c r="V110" s="13"/>
      <c r="W110" s="13"/>
      <c r="X110" s="13"/>
      <c r="Y110" s="13"/>
      <c r="Z110" s="13"/>
      <c r="AA110" s="13"/>
      <c r="AB110" s="13"/>
      <c r="AC110" s="13"/>
      <c r="AD110" s="13"/>
      <c r="AE110" s="13"/>
    </row>
    <row r="111" spans="1:31" s="12" customFormat="1" ht="15">
      <c r="A111" s="13"/>
      <c r="B111" s="37"/>
      <c r="C111" s="37"/>
      <c r="D111" s="37"/>
      <c r="E111" s="37"/>
      <c r="F111" s="37"/>
      <c r="G111" s="37"/>
      <c r="H111" s="37"/>
      <c r="I111" s="37"/>
      <c r="J111" s="37"/>
      <c r="K111" s="37"/>
      <c r="L111" s="37"/>
      <c r="M111" s="13"/>
      <c r="N111" s="13"/>
      <c r="O111" s="295"/>
      <c r="P111" s="295"/>
      <c r="Q111" s="295"/>
      <c r="R111" s="295"/>
      <c r="S111" s="13"/>
      <c r="T111" s="13"/>
      <c r="U111" s="13"/>
      <c r="V111" s="13"/>
      <c r="W111" s="13"/>
      <c r="X111" s="13"/>
      <c r="Y111" s="13"/>
      <c r="Z111" s="13"/>
      <c r="AA111" s="13"/>
      <c r="AB111" s="13"/>
      <c r="AC111" s="13"/>
      <c r="AD111" s="13"/>
      <c r="AE111" s="13"/>
    </row>
    <row r="112" spans="1:31" s="12" customFormat="1" ht="15">
      <c r="A112" s="13"/>
      <c r="B112" s="37"/>
      <c r="C112" s="37"/>
      <c r="D112" s="37"/>
      <c r="E112" s="37"/>
      <c r="F112" s="37"/>
      <c r="G112" s="37"/>
      <c r="H112" s="37"/>
      <c r="I112" s="37"/>
      <c r="J112" s="37"/>
      <c r="K112" s="37"/>
      <c r="L112" s="37"/>
      <c r="M112" s="13"/>
      <c r="N112" s="13"/>
      <c r="O112" s="295"/>
      <c r="P112" s="295"/>
      <c r="Q112" s="295"/>
      <c r="R112" s="295"/>
      <c r="S112" s="13"/>
      <c r="T112" s="13"/>
      <c r="U112" s="13"/>
      <c r="V112" s="13"/>
      <c r="W112" s="13"/>
      <c r="X112" s="13"/>
      <c r="Y112" s="13"/>
      <c r="Z112" s="13"/>
      <c r="AA112" s="13"/>
      <c r="AB112" s="13"/>
      <c r="AC112" s="13"/>
      <c r="AD112" s="13"/>
      <c r="AE112" s="13"/>
    </row>
    <row r="113" spans="1:31" s="12" customFormat="1" ht="15">
      <c r="A113" s="13"/>
      <c r="B113" s="37"/>
      <c r="C113" s="37"/>
      <c r="D113" s="37"/>
      <c r="E113" s="37"/>
      <c r="F113" s="37"/>
      <c r="G113" s="37"/>
      <c r="H113" s="37"/>
      <c r="I113" s="37"/>
      <c r="J113" s="37"/>
      <c r="K113" s="37"/>
      <c r="L113" s="37"/>
      <c r="M113" s="13"/>
      <c r="N113" s="13"/>
      <c r="O113" s="295"/>
      <c r="P113" s="295"/>
      <c r="Q113" s="295"/>
      <c r="R113" s="295"/>
      <c r="S113" s="13"/>
      <c r="T113" s="13"/>
      <c r="U113" s="13"/>
      <c r="V113" s="13"/>
      <c r="W113" s="13"/>
      <c r="X113" s="13"/>
      <c r="Y113" s="13"/>
      <c r="Z113" s="13"/>
      <c r="AA113" s="13"/>
      <c r="AB113" s="13"/>
      <c r="AC113" s="13"/>
      <c r="AD113" s="13"/>
      <c r="AE113" s="13"/>
    </row>
    <row r="114" spans="1:31" s="12" customFormat="1" ht="15">
      <c r="A114" s="13"/>
      <c r="B114" s="37"/>
      <c r="C114" s="37"/>
      <c r="D114" s="37"/>
      <c r="E114" s="37"/>
      <c r="F114" s="37"/>
      <c r="G114" s="37"/>
      <c r="H114" s="37"/>
      <c r="I114" s="37"/>
      <c r="J114" s="37"/>
      <c r="K114" s="37"/>
      <c r="L114" s="37"/>
      <c r="M114" s="13"/>
      <c r="N114" s="13"/>
      <c r="O114" s="295"/>
      <c r="P114" s="295"/>
      <c r="Q114" s="295"/>
      <c r="R114" s="295"/>
      <c r="S114" s="13"/>
      <c r="T114" s="13"/>
      <c r="U114" s="13"/>
      <c r="V114" s="13"/>
      <c r="W114" s="13"/>
      <c r="X114" s="13"/>
      <c r="Y114" s="13"/>
      <c r="Z114" s="13"/>
      <c r="AA114" s="13"/>
      <c r="AB114" s="13"/>
      <c r="AC114" s="13"/>
      <c r="AD114" s="13"/>
      <c r="AE114" s="13"/>
    </row>
    <row r="115" spans="1:31" s="12" customFormat="1" ht="15">
      <c r="A115" s="13"/>
      <c r="B115" s="37"/>
      <c r="C115" s="37"/>
      <c r="D115" s="37"/>
      <c r="E115" s="37"/>
      <c r="F115" s="37"/>
      <c r="G115" s="37"/>
      <c r="H115" s="37"/>
      <c r="I115" s="37"/>
      <c r="J115" s="37"/>
      <c r="K115" s="37"/>
      <c r="L115" s="37"/>
      <c r="M115" s="13"/>
      <c r="N115" s="13"/>
      <c r="O115" s="295"/>
      <c r="P115" s="295"/>
      <c r="Q115" s="295"/>
      <c r="R115" s="295"/>
      <c r="S115" s="13"/>
      <c r="T115" s="13"/>
      <c r="U115" s="13"/>
      <c r="V115" s="13"/>
      <c r="W115" s="13"/>
      <c r="X115" s="13"/>
      <c r="Y115" s="13"/>
      <c r="Z115" s="13"/>
      <c r="AA115" s="13"/>
      <c r="AB115" s="13"/>
      <c r="AC115" s="13"/>
      <c r="AD115" s="13"/>
      <c r="AE115" s="13"/>
    </row>
    <row r="116" spans="1:31" s="12" customFormat="1" ht="15">
      <c r="A116" s="13"/>
      <c r="B116" s="37"/>
      <c r="C116" s="37"/>
      <c r="D116" s="37"/>
      <c r="E116" s="37"/>
      <c r="F116" s="37"/>
      <c r="G116" s="37"/>
      <c r="H116" s="37"/>
      <c r="I116" s="37"/>
      <c r="J116" s="37"/>
      <c r="K116" s="37"/>
      <c r="L116" s="37"/>
      <c r="M116" s="13"/>
      <c r="N116" s="13"/>
      <c r="O116" s="295"/>
      <c r="P116" s="295"/>
      <c r="Q116" s="295"/>
      <c r="R116" s="295"/>
      <c r="S116" s="13"/>
      <c r="T116" s="13"/>
      <c r="U116" s="13"/>
      <c r="V116" s="13"/>
      <c r="W116" s="13"/>
      <c r="X116" s="13"/>
      <c r="Y116" s="13"/>
      <c r="Z116" s="13"/>
      <c r="AA116" s="13"/>
      <c r="AB116" s="13"/>
      <c r="AC116" s="13"/>
      <c r="AD116" s="13"/>
      <c r="AE116" s="13"/>
    </row>
    <row r="117" spans="1:31" s="12" customFormat="1" ht="15">
      <c r="A117" s="13"/>
      <c r="B117" s="37"/>
      <c r="C117" s="37"/>
      <c r="D117" s="37"/>
      <c r="E117" s="37"/>
      <c r="F117" s="37"/>
      <c r="G117" s="37"/>
      <c r="H117" s="37"/>
      <c r="I117" s="37"/>
      <c r="J117" s="37"/>
      <c r="K117" s="37"/>
      <c r="L117" s="37"/>
      <c r="M117" s="13"/>
      <c r="N117" s="13"/>
      <c r="O117" s="295"/>
      <c r="P117" s="295"/>
      <c r="Q117" s="295"/>
      <c r="R117" s="295"/>
      <c r="S117" s="13"/>
      <c r="T117" s="13"/>
      <c r="U117" s="13"/>
      <c r="V117" s="13"/>
      <c r="W117" s="13"/>
      <c r="X117" s="13"/>
      <c r="Y117" s="13"/>
      <c r="Z117" s="13"/>
      <c r="AA117" s="13"/>
      <c r="AB117" s="13"/>
      <c r="AC117" s="13"/>
      <c r="AD117" s="13"/>
      <c r="AE117" s="13"/>
    </row>
    <row r="118" spans="1:31" s="12" customFormat="1" ht="15">
      <c r="A118" s="13"/>
      <c r="B118" s="37"/>
      <c r="C118" s="37"/>
      <c r="D118" s="37"/>
      <c r="E118" s="37"/>
      <c r="F118" s="37"/>
      <c r="G118" s="37"/>
      <c r="H118" s="37"/>
      <c r="I118" s="37"/>
      <c r="J118" s="37"/>
      <c r="K118" s="37"/>
      <c r="L118" s="37"/>
      <c r="M118" s="13"/>
      <c r="N118" s="13"/>
      <c r="O118" s="295"/>
      <c r="P118" s="295"/>
      <c r="Q118" s="295"/>
      <c r="R118" s="295"/>
      <c r="S118" s="13"/>
      <c r="T118" s="13"/>
      <c r="U118" s="13"/>
      <c r="V118" s="13"/>
      <c r="W118" s="13"/>
      <c r="X118" s="13"/>
      <c r="Y118" s="13"/>
      <c r="Z118" s="13"/>
      <c r="AA118" s="13"/>
      <c r="AB118" s="13"/>
      <c r="AC118" s="13"/>
      <c r="AD118" s="13"/>
      <c r="AE118" s="13"/>
    </row>
    <row r="119" spans="1:31" s="12" customFormat="1" ht="15">
      <c r="A119" s="13"/>
      <c r="B119" s="37"/>
      <c r="C119" s="37"/>
      <c r="D119" s="37"/>
      <c r="E119" s="37"/>
      <c r="F119" s="37"/>
      <c r="G119" s="37"/>
      <c r="H119" s="37"/>
      <c r="I119" s="37"/>
      <c r="J119" s="37"/>
      <c r="K119" s="37"/>
      <c r="L119" s="37"/>
      <c r="M119" s="13"/>
      <c r="N119" s="13"/>
      <c r="O119" s="295"/>
      <c r="P119" s="295"/>
      <c r="Q119" s="295"/>
      <c r="R119" s="295"/>
      <c r="S119" s="13"/>
      <c r="T119" s="13"/>
      <c r="U119" s="13"/>
      <c r="V119" s="13"/>
      <c r="W119" s="13"/>
      <c r="X119" s="13"/>
      <c r="Y119" s="13"/>
      <c r="Z119" s="13"/>
      <c r="AA119" s="13"/>
      <c r="AB119" s="13"/>
      <c r="AC119" s="13"/>
      <c r="AD119" s="13"/>
      <c r="AE119" s="13"/>
    </row>
    <row r="120" spans="1:31" s="12" customFormat="1" ht="15">
      <c r="A120" s="13"/>
      <c r="B120" s="37"/>
      <c r="C120" s="37"/>
      <c r="D120" s="37"/>
      <c r="E120" s="37"/>
      <c r="F120" s="37"/>
      <c r="G120" s="37"/>
      <c r="H120" s="37"/>
      <c r="I120" s="37"/>
      <c r="J120" s="37"/>
      <c r="K120" s="37"/>
      <c r="L120" s="37"/>
      <c r="M120" s="13"/>
      <c r="N120" s="13"/>
      <c r="O120" s="295"/>
      <c r="P120" s="295"/>
      <c r="Q120" s="295"/>
      <c r="R120" s="295"/>
      <c r="S120" s="13"/>
      <c r="T120" s="13"/>
      <c r="U120" s="13"/>
      <c r="V120" s="13"/>
      <c r="W120" s="13"/>
      <c r="X120" s="13"/>
      <c r="Y120" s="13"/>
      <c r="Z120" s="13"/>
      <c r="AA120" s="13"/>
      <c r="AB120" s="13"/>
      <c r="AC120" s="13"/>
      <c r="AD120" s="13"/>
      <c r="AE120" s="13"/>
    </row>
    <row r="121" spans="1:31" s="12" customFormat="1" ht="15">
      <c r="A121" s="13"/>
      <c r="B121" s="37"/>
      <c r="C121" s="37"/>
      <c r="D121" s="37"/>
      <c r="E121" s="37"/>
      <c r="F121" s="37"/>
      <c r="G121" s="37"/>
      <c r="H121" s="37"/>
      <c r="I121" s="37"/>
      <c r="J121" s="37"/>
      <c r="K121" s="37"/>
      <c r="L121" s="37"/>
      <c r="M121" s="13"/>
      <c r="N121" s="13"/>
      <c r="O121" s="295"/>
      <c r="P121" s="295"/>
      <c r="Q121" s="295"/>
      <c r="R121" s="295"/>
      <c r="S121" s="13"/>
      <c r="T121" s="13"/>
      <c r="U121" s="13"/>
      <c r="V121" s="13"/>
      <c r="W121" s="13"/>
      <c r="X121" s="13"/>
      <c r="Y121" s="13"/>
      <c r="Z121" s="13"/>
      <c r="AA121" s="13"/>
      <c r="AB121" s="13"/>
      <c r="AC121" s="13"/>
      <c r="AD121" s="13"/>
      <c r="AE121" s="13"/>
    </row>
    <row r="122" spans="1:31" s="12" customFormat="1" ht="15">
      <c r="A122" s="13"/>
      <c r="B122" s="37"/>
      <c r="C122" s="37"/>
      <c r="D122" s="37"/>
      <c r="E122" s="37"/>
      <c r="F122" s="37"/>
      <c r="G122" s="37"/>
      <c r="H122" s="37"/>
      <c r="I122" s="37"/>
      <c r="J122" s="37"/>
      <c r="K122" s="37"/>
      <c r="L122" s="37"/>
      <c r="M122" s="13"/>
      <c r="N122" s="13"/>
      <c r="O122" s="295"/>
      <c r="P122" s="295"/>
      <c r="Q122" s="295"/>
      <c r="R122" s="295"/>
      <c r="S122" s="13"/>
      <c r="T122" s="13"/>
      <c r="U122" s="13"/>
      <c r="V122" s="13"/>
      <c r="W122" s="13"/>
      <c r="X122" s="13"/>
      <c r="Y122" s="13"/>
      <c r="Z122" s="13"/>
      <c r="AA122" s="13"/>
      <c r="AB122" s="13"/>
      <c r="AC122" s="13"/>
      <c r="AD122" s="13"/>
      <c r="AE122" s="13"/>
    </row>
    <row r="123" spans="1:31" s="12" customFormat="1" ht="15">
      <c r="A123" s="13"/>
      <c r="B123" s="37"/>
      <c r="C123" s="37"/>
      <c r="D123" s="37"/>
      <c r="E123" s="37"/>
      <c r="F123" s="37"/>
      <c r="G123" s="37"/>
      <c r="H123" s="37"/>
      <c r="I123" s="37"/>
      <c r="J123" s="37"/>
      <c r="K123" s="37"/>
      <c r="L123" s="37"/>
      <c r="M123" s="13"/>
      <c r="N123" s="13"/>
      <c r="O123" s="295"/>
      <c r="P123" s="295"/>
      <c r="Q123" s="295"/>
      <c r="R123" s="295"/>
      <c r="S123" s="13"/>
      <c r="T123" s="13"/>
      <c r="U123" s="13"/>
      <c r="V123" s="13"/>
      <c r="W123" s="13"/>
      <c r="X123" s="13"/>
      <c r="Y123" s="13"/>
      <c r="Z123" s="13"/>
      <c r="AA123" s="13"/>
      <c r="AB123" s="13"/>
      <c r="AC123" s="13"/>
      <c r="AD123" s="13"/>
      <c r="AE123" s="13"/>
    </row>
    <row r="124" spans="1:31" s="12" customFormat="1" ht="15">
      <c r="A124" s="13"/>
      <c r="B124" s="37"/>
      <c r="C124" s="37"/>
      <c r="D124" s="37"/>
      <c r="E124" s="37"/>
      <c r="F124" s="37"/>
      <c r="G124" s="37"/>
      <c r="H124" s="37"/>
      <c r="I124" s="37"/>
      <c r="J124" s="37"/>
      <c r="K124" s="37"/>
      <c r="L124" s="37"/>
      <c r="M124" s="13"/>
      <c r="N124" s="13"/>
      <c r="O124" s="295"/>
      <c r="P124" s="295"/>
      <c r="Q124" s="295"/>
      <c r="R124" s="295"/>
      <c r="S124" s="13"/>
      <c r="T124" s="13"/>
      <c r="U124" s="13"/>
      <c r="V124" s="13"/>
      <c r="W124" s="13"/>
      <c r="X124" s="13"/>
      <c r="Y124" s="13"/>
      <c r="Z124" s="13"/>
      <c r="AA124" s="13"/>
      <c r="AB124" s="13"/>
      <c r="AC124" s="13"/>
      <c r="AD124" s="13"/>
      <c r="AE124" s="13"/>
    </row>
    <row r="125" spans="1:31" s="12" customFormat="1" ht="15">
      <c r="A125" s="13"/>
      <c r="B125" s="37"/>
      <c r="C125" s="37"/>
      <c r="D125" s="37"/>
      <c r="E125" s="37"/>
      <c r="F125" s="37"/>
      <c r="G125" s="37"/>
      <c r="H125" s="37"/>
      <c r="I125" s="37"/>
      <c r="J125" s="37"/>
      <c r="K125" s="37"/>
      <c r="L125" s="37"/>
      <c r="M125" s="13"/>
      <c r="N125" s="13"/>
      <c r="O125" s="295"/>
      <c r="P125" s="295"/>
      <c r="Q125" s="295"/>
      <c r="R125" s="295"/>
      <c r="S125" s="13"/>
      <c r="T125" s="13"/>
      <c r="U125" s="13"/>
      <c r="V125" s="13"/>
      <c r="W125" s="13"/>
      <c r="X125" s="13"/>
      <c r="Y125" s="13"/>
      <c r="Z125" s="13"/>
      <c r="AA125" s="13"/>
      <c r="AB125" s="13"/>
      <c r="AC125" s="13"/>
      <c r="AD125" s="13"/>
      <c r="AE125" s="13"/>
    </row>
    <row r="126" spans="1:31" s="12" customFormat="1" ht="15">
      <c r="A126" s="13"/>
      <c r="B126" s="37"/>
      <c r="C126" s="37"/>
      <c r="D126" s="37"/>
      <c r="E126" s="37"/>
      <c r="F126" s="37"/>
      <c r="G126" s="37"/>
      <c r="H126" s="37"/>
      <c r="I126" s="37"/>
      <c r="J126" s="37"/>
      <c r="K126" s="37"/>
      <c r="L126" s="37"/>
      <c r="M126" s="13"/>
      <c r="N126" s="13"/>
      <c r="O126" s="295"/>
      <c r="P126" s="295"/>
      <c r="Q126" s="295"/>
      <c r="R126" s="295"/>
      <c r="S126" s="13"/>
      <c r="T126" s="13"/>
      <c r="U126" s="13"/>
      <c r="V126" s="13"/>
      <c r="W126" s="13"/>
      <c r="X126" s="13"/>
      <c r="Y126" s="13"/>
      <c r="Z126" s="13"/>
      <c r="AA126" s="13"/>
      <c r="AB126" s="13"/>
      <c r="AC126" s="13"/>
      <c r="AD126" s="13"/>
      <c r="AE126" s="13"/>
    </row>
    <row r="127" spans="1:31" s="12" customFormat="1" ht="15">
      <c r="A127" s="13"/>
      <c r="B127" s="37"/>
      <c r="C127" s="37"/>
      <c r="D127" s="37"/>
      <c r="E127" s="37"/>
      <c r="F127" s="37"/>
      <c r="G127" s="37"/>
      <c r="H127" s="37"/>
      <c r="I127" s="37"/>
      <c r="J127" s="37"/>
      <c r="K127" s="37"/>
      <c r="L127" s="37"/>
      <c r="M127" s="13"/>
      <c r="N127" s="13"/>
      <c r="O127" s="295"/>
      <c r="P127" s="295"/>
      <c r="Q127" s="295"/>
      <c r="R127" s="295"/>
      <c r="S127" s="13"/>
      <c r="T127" s="13"/>
      <c r="U127" s="13"/>
      <c r="V127" s="13"/>
      <c r="W127" s="13"/>
      <c r="X127" s="13"/>
      <c r="Y127" s="13"/>
      <c r="Z127" s="13"/>
      <c r="AA127" s="13"/>
      <c r="AB127" s="13"/>
      <c r="AC127" s="13"/>
      <c r="AD127" s="13"/>
      <c r="AE127" s="13"/>
    </row>
    <row r="128" spans="1:31" s="12" customFormat="1" ht="15">
      <c r="A128" s="13"/>
      <c r="B128" s="37"/>
      <c r="C128" s="37"/>
      <c r="D128" s="37"/>
      <c r="E128" s="37"/>
      <c r="F128" s="37"/>
      <c r="G128" s="37"/>
      <c r="H128" s="37"/>
      <c r="I128" s="37"/>
      <c r="J128" s="37"/>
      <c r="K128" s="37"/>
      <c r="L128" s="37"/>
      <c r="M128" s="13"/>
      <c r="N128" s="13"/>
      <c r="O128" s="295"/>
      <c r="P128" s="295"/>
      <c r="Q128" s="295"/>
      <c r="R128" s="295"/>
      <c r="S128" s="13"/>
      <c r="T128" s="13"/>
      <c r="U128" s="13"/>
      <c r="V128" s="13"/>
      <c r="W128" s="13"/>
      <c r="X128" s="13"/>
      <c r="Y128" s="13"/>
      <c r="Z128" s="13"/>
      <c r="AA128" s="13"/>
      <c r="AB128" s="13"/>
      <c r="AC128" s="13"/>
      <c r="AD128" s="13"/>
      <c r="AE128" s="13"/>
    </row>
    <row r="129" spans="1:31" s="12" customFormat="1" ht="15">
      <c r="A129" s="13"/>
      <c r="B129" s="37"/>
      <c r="C129" s="37"/>
      <c r="D129" s="37"/>
      <c r="E129" s="37"/>
      <c r="F129" s="37"/>
      <c r="G129" s="37"/>
      <c r="H129" s="37"/>
      <c r="I129" s="37"/>
      <c r="J129" s="37"/>
      <c r="K129" s="37"/>
      <c r="L129" s="37"/>
      <c r="M129" s="13"/>
      <c r="N129" s="13"/>
      <c r="O129" s="295"/>
      <c r="P129" s="295"/>
      <c r="Q129" s="295"/>
      <c r="R129" s="295"/>
      <c r="S129" s="13"/>
      <c r="T129" s="13"/>
      <c r="U129" s="13"/>
      <c r="V129" s="13"/>
      <c r="W129" s="13"/>
      <c r="X129" s="13"/>
      <c r="Y129" s="13"/>
      <c r="Z129" s="13"/>
      <c r="AA129" s="13"/>
      <c r="AB129" s="13"/>
      <c r="AC129" s="13"/>
      <c r="AD129" s="13"/>
      <c r="AE129" s="13"/>
    </row>
    <row r="130" spans="1:31" s="12" customFormat="1" ht="15">
      <c r="A130" s="13"/>
      <c r="B130" s="37"/>
      <c r="C130" s="37"/>
      <c r="D130" s="37"/>
      <c r="E130" s="37"/>
      <c r="F130" s="37"/>
      <c r="G130" s="37"/>
      <c r="H130" s="37"/>
      <c r="I130" s="37"/>
      <c r="J130" s="37"/>
      <c r="K130" s="37"/>
      <c r="L130" s="37"/>
      <c r="M130" s="13"/>
      <c r="N130" s="13"/>
      <c r="O130" s="295"/>
      <c r="P130" s="295"/>
      <c r="Q130" s="295"/>
      <c r="R130" s="295"/>
      <c r="S130" s="13"/>
      <c r="T130" s="13"/>
      <c r="U130" s="13"/>
      <c r="V130" s="13"/>
      <c r="W130" s="13"/>
      <c r="X130" s="13"/>
      <c r="Y130" s="13"/>
      <c r="Z130" s="13"/>
      <c r="AA130" s="13"/>
      <c r="AB130" s="13"/>
      <c r="AC130" s="13"/>
      <c r="AD130" s="13"/>
      <c r="AE130" s="13"/>
    </row>
    <row r="131" spans="1:31" s="12" customFormat="1" ht="15">
      <c r="A131" s="13"/>
      <c r="B131" s="37"/>
      <c r="C131" s="37"/>
      <c r="D131" s="37"/>
      <c r="E131" s="37"/>
      <c r="F131" s="37"/>
      <c r="G131" s="37"/>
      <c r="H131" s="37"/>
      <c r="I131" s="37"/>
      <c r="J131" s="37"/>
      <c r="K131" s="37"/>
      <c r="L131" s="37"/>
      <c r="M131" s="13"/>
      <c r="N131" s="13"/>
      <c r="O131" s="295"/>
      <c r="P131" s="295"/>
      <c r="Q131" s="295"/>
      <c r="R131" s="295"/>
      <c r="S131" s="13"/>
      <c r="T131" s="13"/>
      <c r="U131" s="13"/>
      <c r="V131" s="13"/>
      <c r="W131" s="13"/>
      <c r="X131" s="13"/>
      <c r="Y131" s="13"/>
      <c r="Z131" s="13"/>
      <c r="AA131" s="13"/>
      <c r="AB131" s="13"/>
      <c r="AC131" s="13"/>
      <c r="AD131" s="13"/>
      <c r="AE131" s="13"/>
    </row>
    <row r="132" spans="1:31" s="12" customFormat="1" ht="15">
      <c r="A132" s="13"/>
      <c r="B132" s="37"/>
      <c r="C132" s="37"/>
      <c r="D132" s="37"/>
      <c r="E132" s="37"/>
      <c r="F132" s="37"/>
      <c r="G132" s="37"/>
      <c r="H132" s="37"/>
      <c r="I132" s="37"/>
      <c r="J132" s="37"/>
      <c r="K132" s="37"/>
      <c r="L132" s="37"/>
      <c r="M132" s="13"/>
      <c r="N132" s="13"/>
      <c r="O132" s="295"/>
      <c r="P132" s="295"/>
      <c r="Q132" s="295"/>
      <c r="R132" s="295"/>
      <c r="S132" s="13"/>
      <c r="T132" s="13"/>
      <c r="U132" s="13"/>
      <c r="V132" s="13"/>
      <c r="W132" s="13"/>
      <c r="X132" s="13"/>
      <c r="Y132" s="13"/>
      <c r="Z132" s="13"/>
      <c r="AA132" s="13"/>
      <c r="AB132" s="13"/>
      <c r="AC132" s="13"/>
      <c r="AD132" s="13"/>
      <c r="AE132" s="13"/>
    </row>
    <row r="133" spans="1:31" s="12" customFormat="1" ht="15">
      <c r="A133" s="13"/>
      <c r="B133" s="37"/>
      <c r="C133" s="37"/>
      <c r="D133" s="37"/>
      <c r="E133" s="37"/>
      <c r="F133" s="37"/>
      <c r="G133" s="37"/>
      <c r="H133" s="37"/>
      <c r="I133" s="37"/>
      <c r="J133" s="37"/>
      <c r="K133" s="37"/>
      <c r="L133" s="37"/>
      <c r="M133" s="13"/>
      <c r="N133" s="13"/>
      <c r="O133" s="295"/>
      <c r="P133" s="295"/>
      <c r="Q133" s="295"/>
      <c r="R133" s="295"/>
      <c r="S133" s="13"/>
      <c r="T133" s="13"/>
      <c r="U133" s="13"/>
      <c r="V133" s="13"/>
      <c r="W133" s="13"/>
      <c r="X133" s="13"/>
      <c r="Y133" s="13"/>
      <c r="Z133" s="13"/>
      <c r="AA133" s="13"/>
      <c r="AB133" s="13"/>
      <c r="AC133" s="13"/>
      <c r="AD133" s="13"/>
      <c r="AE133" s="13"/>
    </row>
    <row r="134" spans="1:31" s="12" customFormat="1" ht="15">
      <c r="A134" s="13"/>
      <c r="B134" s="37"/>
      <c r="C134" s="37"/>
      <c r="D134" s="37"/>
      <c r="E134" s="37"/>
      <c r="F134" s="37"/>
      <c r="G134" s="37"/>
      <c r="H134" s="37"/>
      <c r="I134" s="37"/>
      <c r="J134" s="37"/>
      <c r="K134" s="37"/>
      <c r="L134" s="37"/>
      <c r="M134" s="13"/>
      <c r="N134" s="13"/>
      <c r="O134" s="295"/>
      <c r="P134" s="295"/>
      <c r="Q134" s="295"/>
      <c r="R134" s="295"/>
      <c r="S134" s="13"/>
      <c r="T134" s="13"/>
      <c r="U134" s="13"/>
      <c r="V134" s="13"/>
      <c r="W134" s="13"/>
      <c r="X134" s="13"/>
      <c r="Y134" s="13"/>
      <c r="Z134" s="13"/>
      <c r="AA134" s="13"/>
      <c r="AB134" s="13"/>
      <c r="AC134" s="13"/>
      <c r="AD134" s="13"/>
      <c r="AE134" s="13"/>
    </row>
    <row r="135" spans="1:31" s="12" customFormat="1" ht="15">
      <c r="A135" s="13"/>
      <c r="B135" s="37"/>
      <c r="C135" s="37"/>
      <c r="D135" s="37"/>
      <c r="E135" s="37"/>
      <c r="F135" s="37"/>
      <c r="G135" s="37"/>
      <c r="H135" s="37"/>
      <c r="I135" s="37"/>
      <c r="J135" s="37"/>
      <c r="K135" s="37"/>
      <c r="L135" s="37"/>
      <c r="M135" s="13"/>
      <c r="N135" s="13"/>
      <c r="O135" s="295"/>
      <c r="P135" s="295"/>
      <c r="Q135" s="295"/>
      <c r="R135" s="295"/>
      <c r="S135" s="13"/>
      <c r="T135" s="13"/>
      <c r="U135" s="13"/>
      <c r="V135" s="13"/>
      <c r="W135" s="13"/>
      <c r="X135" s="13"/>
      <c r="Y135" s="13"/>
      <c r="Z135" s="13"/>
      <c r="AA135" s="13"/>
      <c r="AB135" s="13"/>
      <c r="AC135" s="13"/>
      <c r="AD135" s="13"/>
      <c r="AE135" s="13"/>
    </row>
    <row r="136" spans="1:31" s="12" customFormat="1" ht="15">
      <c r="A136" s="13"/>
      <c r="B136" s="37"/>
      <c r="C136" s="37"/>
      <c r="D136" s="37"/>
      <c r="E136" s="37"/>
      <c r="F136" s="37"/>
      <c r="G136" s="37"/>
      <c r="H136" s="37"/>
      <c r="I136" s="37"/>
      <c r="J136" s="37"/>
      <c r="K136" s="37"/>
      <c r="L136" s="37"/>
      <c r="M136" s="13"/>
      <c r="N136" s="13"/>
      <c r="O136" s="295"/>
      <c r="P136" s="295"/>
      <c r="Q136" s="295"/>
      <c r="R136" s="295"/>
      <c r="S136" s="13"/>
      <c r="T136" s="13"/>
      <c r="U136" s="13"/>
      <c r="V136" s="13"/>
      <c r="W136" s="13"/>
      <c r="X136" s="13"/>
      <c r="Y136" s="13"/>
      <c r="Z136" s="13"/>
      <c r="AA136" s="13"/>
      <c r="AB136" s="13"/>
      <c r="AC136" s="13"/>
      <c r="AD136" s="13"/>
      <c r="AE136" s="13"/>
    </row>
    <row r="137" spans="1:31" s="12" customFormat="1" ht="15">
      <c r="A137" s="13"/>
      <c r="B137" s="37"/>
      <c r="C137" s="37"/>
      <c r="D137" s="37"/>
      <c r="E137" s="37"/>
      <c r="F137" s="37"/>
      <c r="G137" s="37"/>
      <c r="H137" s="37"/>
      <c r="I137" s="37"/>
      <c r="J137" s="37"/>
      <c r="K137" s="37"/>
      <c r="L137" s="37"/>
      <c r="M137" s="13"/>
      <c r="N137" s="13"/>
      <c r="O137" s="295"/>
      <c r="P137" s="295"/>
      <c r="Q137" s="295"/>
      <c r="R137" s="295"/>
      <c r="S137" s="13"/>
      <c r="T137" s="13"/>
      <c r="U137" s="13"/>
      <c r="V137" s="13"/>
      <c r="W137" s="13"/>
      <c r="X137" s="13"/>
      <c r="Y137" s="13"/>
      <c r="Z137" s="13"/>
      <c r="AA137" s="13"/>
      <c r="AB137" s="13"/>
      <c r="AC137" s="13"/>
      <c r="AD137" s="13"/>
      <c r="AE137" s="13"/>
    </row>
    <row r="138" spans="1:31" s="12" customFormat="1" ht="15">
      <c r="A138" s="13"/>
      <c r="B138" s="37"/>
      <c r="C138" s="37"/>
      <c r="D138" s="37"/>
      <c r="E138" s="37"/>
      <c r="F138" s="37"/>
      <c r="G138" s="37"/>
      <c r="H138" s="37"/>
      <c r="I138" s="37"/>
      <c r="J138" s="37"/>
      <c r="K138" s="37"/>
      <c r="L138" s="37"/>
      <c r="M138" s="13"/>
      <c r="N138" s="13"/>
      <c r="O138" s="295"/>
      <c r="P138" s="295"/>
      <c r="Q138" s="295"/>
      <c r="R138" s="295"/>
      <c r="S138" s="13"/>
      <c r="T138" s="13"/>
      <c r="U138" s="13"/>
      <c r="V138" s="13"/>
      <c r="W138" s="13"/>
      <c r="X138" s="13"/>
      <c r="Y138" s="13"/>
      <c r="Z138" s="13"/>
      <c r="AA138" s="13"/>
      <c r="AB138" s="13"/>
      <c r="AC138" s="13"/>
      <c r="AD138" s="13"/>
      <c r="AE138" s="13"/>
    </row>
    <row r="139" spans="1:31" s="12" customFormat="1" ht="15">
      <c r="A139" s="13"/>
      <c r="B139" s="37"/>
      <c r="C139" s="37"/>
      <c r="D139" s="37"/>
      <c r="E139" s="37"/>
      <c r="F139" s="37"/>
      <c r="G139" s="37"/>
      <c r="H139" s="37"/>
      <c r="I139" s="37"/>
      <c r="J139" s="37"/>
      <c r="K139" s="37"/>
      <c r="L139" s="37"/>
      <c r="M139" s="13"/>
      <c r="N139" s="13"/>
      <c r="O139" s="295"/>
      <c r="P139" s="295"/>
      <c r="Q139" s="295"/>
      <c r="R139" s="295"/>
      <c r="S139" s="13"/>
      <c r="T139" s="13"/>
      <c r="U139" s="13"/>
      <c r="V139" s="13"/>
      <c r="W139" s="13"/>
      <c r="X139" s="13"/>
      <c r="Y139" s="13"/>
      <c r="Z139" s="13"/>
      <c r="AA139" s="13"/>
      <c r="AB139" s="13"/>
      <c r="AC139" s="13"/>
      <c r="AD139" s="13"/>
      <c r="AE139" s="13"/>
    </row>
    <row r="140" spans="1:31" s="12" customFormat="1" ht="15">
      <c r="A140" s="13"/>
      <c r="B140" s="37"/>
      <c r="C140" s="37"/>
      <c r="D140" s="37"/>
      <c r="E140" s="37"/>
      <c r="F140" s="37"/>
      <c r="G140" s="37"/>
      <c r="H140" s="37"/>
      <c r="I140" s="37"/>
      <c r="J140" s="37"/>
      <c r="K140" s="37"/>
      <c r="L140" s="37"/>
      <c r="M140" s="13"/>
      <c r="N140" s="13"/>
      <c r="O140" s="295"/>
      <c r="P140" s="295"/>
      <c r="Q140" s="295"/>
      <c r="R140" s="295"/>
      <c r="S140" s="13"/>
      <c r="T140" s="13"/>
      <c r="U140" s="13"/>
      <c r="V140" s="13"/>
      <c r="W140" s="13"/>
      <c r="X140" s="13"/>
      <c r="Y140" s="13"/>
      <c r="Z140" s="13"/>
      <c r="AA140" s="13"/>
      <c r="AB140" s="13"/>
      <c r="AC140" s="13"/>
      <c r="AD140" s="13"/>
      <c r="AE140" s="13"/>
    </row>
    <row r="141" spans="1:31" s="12" customFormat="1" ht="15">
      <c r="A141" s="13"/>
      <c r="B141" s="37"/>
      <c r="C141" s="37"/>
      <c r="D141" s="37"/>
      <c r="E141" s="37"/>
      <c r="F141" s="37"/>
      <c r="G141" s="37"/>
      <c r="H141" s="37"/>
      <c r="I141" s="37"/>
      <c r="J141" s="37"/>
      <c r="K141" s="37"/>
      <c r="L141" s="37"/>
      <c r="M141" s="13"/>
      <c r="N141" s="13"/>
      <c r="O141" s="295"/>
      <c r="P141" s="295"/>
      <c r="Q141" s="295"/>
      <c r="R141" s="295"/>
      <c r="S141" s="13"/>
      <c r="T141" s="13"/>
      <c r="U141" s="13"/>
      <c r="V141" s="13"/>
      <c r="W141" s="13"/>
      <c r="X141" s="13"/>
      <c r="Y141" s="13"/>
      <c r="Z141" s="13"/>
      <c r="AA141" s="13"/>
      <c r="AB141" s="13"/>
      <c r="AC141" s="13"/>
      <c r="AD141" s="13"/>
      <c r="AE141" s="13"/>
    </row>
    <row r="142" spans="1:31" s="12" customFormat="1" ht="15">
      <c r="A142" s="13"/>
      <c r="B142" s="37"/>
      <c r="C142" s="37"/>
      <c r="D142" s="37"/>
      <c r="E142" s="37"/>
      <c r="F142" s="37"/>
      <c r="G142" s="37"/>
      <c r="H142" s="37"/>
      <c r="I142" s="37"/>
      <c r="J142" s="37"/>
      <c r="K142" s="37"/>
      <c r="L142" s="37"/>
      <c r="M142" s="13"/>
      <c r="N142" s="13"/>
      <c r="O142" s="295"/>
      <c r="P142" s="295"/>
      <c r="Q142" s="295"/>
      <c r="R142" s="295"/>
      <c r="S142" s="13"/>
      <c r="T142" s="13"/>
      <c r="U142" s="13"/>
      <c r="V142" s="13"/>
      <c r="W142" s="13"/>
      <c r="X142" s="13"/>
      <c r="Y142" s="13"/>
      <c r="Z142" s="13"/>
      <c r="AA142" s="13"/>
      <c r="AB142" s="13"/>
      <c r="AC142" s="13"/>
      <c r="AD142" s="13"/>
      <c r="AE142" s="13"/>
    </row>
    <row r="143" spans="1:31" s="12" customFormat="1" ht="15">
      <c r="A143" s="13"/>
      <c r="B143" s="37"/>
      <c r="C143" s="37"/>
      <c r="D143" s="37"/>
      <c r="E143" s="37"/>
      <c r="F143" s="37"/>
      <c r="G143" s="37"/>
      <c r="H143" s="37"/>
      <c r="I143" s="37"/>
      <c r="J143" s="37"/>
      <c r="K143" s="37"/>
      <c r="L143" s="37"/>
      <c r="M143" s="13"/>
      <c r="N143" s="13"/>
      <c r="O143" s="295"/>
      <c r="P143" s="295"/>
      <c r="Q143" s="295"/>
      <c r="R143" s="295"/>
      <c r="S143" s="13"/>
      <c r="T143" s="13"/>
      <c r="U143" s="13"/>
      <c r="V143" s="13"/>
      <c r="W143" s="13"/>
      <c r="X143" s="13"/>
      <c r="Y143" s="13"/>
      <c r="Z143" s="13"/>
      <c r="AA143" s="13"/>
      <c r="AB143" s="13"/>
      <c r="AC143" s="13"/>
      <c r="AD143" s="13"/>
      <c r="AE143" s="13"/>
    </row>
  </sheetData>
  <sheetProtection sheet="1" formatRows="0"/>
  <mergeCells count="60">
    <mergeCell ref="C91:F91"/>
    <mergeCell ref="C92:F92"/>
    <mergeCell ref="C8:F8"/>
    <mergeCell ref="C10:F10"/>
    <mergeCell ref="C11:F11"/>
    <mergeCell ref="C12:F12"/>
    <mergeCell ref="C89:F89"/>
    <mergeCell ref="C70:H70"/>
    <mergeCell ref="H87:J87"/>
    <mergeCell ref="C88:F88"/>
    <mergeCell ref="D76:K76"/>
    <mergeCell ref="C28:F28"/>
    <mergeCell ref="C84:K84"/>
    <mergeCell ref="D79:K79"/>
    <mergeCell ref="D77:K77"/>
    <mergeCell ref="C90:F90"/>
    <mergeCell ref="C42:F42"/>
    <mergeCell ref="C44:G44"/>
    <mergeCell ref="C43:F43"/>
    <mergeCell ref="C36:F36"/>
    <mergeCell ref="C86:F86"/>
    <mergeCell ref="C87:F87"/>
    <mergeCell ref="C9:F9"/>
    <mergeCell ref="C14:F14"/>
    <mergeCell ref="C13:F13"/>
    <mergeCell ref="C83:F83"/>
    <mergeCell ref="F65:I65"/>
    <mergeCell ref="D80:K80"/>
    <mergeCell ref="D71:K71"/>
    <mergeCell ref="C49:F49"/>
    <mergeCell ref="D72:K72"/>
    <mergeCell ref="B3:K3"/>
    <mergeCell ref="C59:E59"/>
    <mergeCell ref="C60:I60"/>
    <mergeCell ref="H89:J89"/>
    <mergeCell ref="H82:J82"/>
    <mergeCell ref="C85:F85"/>
    <mergeCell ref="D78:K78"/>
    <mergeCell ref="H83:J83"/>
    <mergeCell ref="H81:K81"/>
    <mergeCell ref="B4:K4"/>
    <mergeCell ref="B5:K5"/>
    <mergeCell ref="C51:G51"/>
    <mergeCell ref="C56:F56"/>
    <mergeCell ref="C30:G30"/>
    <mergeCell ref="C35:F35"/>
    <mergeCell ref="C37:G37"/>
    <mergeCell ref="C29:F29"/>
    <mergeCell ref="C7:F7"/>
    <mergeCell ref="C22:F22"/>
    <mergeCell ref="B2:F2"/>
    <mergeCell ref="E93:I93"/>
    <mergeCell ref="C6:F6"/>
    <mergeCell ref="C15:H15"/>
    <mergeCell ref="C21:F21"/>
    <mergeCell ref="C23:G23"/>
    <mergeCell ref="D73:J73"/>
    <mergeCell ref="D74:K74"/>
    <mergeCell ref="D75:K75"/>
    <mergeCell ref="D81:G81"/>
  </mergeCells>
  <conditionalFormatting sqref="F65:I65">
    <cfRule type="expression" priority="1" dxfId="3" stopIfTrue="1">
      <formula>$E$65="N/A"</formula>
    </cfRule>
  </conditionalFormatting>
  <dataValidations count="32">
    <dataValidation type="decimal" allowBlank="1" showInputMessage="1" showErrorMessage="1" prompt="Sluice trough idling hours are the number of hours the sluice trough has water flowing when your food grinder is not in use." error="Your sluice trough idling hours must be less than your total daily use of your food grinder and sluice trough use." sqref="I53:I54">
      <formula1>0</formula1>
      <formula2>H53</formula2>
    </dataValidation>
    <dataValidation type="whole" operator="greaterThanOrEqual" allowBlank="1" showInputMessage="1" showErrorMessage="1" error="The number of ice makers installed in your commercial kitchens must be a whole number greater than or equal to the number of ENERGY STAR qualified ice makers installed." sqref="H17:H19">
      <formula1>I17</formula1>
    </dataValidation>
    <dataValidation type="whole" allowBlank="1" showInputMessage="1" showErrorMessage="1" prompt="The number of ENERGY STAR qualified ice makers, if applicable, should be a subset of the total number installed. Only air-cooled models are eligible for ENERGY STAR qualification." error="The number of ENERGY STAR qualified ice makers must be a whole number less than or equal to the total number of this type of ice maker installed." sqref="I17:I19">
      <formula1>0</formula1>
      <formula2>H17</formula2>
    </dataValidation>
    <dataValidation type="whole" operator="lessThanOrEqual" allowBlank="1" showInputMessage="1" showErrorMessage="1" prompt="The number of ENERGY STAR qualified steam cookers, if applicable, should be a subset of the total number installed. Only connectionless units are eligible for ENERGY STAR qualification." error="The number of ENERGY STAR qualified steam cookers must be a whole number less than or equal to the total number of this type of steam cooker installed." sqref="G25:G26">
      <formula1>F25</formula1>
    </dataValidation>
    <dataValidation type="whole" operator="greaterThanOrEqual" allowBlank="1" showInputMessage="1" showErrorMessage="1" error="The number of steam cookers installed in your commercial kitchens must be a whole number greater than or equal to the number of ENERGY STAR qualified steam cookers installed." sqref="F25:F26">
      <formula1>G25</formula1>
    </dataValidation>
    <dataValidation type="decimal" operator="greaterThan" allowBlank="1" showInputMessage="1" showErrorMessage="1" error="Gallons of water use per pound of ice generated must be a value greater than 0." sqref="G85">
      <formula1>0</formula1>
    </dataValidation>
    <dataValidation type="decimal" operator="greaterThan" allowBlank="1" showInputMessage="1" showErrorMessage="1" error="Hourly gallons of water used by a standard steam cooker must be a value greater than 0." sqref="G86">
      <formula1>0</formula1>
    </dataValidation>
    <dataValidation type="decimal" operator="greaterThan" allowBlank="1" showInputMessage="1" showErrorMessage="1" error="Hourly gallons of water used by an ENERGY STAR qualified steam cooker must be a value greater than 0." sqref="G87">
      <formula1>0</formula1>
    </dataValidation>
    <dataValidation type="decimal" operator="greaterThan" allowBlank="1" showInputMessage="1" showErrorMessage="1" error="Hourly gallons of water used by a boiler-based combination over must be a value greater than 0." sqref="G88">
      <formula1>0</formula1>
    </dataValidation>
    <dataValidation type="decimal" operator="greaterThan" allowBlank="1" showInputMessage="1" showErrorMessage="1" error="Hourly gallons of water used by a connectionless combination over must be a value greater than 0." sqref="G89">
      <formula1>0</formula1>
    </dataValidation>
    <dataValidation type="decimal" operator="greaterThan" allowBlank="1" showInputMessage="1" showErrorMessage="1" error="Gallons of water used by a dipper well per minute must be a value greater than 0." sqref="G90">
      <formula1>0</formula1>
    </dataValidation>
    <dataValidation type="decimal" operator="greaterThanOrEqual" allowBlank="1" showInputMessage="1" showErrorMessage="1" error="The idle flow rate used by a load sensor must be a value greater than or equal to 0." sqref="G91">
      <formula1>0</formula1>
    </dataValidation>
    <dataValidation type="decimal" allowBlank="1" showInputMessage="1" showErrorMessage="1" error="The daily number of hours the equipment is used must be between 0 and 24." sqref="H53:H54 G46:G47 H25:H26 G32:G33 H39:H40">
      <formula1>0</formula1>
      <formula2>24</formula2>
    </dataValidation>
    <dataValidation type="list" allowBlank="1" showInputMessage="1" showErrorMessage="1" sqref="G17:G19">
      <formula1>"Air-Cooled,Single-Pass Water Cooling,Recirculated Water Cooling"</formula1>
    </dataValidation>
    <dataValidation type="list" allowBlank="1" showInputMessage="1" showErrorMessage="1" prompt="Batch: An ice maker that alternates freezing and harvest periods. These makers typically produce cube type ice.&#10;&#10;Continuous: An ice maker that continually freezes and harvests ice at the same time. These makers typically produce flake or nugget ice." sqref="F17:F19">
      <formula1>"Batch,Continuous"</formula1>
    </dataValidation>
    <dataValidation type="list" allowBlank="1" showInputMessage="1" showErrorMessage="1" sqref="G21 G56 G8 G35 G13 G28 G49">
      <formula1>"Yes,No"</formula1>
    </dataValidation>
    <dataValidation type="list" allowBlank="1" showInputMessage="1" showErrorMessage="1" prompt="Boiler-based combination ovens are connected to a facility boiler system. Connectionless combination ovens are typically filled with water and generate their own steam." sqref="E32:E33">
      <formula1>"Boiler-Based Unit,Connectionless Unit"</formula1>
    </dataValidation>
    <dataValidation type="list" allowBlank="1" showInputMessage="1" showErrorMessage="1" sqref="E53:E54">
      <formula1>"Food Grinder,Food Pulper,Food Strainer"</formula1>
    </dataValidation>
    <dataValidation type="list" allowBlank="1" showInputMessage="1" showErrorMessage="1" prompt="A dipper well is a spigot and valve that flows water into a receiving well, used typically to rinse utensils between uses." sqref="G42">
      <formula1>"Yes,No"</formula1>
    </dataValidation>
    <dataValidation type="list" allowBlank="1" showInputMessage="1" showErrorMessage="1" prompt="Ice Making Head: ice-maker and condenser are in single package with separate ice storage bin.&#10;&#10;Remote Condensing Unit: ice-maker and condenser are separate units.&#10;&#10;Self Contained Unit: ice-making mechanism and storage compartment are in integrated cabinet" sqref="E17:E19">
      <formula1>IceMachineTypes</formula1>
    </dataValidation>
    <dataValidation type="decimal" allowBlank="1" showInputMessage="1" showErrorMessage="1" error="The number of operating days must be less than or equal to 365." sqref="G10">
      <formula1>0</formula1>
      <formula2>365</formula2>
    </dataValidation>
    <dataValidation type="decimal" allowBlank="1" showInputMessage="1" showErrorMessage="1" error="The number of operating hours must be between 0 and 24." sqref="G11">
      <formula1>0</formula1>
      <formula2>24</formula2>
    </dataValidation>
    <dataValidation type="whole" operator="greaterThan" allowBlank="1" showInputMessage="1" showErrorMessage="1" error="Since you selected &quot;Yes&quot; for question 4, the number of combination ovens in your commercial kitchens must be a whole number greater than 0." sqref="F32:F33">
      <formula1>0</formula1>
    </dataValidation>
    <dataValidation type="whole" operator="greaterThan" allowBlank="1" showInputMessage="1" showErrorMessage="1" error="Since you selected &quot;Yes&quot; for question 5, the number of steam kettles installed in your commercial kitchens must be a whole number greater than 0." sqref="F39:F40">
      <formula1>0</formula1>
    </dataValidation>
    <dataValidation type="whole" operator="greaterThan" allowBlank="1" showInputMessage="1" showErrorMessage="1" error="Since you selected &quot;Yes&quot; for question 6, the number of dipper wells in your commercial kitchens must be a whole number greater than 0." sqref="E46:E47">
      <formula1>0</formula1>
    </dataValidation>
    <dataValidation type="whole" operator="greaterThan" allowBlank="1" showInputMessage="1" showErrorMessage="1" error="Since you selected &quot;Yes&quot; for question 7, the number of food disposals installed in your commercial kitchens must be a whole number greater than 0." sqref="F53:F54">
      <formula1>0</formula1>
    </dataValidation>
    <dataValidation type="decimal" allowBlank="1" showInputMessage="1" showErrorMessage="1" error="The water flow rate associated with your food grinder must be between 0 and 15 gpm." sqref="G53:G54">
      <formula1>0</formula1>
      <formula2>15</formula2>
    </dataValidation>
    <dataValidation allowBlank="1" showInputMessage="1" showErrorMessage="1" prompt="Flow rates for dipper wells are typically between 0.3 and 1.0 gpm." error="Flow rates for dipper wells cannot exceed 5 gpm and are typically between 0.3 and 1.0 gpm." sqref="F47"/>
    <dataValidation type="decimal" allowBlank="1" showInputMessage="1" showErrorMessage="1" prompt="Flow rates for dipper wells are typically between 0.3 and 1.0 gpm." error="Flow rates for dipper wells cannot exceed 5 gpm and are typically between 0.3 and 1.0 gpm." sqref="F46">
      <formula1>0</formula1>
      <formula2>5</formula2>
    </dataValidation>
    <dataValidation type="list" allowBlank="1" showInputMessage="1" showErrorMessage="1" prompt="Boiler-based steam cookers are connected to a facility boiler system. Connectionless steam cookers are typically filled with water and generate their own steam." sqref="E25:E26">
      <formula1>"Boiler-Based Unit,Connectionless Unit"</formula1>
    </dataValidation>
    <dataValidation type="list" allowBlank="1" showInputMessage="1" showErrorMessage="1" prompt="Boiler-based steam kettles are connected to a facility boiler system. &#10;&#10;Self-contained steam kettles are typically filled with water and generate their own steam." sqref="E39:E40">
      <formula1>"Boiler-Based Unit,Self-Contained Unit"</formula1>
    </dataValidation>
    <dataValidation type="list" allowBlank="1" showInputMessage="1" showErrorMessage="1" prompt="A condensate return system directs condensate from the steam kettle back into the central boiler system for reuse." sqref="G39:G40">
      <formula1>"Yes,No"</formula1>
    </dataValidation>
  </dataValidations>
  <hyperlinks>
    <hyperlink ref="H81:I81" r:id="rId1" display="Commercial Kitchen BMPs."/>
    <hyperlink ref="H81:J81" r:id="rId2" display="WaterSense at Work Section 4: Commercial Kitchen Equipment"/>
  </hyperlinks>
  <printOptions/>
  <pageMargins left="0.7" right="0.7" top="0.75" bottom="0.75" header="0.3" footer="0.3"/>
  <pageSetup fitToHeight="0" fitToWidth="1" horizontalDpi="1200" verticalDpi="1200" orientation="landscape" scale="64" r:id="rId5"/>
  <drawing r:id="rId4"/>
  <legacyDrawing r:id="rId3"/>
</worksheet>
</file>

<file path=xl/worksheets/sheet11.xml><?xml version="1.0" encoding="utf-8"?>
<worksheet xmlns="http://schemas.openxmlformats.org/spreadsheetml/2006/main" xmlns:r="http://schemas.openxmlformats.org/officeDocument/2006/relationships">
  <sheetPr codeName="Dishwashing"/>
  <dimension ref="A1:AW110"/>
  <sheetViews>
    <sheetView zoomScalePageLayoutView="0" workbookViewId="0" topLeftCell="A1">
      <pane xSplit="1" ySplit="2" topLeftCell="B3" activePane="bottomRight" state="frozen"/>
      <selection pane="topLeft" activeCell="B2" sqref="B2:D2"/>
      <selection pane="topRight" activeCell="B2" sqref="B2:D2"/>
      <selection pane="bottomLeft" activeCell="B2" sqref="B2:D2"/>
      <selection pane="bottomRight" activeCell="F8" sqref="F8"/>
    </sheetView>
  </sheetViews>
  <sheetFormatPr defaultColWidth="9.140625" defaultRowHeight="15"/>
  <cols>
    <col min="1" max="1" width="4.7109375" style="12" customWidth="1"/>
    <col min="2" max="2" width="4.7109375" style="1" customWidth="1"/>
    <col min="3" max="3" width="6.7109375" style="1" customWidth="1"/>
    <col min="4" max="4" width="23.8515625" style="1" customWidth="1"/>
    <col min="5" max="5" width="25.421875" style="1" customWidth="1"/>
    <col min="6" max="6" width="16.421875" style="1" customWidth="1"/>
    <col min="7" max="7" width="16.57421875" style="1" customWidth="1"/>
    <col min="8" max="8" width="17.140625" style="1" customWidth="1"/>
    <col min="9" max="9" width="16.421875" style="1" customWidth="1"/>
    <col min="10" max="11" width="14.7109375" style="1" customWidth="1"/>
    <col min="12" max="12" width="15.28125" style="1" customWidth="1"/>
    <col min="13" max="13" width="9.421875" style="1" customWidth="1"/>
    <col min="14" max="14" width="4.7109375" style="12" customWidth="1"/>
    <col min="15" max="36" width="9.140625" style="12" customWidth="1"/>
    <col min="37" max="16384" width="9.140625" style="1" customWidth="1"/>
  </cols>
  <sheetData>
    <row r="1" spans="1:36" s="12" customFormat="1" ht="42" customHeight="1">
      <c r="A1" s="13"/>
      <c r="B1" s="13"/>
      <c r="C1" s="13"/>
      <c r="D1" s="797" t="s">
        <v>783</v>
      </c>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row>
    <row r="2" spans="1:36" ht="18.75">
      <c r="A2" s="13"/>
      <c r="B2" s="956" t="s">
        <v>212</v>
      </c>
      <c r="C2" s="956"/>
      <c r="D2" s="956"/>
      <c r="E2" s="527"/>
      <c r="F2" s="271"/>
      <c r="G2" s="39"/>
      <c r="H2" s="39"/>
      <c r="I2" s="39"/>
      <c r="J2" s="39"/>
      <c r="K2" s="39"/>
      <c r="L2" s="39"/>
      <c r="M2" s="39"/>
      <c r="N2" s="13"/>
      <c r="O2" s="13"/>
      <c r="P2" s="13"/>
      <c r="Q2" s="13"/>
      <c r="R2" s="13"/>
      <c r="S2" s="13"/>
      <c r="T2" s="13"/>
      <c r="U2" s="13"/>
      <c r="V2" s="13"/>
      <c r="W2" s="13"/>
      <c r="X2" s="13"/>
      <c r="Y2" s="13"/>
      <c r="Z2" s="13"/>
      <c r="AA2" s="13"/>
      <c r="AB2" s="13"/>
      <c r="AC2" s="13"/>
      <c r="AD2" s="13"/>
      <c r="AE2" s="13"/>
      <c r="AF2" s="13"/>
      <c r="AG2" s="13"/>
      <c r="AH2" s="13"/>
      <c r="AI2" s="13"/>
      <c r="AJ2" s="13"/>
    </row>
    <row r="3" spans="1:36" s="390" customFormat="1" ht="85.5" customHeight="1">
      <c r="A3" s="50"/>
      <c r="B3" s="954" t="s">
        <v>824</v>
      </c>
      <c r="C3" s="955"/>
      <c r="D3" s="955"/>
      <c r="E3" s="955"/>
      <c r="F3" s="955"/>
      <c r="G3" s="955"/>
      <c r="H3" s="955"/>
      <c r="I3" s="955"/>
      <c r="J3" s="955"/>
      <c r="K3" s="955"/>
      <c r="L3" s="955"/>
      <c r="M3" s="776"/>
      <c r="N3" s="50"/>
      <c r="O3" s="50"/>
      <c r="P3" s="50"/>
      <c r="Q3" s="50"/>
      <c r="R3" s="50"/>
      <c r="S3" s="50"/>
      <c r="T3" s="50"/>
      <c r="U3" s="50"/>
      <c r="V3" s="50"/>
      <c r="W3" s="50"/>
      <c r="X3" s="50"/>
      <c r="Y3" s="50"/>
      <c r="Z3" s="50"/>
      <c r="AA3" s="50"/>
      <c r="AB3" s="50"/>
      <c r="AC3" s="50"/>
      <c r="AD3" s="50"/>
      <c r="AE3" s="50"/>
      <c r="AF3" s="50"/>
      <c r="AG3" s="50"/>
      <c r="AH3" s="50"/>
      <c r="AI3" s="50"/>
      <c r="AJ3" s="50"/>
    </row>
    <row r="4" spans="1:36" s="390" customFormat="1" ht="55.5" customHeight="1">
      <c r="A4" s="50"/>
      <c r="B4" s="954" t="s">
        <v>825</v>
      </c>
      <c r="C4" s="955"/>
      <c r="D4" s="955"/>
      <c r="E4" s="955"/>
      <c r="F4" s="955"/>
      <c r="G4" s="955"/>
      <c r="H4" s="955"/>
      <c r="I4" s="955"/>
      <c r="J4" s="955"/>
      <c r="K4" s="955"/>
      <c r="L4" s="955"/>
      <c r="M4" s="776"/>
      <c r="N4" s="50"/>
      <c r="O4" s="50"/>
      <c r="P4" s="50"/>
      <c r="Q4" s="50"/>
      <c r="R4" s="50"/>
      <c r="S4" s="50"/>
      <c r="T4" s="50"/>
      <c r="U4" s="50"/>
      <c r="V4" s="50"/>
      <c r="W4" s="50"/>
      <c r="X4" s="50"/>
      <c r="Y4" s="50"/>
      <c r="Z4" s="50"/>
      <c r="AA4" s="50"/>
      <c r="AB4" s="50"/>
      <c r="AC4" s="50"/>
      <c r="AD4" s="50"/>
      <c r="AE4" s="50"/>
      <c r="AF4" s="50"/>
      <c r="AG4" s="50"/>
      <c r="AH4" s="50"/>
      <c r="AI4" s="50"/>
      <c r="AJ4" s="50"/>
    </row>
    <row r="5" spans="1:36" s="390" customFormat="1" ht="27" customHeight="1">
      <c r="A5" s="50"/>
      <c r="B5" s="954" t="s">
        <v>818</v>
      </c>
      <c r="C5" s="955"/>
      <c r="D5" s="955"/>
      <c r="E5" s="955"/>
      <c r="F5" s="955"/>
      <c r="G5" s="955"/>
      <c r="H5" s="955"/>
      <c r="I5" s="955"/>
      <c r="J5" s="955"/>
      <c r="K5" s="955"/>
      <c r="L5" s="955"/>
      <c r="M5" s="776"/>
      <c r="N5" s="50"/>
      <c r="O5" s="50"/>
      <c r="P5" s="50"/>
      <c r="Q5" s="50"/>
      <c r="R5" s="50"/>
      <c r="S5" s="50"/>
      <c r="T5" s="50"/>
      <c r="U5" s="50"/>
      <c r="V5" s="50"/>
      <c r="W5" s="50"/>
      <c r="X5" s="50"/>
      <c r="Y5" s="50"/>
      <c r="Z5" s="50"/>
      <c r="AA5" s="50"/>
      <c r="AB5" s="50"/>
      <c r="AC5" s="50"/>
      <c r="AD5" s="50"/>
      <c r="AE5" s="50"/>
      <c r="AF5" s="50"/>
      <c r="AG5" s="50"/>
      <c r="AH5" s="50"/>
      <c r="AI5" s="50"/>
      <c r="AJ5" s="50"/>
    </row>
    <row r="6" spans="1:36" ht="18.75">
      <c r="A6" s="13"/>
      <c r="B6" s="39"/>
      <c r="C6" s="956" t="s">
        <v>18</v>
      </c>
      <c r="D6" s="956"/>
      <c r="E6" s="427"/>
      <c r="F6"/>
      <c r="G6" s="39"/>
      <c r="H6" s="39"/>
      <c r="I6" s="39"/>
      <c r="J6" s="39"/>
      <c r="K6" s="39"/>
      <c r="L6" s="39"/>
      <c r="M6" s="39"/>
      <c r="N6" s="13"/>
      <c r="O6" s="13"/>
      <c r="P6" s="36"/>
      <c r="Q6" s="13"/>
      <c r="R6" s="13"/>
      <c r="S6" s="13"/>
      <c r="T6" s="13"/>
      <c r="U6" s="13"/>
      <c r="V6" s="13"/>
      <c r="W6" s="13"/>
      <c r="X6" s="13"/>
      <c r="Y6" s="13"/>
      <c r="Z6" s="13"/>
      <c r="AA6" s="13"/>
      <c r="AB6" s="13"/>
      <c r="AC6" s="13"/>
      <c r="AD6" s="13"/>
      <c r="AE6" s="13"/>
      <c r="AF6" s="13"/>
      <c r="AG6" s="13"/>
      <c r="AH6" s="13"/>
      <c r="AI6" s="13"/>
      <c r="AJ6" s="13"/>
    </row>
    <row r="7" spans="1:36" ht="15">
      <c r="A7" s="13"/>
      <c r="B7" s="39"/>
      <c r="C7" s="39"/>
      <c r="D7" s="39"/>
      <c r="E7" s="39"/>
      <c r="F7" s="39"/>
      <c r="G7" s="39"/>
      <c r="H7" s="39"/>
      <c r="I7" s="39"/>
      <c r="J7" s="39"/>
      <c r="K7" s="39"/>
      <c r="L7" s="39"/>
      <c r="M7" s="39"/>
      <c r="N7" s="13"/>
      <c r="O7" s="36" t="str">
        <f>IF(OR(StatusOfCalcFields="Incomplete",StatusOfUtilityFields="Incomplete"),"Calculations on this tab use information from the 'Facility Info' tab. Therefore you must first complete the 'Facility Info' tab before you can display these results.","")</f>
        <v>Calculations on this tab use information from the 'Facility Info' tab. Therefore you must first complete the 'Facility Info' tab before you can display these results.</v>
      </c>
      <c r="P7" s="13"/>
      <c r="Q7" s="13"/>
      <c r="R7" s="13"/>
      <c r="S7" s="13"/>
      <c r="T7" s="13"/>
      <c r="U7" s="13"/>
      <c r="V7" s="13"/>
      <c r="W7" s="13"/>
      <c r="X7" s="13"/>
      <c r="Y7" s="13"/>
      <c r="Z7" s="13"/>
      <c r="AA7" s="13"/>
      <c r="AB7" s="13"/>
      <c r="AC7" s="13"/>
      <c r="AD7" s="13"/>
      <c r="AE7" s="13"/>
      <c r="AF7" s="13"/>
      <c r="AG7" s="13"/>
      <c r="AH7" s="13"/>
      <c r="AI7" s="13"/>
      <c r="AJ7" s="13"/>
    </row>
    <row r="8" spans="1:36" ht="15">
      <c r="A8" s="13"/>
      <c r="B8" s="39"/>
      <c r="C8" s="878" t="s">
        <v>297</v>
      </c>
      <c r="D8" s="878"/>
      <c r="E8" s="883"/>
      <c r="F8" s="744"/>
      <c r="G8"/>
      <c r="H8" s="40"/>
      <c r="I8" s="39"/>
      <c r="J8" s="39"/>
      <c r="K8" s="39"/>
      <c r="L8" s="39"/>
      <c r="M8" s="39"/>
      <c r="N8" s="13"/>
      <c r="O8" s="36" t="str">
        <f>IF(OR(Dishwashing&lt;&gt;"Yes",AND(OperatingDays&lt;&gt;"",CommercialDishwasher&lt;&gt;"Yes",PRSV&lt;&gt;"Yes")),"Based on your current inputs, there are no results to display.","")</f>
        <v>Based on your current inputs, there are no results to display.</v>
      </c>
      <c r="P8" s="13"/>
      <c r="Q8" s="13"/>
      <c r="R8" s="13"/>
      <c r="S8" s="13"/>
      <c r="T8" s="13"/>
      <c r="U8" s="13"/>
      <c r="V8" s="13"/>
      <c r="W8" s="13"/>
      <c r="X8" s="13"/>
      <c r="Y8" s="13"/>
      <c r="Z8" s="13"/>
      <c r="AA8" s="13"/>
      <c r="AB8" s="13"/>
      <c r="AC8" s="13"/>
      <c r="AD8" s="13"/>
      <c r="AE8" s="13"/>
      <c r="AF8" s="13"/>
      <c r="AG8" s="13"/>
      <c r="AH8" s="13"/>
      <c r="AI8" s="13"/>
      <c r="AJ8" s="13"/>
    </row>
    <row r="9" spans="1:36" ht="12" customHeight="1">
      <c r="A9" s="13"/>
      <c r="B9" s="39"/>
      <c r="C9" s="39"/>
      <c r="D9" s="879"/>
      <c r="E9" s="879"/>
      <c r="F9" s="879"/>
      <c r="G9" s="39"/>
      <c r="H9" s="40"/>
      <c r="I9" s="39"/>
      <c r="J9" s="39"/>
      <c r="K9" s="39"/>
      <c r="L9" s="39"/>
      <c r="M9" s="39"/>
      <c r="N9" s="13"/>
      <c r="O9" s="13"/>
      <c r="P9" s="13"/>
      <c r="Q9" s="13"/>
      <c r="R9" s="13"/>
      <c r="S9" s="13"/>
      <c r="T9" s="13"/>
      <c r="U9" s="13"/>
      <c r="V9" s="13"/>
      <c r="W9" s="13"/>
      <c r="X9" s="13"/>
      <c r="Y9" s="13"/>
      <c r="Z9" s="13"/>
      <c r="AA9" s="13"/>
      <c r="AB9" s="13"/>
      <c r="AC9" s="13"/>
      <c r="AD9" s="13"/>
      <c r="AE9" s="13"/>
      <c r="AF9" s="13"/>
      <c r="AG9" s="13"/>
      <c r="AH9" s="13"/>
      <c r="AI9" s="13"/>
      <c r="AJ9" s="13"/>
    </row>
    <row r="10" spans="1:36" ht="15" customHeight="1" hidden="1">
      <c r="A10" s="13"/>
      <c r="B10" s="39"/>
      <c r="C10" s="980" t="s">
        <v>806</v>
      </c>
      <c r="D10" s="980"/>
      <c r="E10" s="980"/>
      <c r="F10" s="750"/>
      <c r="G10" s="39"/>
      <c r="H10" s="39"/>
      <c r="I10" s="39"/>
      <c r="J10" s="39"/>
      <c r="K10" s="39"/>
      <c r="L10" s="39"/>
      <c r="M10" s="39"/>
      <c r="N10" s="36"/>
      <c r="O10" s="36" t="str">
        <f>IF(ISNUMBER(F10)=FALSE,"Question 1a (operating days) is missing or invalid.","")</f>
        <v>Question 1a (operating days) is missing or invalid.</v>
      </c>
      <c r="P10" s="13"/>
      <c r="Q10" s="13"/>
      <c r="R10" s="13"/>
      <c r="S10" s="13"/>
      <c r="T10" s="13"/>
      <c r="U10" s="13"/>
      <c r="V10" s="13"/>
      <c r="W10" s="13"/>
      <c r="X10" s="13"/>
      <c r="Y10" s="13"/>
      <c r="Z10" s="13"/>
      <c r="AA10" s="13"/>
      <c r="AB10" s="13"/>
      <c r="AC10" s="13"/>
      <c r="AD10" s="13"/>
      <c r="AE10" s="13"/>
      <c r="AF10" s="13"/>
      <c r="AG10" s="13"/>
      <c r="AH10" s="13"/>
      <c r="AI10" s="13"/>
      <c r="AJ10" s="13"/>
    </row>
    <row r="11" spans="1:36" ht="15" customHeight="1" hidden="1">
      <c r="A11" s="13"/>
      <c r="B11" s="39"/>
      <c r="C11" s="980"/>
      <c r="D11" s="980"/>
      <c r="E11" s="980"/>
      <c r="F11" s="39"/>
      <c r="G11" s="39"/>
      <c r="H11" s="298"/>
      <c r="I11" s="39"/>
      <c r="J11" s="39"/>
      <c r="K11" s="39"/>
      <c r="L11" s="39"/>
      <c r="M11" s="39"/>
      <c r="N11" s="36"/>
      <c r="O11" s="36"/>
      <c r="P11" s="13"/>
      <c r="Q11" s="13"/>
      <c r="R11" s="13"/>
      <c r="S11" s="13"/>
      <c r="T11" s="13"/>
      <c r="U11" s="13"/>
      <c r="V11" s="13"/>
      <c r="W11" s="13"/>
      <c r="X11" s="13"/>
      <c r="Y11" s="13"/>
      <c r="Z11" s="13"/>
      <c r="AA11" s="13"/>
      <c r="AB11" s="13"/>
      <c r="AC11" s="13"/>
      <c r="AD11" s="13"/>
      <c r="AE11" s="13"/>
      <c r="AF11" s="13"/>
      <c r="AG11" s="13"/>
      <c r="AH11" s="13"/>
      <c r="AI11" s="13"/>
      <c r="AJ11" s="13"/>
    </row>
    <row r="12" spans="1:36" ht="15" hidden="1">
      <c r="A12" s="13"/>
      <c r="B12" s="39"/>
      <c r="C12" s="39"/>
      <c r="D12" s="879"/>
      <c r="E12" s="879"/>
      <c r="F12" s="879"/>
      <c r="G12" s="39"/>
      <c r="H12" s="39"/>
      <c r="I12" s="39"/>
      <c r="J12" s="39"/>
      <c r="K12" s="39"/>
      <c r="L12" s="39"/>
      <c r="M12" s="39"/>
      <c r="N12" s="13"/>
      <c r="O12" s="13"/>
      <c r="P12" s="13"/>
      <c r="Q12" s="13"/>
      <c r="R12" s="13"/>
      <c r="S12" s="13"/>
      <c r="T12" s="13"/>
      <c r="U12" s="13"/>
      <c r="V12" s="13"/>
      <c r="W12" s="13"/>
      <c r="X12" s="13"/>
      <c r="Y12" s="13"/>
      <c r="Z12" s="13"/>
      <c r="AA12" s="13"/>
      <c r="AB12" s="13"/>
      <c r="AC12" s="13"/>
      <c r="AD12" s="13"/>
      <c r="AE12" s="13"/>
      <c r="AF12" s="13"/>
      <c r="AG12" s="13"/>
      <c r="AH12" s="13"/>
      <c r="AI12" s="13"/>
      <c r="AJ12" s="13"/>
    </row>
    <row r="13" spans="1:36" ht="15" hidden="1">
      <c r="A13" s="13"/>
      <c r="B13" s="39"/>
      <c r="C13" s="878" t="s">
        <v>206</v>
      </c>
      <c r="D13" s="878"/>
      <c r="E13" s="883"/>
      <c r="F13" s="744"/>
      <c r="G13"/>
      <c r="H13" s="40"/>
      <c r="I13" s="39"/>
      <c r="J13" s="39"/>
      <c r="K13" s="39"/>
      <c r="L13" s="39"/>
      <c r="M13" s="39"/>
      <c r="N13" s="13"/>
      <c r="O13" s="13"/>
      <c r="P13" s="13"/>
      <c r="Q13" s="13"/>
      <c r="R13" s="13"/>
      <c r="S13" s="13"/>
      <c r="T13" s="13"/>
      <c r="U13" s="13"/>
      <c r="V13" s="13"/>
      <c r="W13" s="13"/>
      <c r="X13" s="13"/>
      <c r="Y13" s="13"/>
      <c r="Z13" s="13"/>
      <c r="AA13" s="13"/>
      <c r="AB13" s="13"/>
      <c r="AC13" s="13"/>
      <c r="AD13" s="13"/>
      <c r="AE13" s="13"/>
      <c r="AF13" s="13"/>
      <c r="AG13" s="13"/>
      <c r="AH13" s="13"/>
      <c r="AI13" s="13"/>
      <c r="AJ13" s="13"/>
    </row>
    <row r="14" spans="1:36" ht="12" customHeight="1" hidden="1">
      <c r="A14" s="13"/>
      <c r="B14" s="39"/>
      <c r="C14" s="39"/>
      <c r="D14" s="879"/>
      <c r="E14" s="879"/>
      <c r="F14" s="879"/>
      <c r="G14" s="39"/>
      <c r="H14" s="40"/>
      <c r="I14" s="39"/>
      <c r="J14" s="39"/>
      <c r="K14" s="39"/>
      <c r="L14" s="39"/>
      <c r="M14" s="39"/>
      <c r="N14" s="13"/>
      <c r="O14" s="13"/>
      <c r="P14" s="13"/>
      <c r="Q14" s="13"/>
      <c r="R14" s="13"/>
      <c r="S14" s="13"/>
      <c r="T14" s="13"/>
      <c r="U14" s="13"/>
      <c r="V14" s="13"/>
      <c r="W14" s="13"/>
      <c r="X14" s="13"/>
      <c r="Y14" s="13"/>
      <c r="Z14" s="13"/>
      <c r="AA14" s="13"/>
      <c r="AB14" s="13"/>
      <c r="AC14" s="13"/>
      <c r="AD14" s="13"/>
      <c r="AE14" s="13"/>
      <c r="AF14" s="13"/>
      <c r="AG14" s="13"/>
      <c r="AH14" s="13"/>
      <c r="AI14" s="13"/>
      <c r="AJ14" s="13"/>
    </row>
    <row r="15" spans="1:36" ht="15" hidden="1">
      <c r="A15" s="13"/>
      <c r="B15" s="39"/>
      <c r="C15" s="879" t="s">
        <v>218</v>
      </c>
      <c r="D15" s="879"/>
      <c r="E15" s="879"/>
      <c r="F15" s="879"/>
      <c r="G15" s="421"/>
      <c r="H15" s="40"/>
      <c r="I15" s="39"/>
      <c r="J15" s="39"/>
      <c r="K15" s="39"/>
      <c r="L15" s="39"/>
      <c r="M15" s="39"/>
      <c r="N15" s="13"/>
      <c r="O15" s="13"/>
      <c r="P15" s="13"/>
      <c r="Q15" s="13"/>
      <c r="R15" s="13"/>
      <c r="S15" s="13"/>
      <c r="T15" s="13"/>
      <c r="U15" s="13"/>
      <c r="V15" s="13"/>
      <c r="W15" s="13"/>
      <c r="X15" s="13"/>
      <c r="Y15" s="13"/>
      <c r="Z15" s="13"/>
      <c r="AA15" s="13"/>
      <c r="AB15" s="13"/>
      <c r="AC15" s="13"/>
      <c r="AD15" s="13"/>
      <c r="AE15" s="13"/>
      <c r="AF15" s="13"/>
      <c r="AG15" s="13"/>
      <c r="AH15" s="13"/>
      <c r="AI15" s="13"/>
      <c r="AJ15" s="13"/>
    </row>
    <row r="16" spans="1:36" s="12" customFormat="1" ht="26.25" hidden="1">
      <c r="A16" s="13"/>
      <c r="B16" s="39"/>
      <c r="C16" s="39"/>
      <c r="D16" s="17" t="s">
        <v>776</v>
      </c>
      <c r="E16" s="17" t="s">
        <v>207</v>
      </c>
      <c r="F16" s="18" t="s">
        <v>10</v>
      </c>
      <c r="G16" s="84" t="s">
        <v>679</v>
      </c>
      <c r="H16" s="796" t="s">
        <v>777</v>
      </c>
      <c r="I16" s="39"/>
      <c r="J16" s="39"/>
      <c r="K16" s="39"/>
      <c r="L16" s="39"/>
      <c r="M16" s="39"/>
      <c r="N16" s="13"/>
      <c r="O16" s="36">
        <f>IF(AND(CommercialDishwasher="Yes",OR(AND(A17=A18,A18&lt;&gt;"_"),AND(A17=A19,A19&lt;&gt;"_"),AND(A18=A19,A19&lt;&gt;"_"))),"For question 2a (dishwashing equipment), you cannot have two rows with the same temperature and equipment type.","")</f>
      </c>
      <c r="P16" s="723" t="s">
        <v>195</v>
      </c>
      <c r="Q16" s="723" t="s">
        <v>196</v>
      </c>
      <c r="R16" s="723" t="s">
        <v>298</v>
      </c>
      <c r="S16" s="723" t="s">
        <v>299</v>
      </c>
      <c r="T16" s="13"/>
      <c r="U16" s="13"/>
      <c r="V16" s="13"/>
      <c r="W16" s="13"/>
      <c r="X16" s="13"/>
      <c r="Y16" s="13"/>
      <c r="Z16" s="13"/>
      <c r="AA16" s="13"/>
      <c r="AB16" s="13"/>
      <c r="AC16" s="13"/>
      <c r="AD16" s="13"/>
      <c r="AE16" s="13"/>
      <c r="AF16" s="13"/>
      <c r="AG16" s="13"/>
      <c r="AH16" s="13"/>
      <c r="AI16" s="13"/>
      <c r="AJ16" s="13"/>
    </row>
    <row r="17" spans="1:36" s="12" customFormat="1" ht="15" hidden="1">
      <c r="A17" s="275" t="str">
        <f>D17&amp;"_"&amp;E17</f>
        <v>_</v>
      </c>
      <c r="B17" s="39"/>
      <c r="C17" s="39"/>
      <c r="D17" s="752"/>
      <c r="E17" s="757"/>
      <c r="F17" s="751"/>
      <c r="G17" s="751"/>
      <c r="H17" s="751"/>
      <c r="I17" s="39"/>
      <c r="J17" s="39"/>
      <c r="K17" s="39"/>
      <c r="L17" s="39"/>
      <c r="M17" s="39"/>
      <c r="N17" s="36">
        <f>IF(ISNA(VLOOKUP(E17,'Dishwasher Calcs'!B$12:D$16,3,FALSE)),"",VLOOKUP(E17,'Dishwasher Calcs'!B$12:D$16,3,FALSE))</f>
      </c>
      <c r="O17" s="36">
        <f>IF(AND(CommercialDishwasher="Yes",COUNTA(D17:H17)&lt;5),"The first row in question 2a (dishwashing equipment) is incomplete.","")</f>
      </c>
      <c r="P17" s="268">
        <f>IF(ISERROR(VLOOKUP(A17,'Dishwasher Calcs'!$A$46:$A$55,1,FALSE)),0,VLOOKUP(A17,'Dishwasher Calcs'!$A$46:$D$55,3,FALSE)*(F17-G17)+VLOOKUP(A17,'Dishwasher Calcs'!$A$46:$D$55,4,FALSE)*G17)</f>
        <v>0</v>
      </c>
      <c r="Q17" s="268">
        <f>IF(ISERROR(VLOOKUP(A17,'Dishwasher Calcs'!$A$46:$A$55,1,FALSE)),0,VLOOKUP(A17,'Dishwasher Calcs'!$A$46:$E$55,5,FALSE)*(F17-G17))</f>
        <v>0</v>
      </c>
      <c r="R17" s="268">
        <f>IF(ISERROR(VLOOKUP($A17,'Dishwasher Calcs'!$A$75:$A$84,1,FALSE)),0,VLOOKUP($A17,'Dishwasher Calcs'!$A$75:$I$84,7,FALSE)*($F17-$G17))</f>
        <v>0</v>
      </c>
      <c r="S17" s="268">
        <f>IF(ISERROR(VLOOKUP($A17,'Dishwasher Calcs'!$A$75:$A$84,1,FALSE)),0,VLOOKUP($A17,'Dishwasher Calcs'!$A$75:$I$84,9,FALSE)*($F17-$G17))</f>
        <v>0</v>
      </c>
      <c r="T17" s="13"/>
      <c r="U17" s="13"/>
      <c r="V17" s="13"/>
      <c r="W17" s="13"/>
      <c r="X17" s="13"/>
      <c r="Y17" s="13"/>
      <c r="Z17" s="13"/>
      <c r="AA17" s="13"/>
      <c r="AB17" s="13"/>
      <c r="AC17" s="13"/>
      <c r="AD17" s="13"/>
      <c r="AE17" s="13"/>
      <c r="AF17" s="13"/>
      <c r="AG17" s="13"/>
      <c r="AH17" s="13"/>
      <c r="AI17" s="13"/>
      <c r="AJ17" s="13"/>
    </row>
    <row r="18" spans="1:36" s="12" customFormat="1" ht="15" hidden="1">
      <c r="A18" s="275" t="str">
        <f>D18&amp;"_"&amp;E18</f>
        <v>_</v>
      </c>
      <c r="B18" s="39"/>
      <c r="C18" s="39"/>
      <c r="D18" s="752"/>
      <c r="E18" s="757"/>
      <c r="F18" s="751"/>
      <c r="G18" s="751"/>
      <c r="H18" s="751"/>
      <c r="I18" s="39"/>
      <c r="J18" s="39"/>
      <c r="K18" s="39"/>
      <c r="L18" s="39"/>
      <c r="M18" s="39"/>
      <c r="N18" s="36">
        <f>IF(ISNA(VLOOKUP(E18,'Dishwasher Calcs'!B$12:D$16,3,FALSE)),"",VLOOKUP(E18,'Dishwasher Calcs'!B$12:D$16,3,FALSE))</f>
      </c>
      <c r="O18" s="36">
        <f>IF(AND(CommercialDishwasher="Yes",COUNTA(D18:H18)&gt;0,COUNTA(D18:H18)&lt;5),"The second row in question 2a (dishwashing equipment) is incomplete.","")</f>
      </c>
      <c r="P18" s="268">
        <f>IF(ISERROR(VLOOKUP(A18,'Dishwasher Calcs'!$A$46:$A$55,1,FALSE)),0,VLOOKUP(A18,'Dishwasher Calcs'!$A$46:$D$55,3,FALSE)*(F18-G18)+VLOOKUP(A18,'Dishwasher Calcs'!$A$46:$D$55,4,FALSE)*G18)</f>
        <v>0</v>
      </c>
      <c r="Q18" s="268">
        <f>IF(ISERROR(VLOOKUP(A18,'Dishwasher Calcs'!$A$46:$A$55,1,FALSE)),0,VLOOKUP(A18,'Dishwasher Calcs'!$A$46:$E$55,5,FALSE)*(F18-G18))</f>
        <v>0</v>
      </c>
      <c r="R18" s="268">
        <f>IF(ISERROR(VLOOKUP($A18,'Dishwasher Calcs'!$A$75:$A$84,1,FALSE)),0,VLOOKUP($A18,'Dishwasher Calcs'!$A$75:$I$84,7,FALSE)*($F18-$G18))</f>
        <v>0</v>
      </c>
      <c r="S18" s="268">
        <f>IF(ISERROR(VLOOKUP($A18,'Dishwasher Calcs'!$A$75:$A$84,1,FALSE)),0,VLOOKUP($A18,'Dishwasher Calcs'!$A$75:$I$84,9,FALSE)*($F18-$G18))</f>
        <v>0</v>
      </c>
      <c r="T18" s="13"/>
      <c r="U18" s="13"/>
      <c r="V18" s="13"/>
      <c r="W18" s="13"/>
      <c r="X18" s="13"/>
      <c r="Y18" s="13"/>
      <c r="Z18" s="13"/>
      <c r="AA18" s="13"/>
      <c r="AB18" s="13"/>
      <c r="AC18" s="13"/>
      <c r="AD18" s="13"/>
      <c r="AE18" s="13"/>
      <c r="AF18" s="13"/>
      <c r="AG18" s="13"/>
      <c r="AH18" s="13"/>
      <c r="AI18" s="13"/>
      <c r="AJ18" s="13"/>
    </row>
    <row r="19" spans="1:36" s="12" customFormat="1" ht="15" hidden="1">
      <c r="A19" s="275" t="str">
        <f>D19&amp;"_"&amp;E19</f>
        <v>_</v>
      </c>
      <c r="B19" s="39"/>
      <c r="C19" s="39"/>
      <c r="D19" s="752"/>
      <c r="E19" s="757"/>
      <c r="F19" s="751"/>
      <c r="G19" s="751"/>
      <c r="H19" s="751"/>
      <c r="I19" s="39"/>
      <c r="J19" s="39"/>
      <c r="K19" s="39"/>
      <c r="L19" s="39"/>
      <c r="M19" s="39"/>
      <c r="N19" s="36">
        <f>IF(ISNA(VLOOKUP(E19,'Dishwasher Calcs'!B$12:D$16,3,FALSE)),"",VLOOKUP(E19,'Dishwasher Calcs'!B$12:D$16,3,FALSE))</f>
      </c>
      <c r="O19" s="36">
        <f>IF(AND(CommercialDishwasher="Yes",COUNTA(D19:H19)&gt;0,COUNTA(D19:H19)&lt;5),"The third row in question 2a (dishwashing equipment) is incomplete.","")</f>
      </c>
      <c r="P19" s="268">
        <f>IF(ISERROR(VLOOKUP(A19,'Dishwasher Calcs'!$A$46:$A$55,1,FALSE)),0,VLOOKUP(A19,'Dishwasher Calcs'!$A$46:$D$55,3,FALSE)*(F19-G19)+VLOOKUP(A19,'Dishwasher Calcs'!$A$46:$D$55,4,FALSE)*G19)</f>
        <v>0</v>
      </c>
      <c r="Q19" s="268">
        <f>IF(ISERROR(VLOOKUP(A19,'Dishwasher Calcs'!$A$46:$A$55,1,FALSE)),0,VLOOKUP(A19,'Dishwasher Calcs'!$A$46:$E$55,5,FALSE)*(F19-G19))</f>
        <v>0</v>
      </c>
      <c r="R19" s="268">
        <f>IF(ISERROR(VLOOKUP($A19,'Dishwasher Calcs'!$A$75:$A$84,1,FALSE)),0,VLOOKUP($A19,'Dishwasher Calcs'!$A$75:$I$84,7,FALSE)*($F19-$G19))</f>
        <v>0</v>
      </c>
      <c r="S19" s="268">
        <f>IF(ISERROR(VLOOKUP($A19,'Dishwasher Calcs'!$A$75:$A$84,1,FALSE)),0,VLOOKUP($A19,'Dishwasher Calcs'!$A$75:$I$84,9,FALSE)*($F19-$G19))</f>
        <v>0</v>
      </c>
      <c r="T19" s="13"/>
      <c r="U19" s="13"/>
      <c r="V19" s="13"/>
      <c r="W19" s="13"/>
      <c r="X19" s="13"/>
      <c r="Y19" s="13"/>
      <c r="Z19" s="13"/>
      <c r="AA19" s="13"/>
      <c r="AB19" s="13"/>
      <c r="AC19" s="13"/>
      <c r="AD19" s="13"/>
      <c r="AE19" s="13"/>
      <c r="AF19" s="13"/>
      <c r="AG19" s="13"/>
      <c r="AH19" s="13"/>
      <c r="AI19" s="13"/>
      <c r="AJ19" s="13"/>
    </row>
    <row r="20" spans="1:36" s="12" customFormat="1" ht="15" hidden="1">
      <c r="A20" s="13"/>
      <c r="B20" s="3"/>
      <c r="C20" s="3"/>
      <c r="D20" s="879"/>
      <c r="E20" s="879"/>
      <c r="F20" s="879"/>
      <c r="G20" s="558"/>
      <c r="H20" s="558"/>
      <c r="I20" s="558"/>
      <c r="J20" s="3"/>
      <c r="K20" s="3"/>
      <c r="L20" s="3"/>
      <c r="M20" s="3"/>
      <c r="N20" s="13"/>
      <c r="O20" s="36">
        <f>IF(AND(CommercialDishwasher="Yes",OR(G17&gt;F17,G18&gt;F18,G19&gt;F19)),"The number of ENERGY STAR qualified dishwashers in question 2a cannot exceed the total number of dishwashers installed.","")</f>
      </c>
      <c r="P20" s="36"/>
      <c r="Q20" s="36"/>
      <c r="R20" s="36"/>
      <c r="S20" s="36"/>
      <c r="T20" s="13"/>
      <c r="U20" s="13"/>
      <c r="V20" s="13"/>
      <c r="W20" s="13"/>
      <c r="X20" s="13"/>
      <c r="Y20" s="13"/>
      <c r="Z20" s="13"/>
      <c r="AA20" s="13"/>
      <c r="AB20" s="13"/>
      <c r="AC20" s="13"/>
      <c r="AD20" s="13"/>
      <c r="AE20" s="13"/>
      <c r="AF20" s="13"/>
      <c r="AG20" s="13"/>
      <c r="AH20" s="13"/>
      <c r="AI20" s="13"/>
      <c r="AJ20" s="13"/>
    </row>
    <row r="21" spans="1:36" s="12" customFormat="1" ht="15" hidden="1">
      <c r="A21" s="13"/>
      <c r="B21" s="3"/>
      <c r="C21" s="878" t="s">
        <v>208</v>
      </c>
      <c r="D21" s="878"/>
      <c r="E21" s="883"/>
      <c r="F21" s="744"/>
      <c r="G21" s="559"/>
      <c r="H21" s="559"/>
      <c r="I21" s="3"/>
      <c r="J21" s="3"/>
      <c r="K21" s="3"/>
      <c r="L21" s="3"/>
      <c r="M21" s="3"/>
      <c r="N21" s="13"/>
      <c r="O21" s="36">
        <f>IF(OR(D17&amp;" "&amp;E17="Low Pot, Pan, and Utensil",D18&amp;" "&amp;E18="Low Pot, Pan, and Utensil",D19&amp;" "&amp;E19="Low Pot, Pan, and Utensil"),"The pot, pan, and utensil dishwasher in question 2a listed as low-temperature equipment must be high temperature instead.","")</f>
      </c>
      <c r="P21" s="36"/>
      <c r="Q21" s="36"/>
      <c r="R21" s="36"/>
      <c r="S21" s="36"/>
      <c r="T21" s="13"/>
      <c r="U21" s="13"/>
      <c r="V21" s="13"/>
      <c r="W21" s="13"/>
      <c r="X21" s="13"/>
      <c r="Y21" s="13"/>
      <c r="Z21" s="13"/>
      <c r="AA21" s="13"/>
      <c r="AB21" s="13"/>
      <c r="AC21" s="13"/>
      <c r="AD21" s="13"/>
      <c r="AE21" s="13"/>
      <c r="AF21" s="13"/>
      <c r="AG21" s="13"/>
      <c r="AH21" s="13"/>
      <c r="AI21" s="13"/>
      <c r="AJ21" s="13"/>
    </row>
    <row r="22" spans="1:36" s="12" customFormat="1" ht="12" customHeight="1" hidden="1">
      <c r="A22" s="13"/>
      <c r="B22" s="3"/>
      <c r="C22" s="3"/>
      <c r="D22" s="879"/>
      <c r="E22" s="879"/>
      <c r="F22" s="879"/>
      <c r="G22" s="558"/>
      <c r="H22" s="559"/>
      <c r="I22" s="3"/>
      <c r="J22" s="3"/>
      <c r="K22" s="3"/>
      <c r="L22" s="3"/>
      <c r="M22" s="3"/>
      <c r="N22" s="13"/>
      <c r="O22" s="13"/>
      <c r="P22" s="36"/>
      <c r="Q22" s="36"/>
      <c r="R22" s="36"/>
      <c r="S22" s="36"/>
      <c r="T22" s="13"/>
      <c r="U22" s="13"/>
      <c r="V22" s="13"/>
      <c r="W22" s="13"/>
      <c r="X22" s="13"/>
      <c r="Y22" s="13"/>
      <c r="Z22" s="13"/>
      <c r="AA22" s="13"/>
      <c r="AB22" s="13"/>
      <c r="AC22" s="13"/>
      <c r="AD22" s="13"/>
      <c r="AE22" s="13"/>
      <c r="AF22" s="13"/>
      <c r="AG22" s="13"/>
      <c r="AH22" s="13"/>
      <c r="AI22" s="13"/>
      <c r="AJ22" s="13"/>
    </row>
    <row r="23" spans="1:36" s="12" customFormat="1" ht="15" hidden="1">
      <c r="A23" s="13"/>
      <c r="B23" s="3"/>
      <c r="C23" s="939" t="s">
        <v>217</v>
      </c>
      <c r="D23" s="939"/>
      <c r="E23" s="939"/>
      <c r="F23" s="939"/>
      <c r="G23" s="939"/>
      <c r="H23" s="939"/>
      <c r="I23" s="3"/>
      <c r="J23" s="3"/>
      <c r="K23" s="3"/>
      <c r="L23" s="3"/>
      <c r="M23" s="3"/>
      <c r="N23" s="13"/>
      <c r="O23" s="13"/>
      <c r="P23" s="36"/>
      <c r="Q23" s="36"/>
      <c r="R23" s="36"/>
      <c r="S23" s="36"/>
      <c r="T23" s="13"/>
      <c r="U23" s="13"/>
      <c r="V23" s="13"/>
      <c r="W23" s="13"/>
      <c r="X23" s="13"/>
      <c r="Y23" s="13"/>
      <c r="Z23" s="13"/>
      <c r="AA23" s="13"/>
      <c r="AB23" s="13"/>
      <c r="AC23" s="13"/>
      <c r="AD23" s="13"/>
      <c r="AE23" s="13"/>
      <c r="AF23" s="13"/>
      <c r="AG23" s="13"/>
      <c r="AH23" s="13"/>
      <c r="AI23" s="13"/>
      <c r="AJ23" s="13"/>
    </row>
    <row r="24" spans="1:36" s="12" customFormat="1" ht="26.25" hidden="1">
      <c r="A24" s="13"/>
      <c r="B24" s="3"/>
      <c r="C24" s="3"/>
      <c r="D24" s="17" t="s">
        <v>10</v>
      </c>
      <c r="E24" s="17" t="s">
        <v>16</v>
      </c>
      <c r="F24" s="84" t="s">
        <v>209</v>
      </c>
      <c r="G24" s="558"/>
      <c r="H24" s="3"/>
      <c r="I24" s="3"/>
      <c r="J24" s="3"/>
      <c r="K24" s="3"/>
      <c r="L24" s="3"/>
      <c r="M24" s="3"/>
      <c r="N24" s="13"/>
      <c r="O24" s="13"/>
      <c r="P24" s="723" t="s">
        <v>195</v>
      </c>
      <c r="Q24" s="723" t="s">
        <v>196</v>
      </c>
      <c r="R24" s="36"/>
      <c r="S24" s="36"/>
      <c r="T24" s="13"/>
      <c r="U24" s="13"/>
      <c r="V24" s="13"/>
      <c r="W24" s="13"/>
      <c r="X24" s="13"/>
      <c r="Y24" s="13"/>
      <c r="Z24" s="13"/>
      <c r="AA24" s="13"/>
      <c r="AB24" s="13"/>
      <c r="AC24" s="13"/>
      <c r="AD24" s="13"/>
      <c r="AE24" s="13"/>
      <c r="AF24" s="13"/>
      <c r="AG24" s="13"/>
      <c r="AH24" s="13"/>
      <c r="AI24" s="13"/>
      <c r="AJ24" s="13"/>
    </row>
    <row r="25" spans="1:36" s="12" customFormat="1" ht="15" customHeight="1" hidden="1">
      <c r="A25" s="13"/>
      <c r="B25" s="3"/>
      <c r="C25" s="3"/>
      <c r="D25" s="751"/>
      <c r="E25" s="755"/>
      <c r="F25" s="751"/>
      <c r="G25" s="558"/>
      <c r="H25" s="31">
        <f>IF(E25&gt;1.28,E25-1.28,0)</f>
        <v>0</v>
      </c>
      <c r="I25" s="561"/>
      <c r="J25" s="3"/>
      <c r="K25" s="3"/>
      <c r="L25" s="3"/>
      <c r="M25" s="3"/>
      <c r="N25" s="268"/>
      <c r="O25" s="36">
        <f>IF(AND(PRSV="Yes",COUNTA(D25:F25)&lt;3),"The first row in question 3a (pre-rinse spray valves) is incomplete.","")</f>
      </c>
      <c r="P25" s="268">
        <f>D25*E25*F25*OperatingDays</f>
        <v>0</v>
      </c>
      <c r="Q25" s="268">
        <f>IF(E25&gt;$H$50,D25*(E25-$H$50)*F25*OperatingDays,0)</f>
        <v>0</v>
      </c>
      <c r="R25" s="36"/>
      <c r="S25" s="36"/>
      <c r="T25" s="13"/>
      <c r="U25" s="13"/>
      <c r="V25" s="13"/>
      <c r="W25" s="13"/>
      <c r="X25" s="13"/>
      <c r="Y25" s="13"/>
      <c r="Z25" s="13"/>
      <c r="AA25" s="13"/>
      <c r="AB25" s="13"/>
      <c r="AC25" s="13"/>
      <c r="AD25" s="13"/>
      <c r="AE25" s="13"/>
      <c r="AF25" s="13"/>
      <c r="AG25" s="13"/>
      <c r="AH25" s="13"/>
      <c r="AI25" s="13"/>
      <c r="AJ25" s="13"/>
    </row>
    <row r="26" spans="1:36" s="12" customFormat="1" ht="15" hidden="1">
      <c r="A26" s="13"/>
      <c r="B26" s="3"/>
      <c r="C26" s="3"/>
      <c r="D26" s="751"/>
      <c r="E26" s="755"/>
      <c r="F26" s="751"/>
      <c r="G26" s="558"/>
      <c r="H26" s="31">
        <f>IF(E26&gt;1.28,E26-1.28,0)</f>
        <v>0</v>
      </c>
      <c r="I26" s="562"/>
      <c r="J26" s="3"/>
      <c r="K26" s="3"/>
      <c r="L26" s="3"/>
      <c r="M26" s="3"/>
      <c r="N26" s="268"/>
      <c r="O26" s="36">
        <f>IF(AND(PRSV="Yes",COUNTA(D26:F26)&gt;0,COUNTA(D26:F26)&lt;3),"The second row in question 3a (pre-rinse spray valves) is incomplete.","")</f>
      </c>
      <c r="P26" s="268">
        <f>D26*E26*F26*OperatingDays</f>
        <v>0</v>
      </c>
      <c r="Q26" s="268">
        <f>IF(E26&gt;$H$50,D26*(E26-$H$50)*F26*OperatingDays,0)</f>
        <v>0</v>
      </c>
      <c r="R26" s="36"/>
      <c r="S26" s="36"/>
      <c r="T26" s="13"/>
      <c r="U26" s="13"/>
      <c r="V26" s="13"/>
      <c r="W26" s="13"/>
      <c r="X26" s="13"/>
      <c r="Y26" s="13"/>
      <c r="Z26" s="13"/>
      <c r="AA26" s="13"/>
      <c r="AB26" s="13"/>
      <c r="AC26" s="13"/>
      <c r="AD26" s="13"/>
      <c r="AE26" s="13"/>
      <c r="AF26" s="13"/>
      <c r="AG26" s="13"/>
      <c r="AH26" s="13"/>
      <c r="AI26" s="13"/>
      <c r="AJ26" s="13"/>
    </row>
    <row r="27" spans="1:36" s="12" customFormat="1" ht="15" hidden="1">
      <c r="A27" s="13"/>
      <c r="B27" s="3"/>
      <c r="C27" s="3"/>
      <c r="D27" s="751"/>
      <c r="E27" s="755"/>
      <c r="F27" s="751"/>
      <c r="G27" s="558"/>
      <c r="H27" s="31">
        <f>IF(E27&gt;1.28,E27-1.28,0)</f>
        <v>0</v>
      </c>
      <c r="I27" s="563"/>
      <c r="J27" s="3"/>
      <c r="K27" s="3"/>
      <c r="L27" s="3"/>
      <c r="M27" s="3"/>
      <c r="N27" s="268"/>
      <c r="O27" s="36">
        <f>IF(AND(PRSV="Yes",COUNTA(D27:F27)&gt;0,COUNTA(D27:F27)&lt;3),"The third row in question 3a (pre-rinse spray valves) is incomplete.","")</f>
      </c>
      <c r="P27" s="268">
        <f>D27*E27*F27*OperatingDays</f>
        <v>0</v>
      </c>
      <c r="Q27" s="268">
        <f>IF(E27&gt;$H$50,D27*(E27-$H$50)*F27*OperatingDays,0)</f>
        <v>0</v>
      </c>
      <c r="R27" s="36"/>
      <c r="S27" s="36"/>
      <c r="T27" s="13"/>
      <c r="U27" s="13"/>
      <c r="V27" s="13"/>
      <c r="W27" s="13"/>
      <c r="X27" s="13"/>
      <c r="Y27" s="13"/>
      <c r="Z27" s="13"/>
      <c r="AA27" s="13"/>
      <c r="AB27" s="13"/>
      <c r="AC27" s="13"/>
      <c r="AD27" s="13"/>
      <c r="AE27" s="13"/>
      <c r="AF27" s="13"/>
      <c r="AG27" s="13"/>
      <c r="AH27" s="13"/>
      <c r="AI27" s="13"/>
      <c r="AJ27" s="13"/>
    </row>
    <row r="28" spans="1:36" s="12" customFormat="1" ht="16.5" customHeight="1" hidden="1">
      <c r="A28" s="13"/>
      <c r="B28" s="3"/>
      <c r="C28" s="3"/>
      <c r="D28" s="3"/>
      <c r="E28" s="558"/>
      <c r="F28" s="558"/>
      <c r="G28" s="558"/>
      <c r="H28" s="562"/>
      <c r="I28" s="563"/>
      <c r="J28" s="3"/>
      <c r="K28" s="3"/>
      <c r="L28" s="3"/>
      <c r="M28" s="3"/>
      <c r="N28" s="13"/>
      <c r="O28" s="13"/>
      <c r="P28" s="36"/>
      <c r="Q28" s="36"/>
      <c r="R28" s="36"/>
      <c r="S28" s="36"/>
      <c r="T28" s="13"/>
      <c r="U28" s="13"/>
      <c r="V28" s="13"/>
      <c r="W28" s="13"/>
      <c r="X28" s="13"/>
      <c r="Y28" s="13"/>
      <c r="Z28" s="13"/>
      <c r="AA28" s="13"/>
      <c r="AB28" s="13"/>
      <c r="AC28" s="13"/>
      <c r="AD28" s="13"/>
      <c r="AE28" s="13"/>
      <c r="AF28" s="13"/>
      <c r="AG28" s="13"/>
      <c r="AH28" s="13"/>
      <c r="AI28" s="13"/>
      <c r="AJ28" s="13"/>
    </row>
    <row r="29" spans="1:36" s="12" customFormat="1" ht="24" customHeight="1" hidden="1">
      <c r="A29" s="13"/>
      <c r="B29" s="3"/>
      <c r="C29" s="3"/>
      <c r="D29" s="3"/>
      <c r="E29" s="558"/>
      <c r="F29" s="558"/>
      <c r="G29" s="558"/>
      <c r="H29" s="562"/>
      <c r="I29" s="563"/>
      <c r="J29" s="3"/>
      <c r="K29" s="3"/>
      <c r="L29" s="3"/>
      <c r="M29" s="3"/>
      <c r="N29" s="13"/>
      <c r="O29" s="13"/>
      <c r="P29" s="13"/>
      <c r="Q29" s="13"/>
      <c r="R29" s="13"/>
      <c r="S29" s="13"/>
      <c r="T29" s="13"/>
      <c r="U29" s="13"/>
      <c r="V29" s="13"/>
      <c r="W29" s="13"/>
      <c r="X29" s="13"/>
      <c r="Y29" s="13"/>
      <c r="Z29" s="13"/>
      <c r="AA29" s="13"/>
      <c r="AB29" s="13"/>
      <c r="AC29" s="13"/>
      <c r="AD29" s="13"/>
      <c r="AE29" s="13"/>
      <c r="AF29" s="13"/>
      <c r="AG29" s="13"/>
      <c r="AH29" s="13"/>
      <c r="AI29" s="13"/>
      <c r="AJ29" s="13"/>
    </row>
    <row r="30" spans="1:36" s="12" customFormat="1" ht="18.75" hidden="1">
      <c r="A30" s="13"/>
      <c r="B30" s="39"/>
      <c r="C30" s="940" t="s">
        <v>38</v>
      </c>
      <c r="D30" s="940"/>
      <c r="E30" s="420"/>
      <c r="F30" s="260"/>
      <c r="G30" s="39"/>
      <c r="H30" s="261"/>
      <c r="I30" s="39"/>
      <c r="J30" s="39"/>
      <c r="K30" s="39"/>
      <c r="L30" s="39"/>
      <c r="M30" s="39"/>
      <c r="N30" s="13"/>
      <c r="O30" s="13"/>
      <c r="P30" s="13"/>
      <c r="Q30" s="13"/>
      <c r="R30" s="13"/>
      <c r="S30" s="13"/>
      <c r="T30" s="13"/>
      <c r="U30" s="13"/>
      <c r="V30" s="13"/>
      <c r="W30" s="13"/>
      <c r="X30" s="13"/>
      <c r="Y30" s="13"/>
      <c r="Z30" s="13"/>
      <c r="AA30" s="13"/>
      <c r="AB30" s="13"/>
      <c r="AC30" s="13"/>
      <c r="AD30" s="13"/>
      <c r="AE30" s="13"/>
      <c r="AF30" s="13"/>
      <c r="AG30" s="13"/>
      <c r="AH30" s="13"/>
      <c r="AI30" s="13"/>
      <c r="AJ30" s="13"/>
    </row>
    <row r="31" spans="1:36" s="12" customFormat="1" ht="32.25" customHeight="1" hidden="1">
      <c r="A31" s="13"/>
      <c r="B31" s="39"/>
      <c r="C31" s="931" t="str">
        <f>"Your existing dishwashing equipment uses approximately "&amp;TEXT(E35,"#,###")&amp;" gallons of water per year. The following table provides your estimated water use for each appliance/equipment type."</f>
        <v>Your existing dishwashing equipment uses approximately  gallons of water per year. The following table provides your estimated water use for each appliance/equipment type.</v>
      </c>
      <c r="D31" s="931"/>
      <c r="E31" s="931"/>
      <c r="F31" s="931"/>
      <c r="G31" s="931"/>
      <c r="H31" s="931"/>
      <c r="I31" s="931"/>
      <c r="J31" s="931"/>
      <c r="K31" s="931"/>
      <c r="L31" s="39"/>
      <c r="M31" s="39"/>
      <c r="N31" s="13"/>
      <c r="O31" s="13"/>
      <c r="P31" s="13"/>
      <c r="Q31" s="13"/>
      <c r="R31" s="13"/>
      <c r="S31" s="13"/>
      <c r="T31" s="13"/>
      <c r="U31" s="13"/>
      <c r="V31" s="13"/>
      <c r="W31" s="13"/>
      <c r="X31" s="13"/>
      <c r="Y31" s="13"/>
      <c r="Z31" s="13"/>
      <c r="AA31" s="13"/>
      <c r="AB31" s="13"/>
      <c r="AC31" s="13"/>
      <c r="AD31" s="13"/>
      <c r="AE31" s="13"/>
      <c r="AF31" s="13"/>
      <c r="AG31" s="13"/>
      <c r="AH31" s="13"/>
      <c r="AI31" s="13"/>
      <c r="AJ31" s="13"/>
    </row>
    <row r="32" spans="1:36" s="12" customFormat="1" ht="26.25" hidden="1">
      <c r="A32" s="13"/>
      <c r="B32" s="39"/>
      <c r="C32" s="39"/>
      <c r="D32" s="23"/>
      <c r="E32" s="26" t="s">
        <v>58</v>
      </c>
      <c r="F32" s="43"/>
      <c r="G32" s="43"/>
      <c r="H32" s="39"/>
      <c r="I32" s="39"/>
      <c r="J32" s="39"/>
      <c r="K32" s="39"/>
      <c r="L32" s="39"/>
      <c r="M32" s="39"/>
      <c r="N32" s="13"/>
      <c r="O32" s="13"/>
      <c r="P32" s="13"/>
      <c r="Q32" s="13"/>
      <c r="R32" s="13"/>
      <c r="S32" s="13"/>
      <c r="T32" s="13"/>
      <c r="U32" s="13"/>
      <c r="V32" s="13"/>
      <c r="W32" s="13"/>
      <c r="X32" s="13"/>
      <c r="Y32" s="13"/>
      <c r="Z32" s="13"/>
      <c r="AA32" s="13"/>
      <c r="AB32" s="13"/>
      <c r="AC32" s="13"/>
      <c r="AD32" s="13"/>
      <c r="AE32" s="13"/>
      <c r="AF32" s="13"/>
      <c r="AG32" s="13"/>
      <c r="AH32" s="13"/>
      <c r="AI32" s="13"/>
      <c r="AJ32" s="13"/>
    </row>
    <row r="33" spans="1:36" s="12" customFormat="1" ht="15" hidden="1">
      <c r="A33" s="13"/>
      <c r="B33" s="39"/>
      <c r="C33" s="39"/>
      <c r="D33" s="16" t="s">
        <v>296</v>
      </c>
      <c r="E33" s="24" t="str">
        <f>IF(CommercialDishwasher="Yes",ROUNDDOWN(SUM(P17:P19),-3),"N/A")</f>
        <v>N/A</v>
      </c>
      <c r="F33" s="47"/>
      <c r="G33" s="44"/>
      <c r="H33" s="87"/>
      <c r="I33" s="39"/>
      <c r="J33" s="39"/>
      <c r="K33" s="39"/>
      <c r="L33" s="39"/>
      <c r="M33" s="39"/>
      <c r="N33" s="13"/>
      <c r="O33" s="13"/>
      <c r="P33" s="13"/>
      <c r="Q33" s="13"/>
      <c r="R33" s="13"/>
      <c r="S33" s="13"/>
      <c r="T33" s="13"/>
      <c r="U33" s="13"/>
      <c r="V33" s="13"/>
      <c r="W33" s="13"/>
      <c r="X33" s="13"/>
      <c r="Y33" s="13"/>
      <c r="Z33" s="13"/>
      <c r="AA33" s="13"/>
      <c r="AB33" s="13"/>
      <c r="AC33" s="13"/>
      <c r="AD33" s="13"/>
      <c r="AE33" s="13"/>
      <c r="AF33" s="13"/>
      <c r="AG33" s="13"/>
      <c r="AH33" s="13"/>
      <c r="AI33" s="13"/>
      <c r="AJ33" s="13"/>
    </row>
    <row r="34" spans="1:36" s="12" customFormat="1" ht="15" hidden="1">
      <c r="A34" s="13"/>
      <c r="B34" s="39"/>
      <c r="C34" s="39"/>
      <c r="D34" s="626" t="s">
        <v>726</v>
      </c>
      <c r="E34" s="24" t="str">
        <f>IF(PRSV="Yes",ROUNDDOWN(SUM(P24:P26),-3),"N/A")</f>
        <v>N/A</v>
      </c>
      <c r="F34" s="47"/>
      <c r="G34" s="44"/>
      <c r="H34" s="39"/>
      <c r="I34" s="39"/>
      <c r="J34" s="39"/>
      <c r="K34" s="39"/>
      <c r="L34" s="39"/>
      <c r="M34" s="39"/>
      <c r="N34" s="13"/>
      <c r="O34" s="13"/>
      <c r="P34" s="13"/>
      <c r="Q34" s="13"/>
      <c r="R34" s="13"/>
      <c r="S34" s="13"/>
      <c r="T34" s="13"/>
      <c r="U34" s="13"/>
      <c r="V34" s="13"/>
      <c r="W34" s="13"/>
      <c r="X34" s="13"/>
      <c r="Y34" s="13"/>
      <c r="Z34" s="13"/>
      <c r="AA34" s="13"/>
      <c r="AB34" s="13"/>
      <c r="AC34" s="13"/>
      <c r="AD34" s="13"/>
      <c r="AE34" s="13"/>
      <c r="AF34" s="13"/>
      <c r="AG34" s="13"/>
      <c r="AH34" s="13"/>
      <c r="AI34" s="13"/>
      <c r="AJ34" s="13"/>
    </row>
    <row r="35" spans="1:36" s="12" customFormat="1" ht="15" hidden="1">
      <c r="A35" s="13"/>
      <c r="B35" s="39"/>
      <c r="C35" s="39"/>
      <c r="D35" s="16" t="s">
        <v>338</v>
      </c>
      <c r="E35" s="24">
        <f>SUM(E33:E34)</f>
        <v>0</v>
      </c>
      <c r="F35" s="47"/>
      <c r="G35" s="44"/>
      <c r="H35" s="39"/>
      <c r="I35" s="39"/>
      <c r="J35" s="39"/>
      <c r="K35" s="39"/>
      <c r="L35" s="39"/>
      <c r="M35" s="39"/>
      <c r="N35" s="13"/>
      <c r="O35" s="13"/>
      <c r="P35" s="13"/>
      <c r="Q35" s="13"/>
      <c r="R35" s="13"/>
      <c r="S35" s="13"/>
      <c r="T35" s="13"/>
      <c r="U35" s="13"/>
      <c r="V35" s="13"/>
      <c r="W35" s="13"/>
      <c r="X35" s="13"/>
      <c r="Y35" s="13"/>
      <c r="Z35" s="13"/>
      <c r="AA35" s="13"/>
      <c r="AB35" s="13"/>
      <c r="AC35" s="13"/>
      <c r="AD35" s="13"/>
      <c r="AE35" s="13"/>
      <c r="AF35" s="13"/>
      <c r="AG35" s="13"/>
      <c r="AH35" s="13"/>
      <c r="AI35" s="13"/>
      <c r="AJ35" s="13"/>
    </row>
    <row r="36" spans="1:36" s="12" customFormat="1" ht="15" hidden="1">
      <c r="A36" s="22"/>
      <c r="B36" s="39"/>
      <c r="C36" s="39"/>
      <c r="D36" s="16"/>
      <c r="E36" s="16"/>
      <c r="F36" s="44"/>
      <c r="G36" s="44"/>
      <c r="H36" s="39"/>
      <c r="I36" s="39"/>
      <c r="J36" s="39"/>
      <c r="K36" s="39"/>
      <c r="L36" s="39"/>
      <c r="M36" s="39"/>
      <c r="N36" s="13"/>
      <c r="O36" s="13"/>
      <c r="P36" s="13"/>
      <c r="Q36" s="13"/>
      <c r="R36" s="13"/>
      <c r="S36" s="13"/>
      <c r="T36" s="13"/>
      <c r="U36" s="13"/>
      <c r="V36" s="13"/>
      <c r="W36" s="13"/>
      <c r="X36" s="13"/>
      <c r="Y36" s="13"/>
      <c r="Z36" s="13"/>
      <c r="AA36" s="13"/>
      <c r="AB36" s="13"/>
      <c r="AC36" s="13"/>
      <c r="AD36" s="13"/>
      <c r="AE36" s="13"/>
      <c r="AF36" s="13"/>
      <c r="AG36" s="13"/>
      <c r="AH36" s="13"/>
      <c r="AI36" s="13"/>
      <c r="AJ36" s="13"/>
    </row>
    <row r="37" spans="1:36" s="12" customFormat="1" ht="18.75" hidden="1">
      <c r="A37" s="13"/>
      <c r="B37" s="39"/>
      <c r="C37" s="872" t="s">
        <v>37</v>
      </c>
      <c r="D37" s="872"/>
      <c r="E37" s="872"/>
      <c r="F37" s="420"/>
      <c r="G37" s="3"/>
      <c r="H37" s="3"/>
      <c r="I37" s="3"/>
      <c r="J37" s="3"/>
      <c r="K37" s="39"/>
      <c r="L37" s="39"/>
      <c r="M37" s="39"/>
      <c r="N37" s="13"/>
      <c r="O37" s="13"/>
      <c r="P37" s="13"/>
      <c r="Q37" s="13"/>
      <c r="R37" s="13"/>
      <c r="S37" s="13"/>
      <c r="T37" s="13"/>
      <c r="U37" s="13"/>
      <c r="V37" s="13"/>
      <c r="W37" s="13"/>
      <c r="X37" s="13"/>
      <c r="Y37" s="13"/>
      <c r="Z37" s="13"/>
      <c r="AA37" s="13"/>
      <c r="AB37" s="13"/>
      <c r="AC37" s="13"/>
      <c r="AD37" s="13"/>
      <c r="AE37" s="13"/>
      <c r="AF37" s="13"/>
      <c r="AG37" s="13"/>
      <c r="AH37" s="13"/>
      <c r="AI37" s="13"/>
      <c r="AJ37" s="13"/>
    </row>
    <row r="38" spans="1:36" s="12" customFormat="1" ht="51.75" customHeight="1" hidden="1">
      <c r="A38" s="13"/>
      <c r="B38" s="39"/>
      <c r="C38" s="780" t="s">
        <v>760</v>
      </c>
      <c r="D38" s="962" t="str">
        <f>IF(AND(ISNUMBER(F42),F42&gt;0),"By replacing your existing, "&amp;IF(AND(ISNUMBER(F40),F40&gt;0),"conventional dishwashers with ENERGY STAR qualified models, ","")&amp;IF(AND(ISNUMBER(F40),ISNUMBER(F41),F40&gt;0,F41&gt;0),"and replacing existing, ","")&amp;IF(AND(ISNUMBER(F41),F41&gt;0),"inefficient pre-rinse spray valves with WaterSense labeled models, ","")&amp;"you can save approximately "&amp;TEXT(F42,"#,##0")&amp;" gallons of water and $"&amp;TEXT(K42,"#,##0")&amp;" in water and energy costs annually. The following table provides estimated water, energy, and cost savings, and an estimated simple payback for each potential replacement project.","As shown in the following table, your dishwashing equipment is already efficient, so it is not recommended that you replace any of your equipment at this time."&amp;CHAR(10)&amp;CHAR(10))</f>
        <v>As shown in the following table, your dishwashing equipment is already efficient, so it is not recommended that you replace any of your equipment at this time.
</v>
      </c>
      <c r="E38" s="962"/>
      <c r="F38" s="962"/>
      <c r="G38" s="962"/>
      <c r="H38" s="962"/>
      <c r="I38" s="962"/>
      <c r="J38" s="962"/>
      <c r="K38" s="962"/>
      <c r="L38" s="39"/>
      <c r="M38" s="39"/>
      <c r="N38" s="13"/>
      <c r="O38" s="13"/>
      <c r="P38" s="13"/>
      <c r="Q38" s="13"/>
      <c r="R38" s="13"/>
      <c r="S38" s="13"/>
      <c r="T38" s="13"/>
      <c r="U38" s="13"/>
      <c r="V38" s="13"/>
      <c r="W38" s="13"/>
      <c r="X38" s="13"/>
      <c r="Y38" s="13"/>
      <c r="Z38" s="13"/>
      <c r="AA38" s="13"/>
      <c r="AB38" s="13"/>
      <c r="AC38" s="13"/>
      <c r="AD38" s="13"/>
      <c r="AE38" s="13"/>
      <c r="AF38" s="13"/>
      <c r="AG38" s="13"/>
      <c r="AH38" s="13"/>
      <c r="AI38" s="13"/>
      <c r="AJ38" s="13"/>
    </row>
    <row r="39" spans="1:36" s="12" customFormat="1" ht="39" hidden="1">
      <c r="A39" s="13"/>
      <c r="B39" s="39"/>
      <c r="C39" s="39"/>
      <c r="D39" s="3"/>
      <c r="E39" s="26" t="s">
        <v>294</v>
      </c>
      <c r="F39" s="26" t="s">
        <v>696</v>
      </c>
      <c r="G39" s="26" t="s">
        <v>701</v>
      </c>
      <c r="H39" s="26" t="s">
        <v>697</v>
      </c>
      <c r="I39" s="26" t="s">
        <v>698</v>
      </c>
      <c r="J39" s="26" t="s">
        <v>702</v>
      </c>
      <c r="K39" s="26" t="s">
        <v>46</v>
      </c>
      <c r="L39" s="26" t="s">
        <v>33</v>
      </c>
      <c r="M39" s="39"/>
      <c r="N39" s="13"/>
      <c r="O39" s="13"/>
      <c r="P39" s="13"/>
      <c r="Q39" s="13"/>
      <c r="R39" s="13"/>
      <c r="S39" s="13"/>
      <c r="T39" s="13"/>
      <c r="U39" s="13"/>
      <c r="V39" s="13"/>
      <c r="W39" s="13"/>
      <c r="X39" s="13"/>
      <c r="Y39" s="13"/>
      <c r="Z39" s="13"/>
      <c r="AA39" s="13"/>
      <c r="AB39" s="13"/>
      <c r="AC39" s="13"/>
      <c r="AD39" s="13"/>
      <c r="AE39" s="13"/>
      <c r="AF39" s="13"/>
      <c r="AG39" s="13"/>
      <c r="AH39" s="13"/>
      <c r="AI39" s="13"/>
      <c r="AJ39" s="13"/>
    </row>
    <row r="40" spans="1:36" s="12" customFormat="1" ht="15" hidden="1">
      <c r="A40" s="13"/>
      <c r="B40" s="285"/>
      <c r="C40" s="285"/>
      <c r="D40" s="612" t="s">
        <v>296</v>
      </c>
      <c r="E40" s="290" t="str">
        <f>IF(CommercialDishwasher="Yes",IF(ISNUMBER($P$49),IF(K40&gt;0,$Q$49*$P$49,0),"Not Estimated"),"N/A")</f>
        <v>N/A</v>
      </c>
      <c r="F40" s="24" t="str">
        <f>IF(CommercialDishwasher="Yes",ROUNDDOWN(SUM(Q17:Q19)*$R$49,-2),"N/A")</f>
        <v>N/A</v>
      </c>
      <c r="G40" s="290" t="str">
        <f>IF(AND(CommercialDishwasher="Yes",ConvertedWaterRate+ConvertedWastewaterRate&gt;0),ROUND(F40*(ConvertedWaterRate+ConvertedWastewaterRate),-1),"N/A")</f>
        <v>N/A</v>
      </c>
      <c r="H40" s="24" t="str">
        <f>IF(CommercialDishwasher="Yes",ROUND(SUM(R17:R19)*$R$49,-2),"N/A")</f>
        <v>N/A</v>
      </c>
      <c r="I40" s="24" t="str">
        <f>IF(CommercialDishwasher="Yes",IF(HotWaterFuelType="Natural Gas",ROUND(SUM(S17:S19)*$R$49,-1),"—"),"N/A")</f>
        <v>N/A</v>
      </c>
      <c r="J40" s="290" t="str">
        <f>IF(CommercialDishwasher="Yes",ROUND(SUM($H40*ConvertedElectricityRate,IF($I40="—",0,$I40)*ConvertedNaturalGasRate),-1),"N/A")</f>
        <v>N/A</v>
      </c>
      <c r="K40" s="290" t="str">
        <f>IF(CommercialDishwasher="Yes",SUM(G40,J40),"N/A")</f>
        <v>N/A</v>
      </c>
      <c r="L40" s="535" t="str">
        <f>IF(ISNUMBER($E40),IF(K40&gt;0,E40/K40,0),IF($E40="Not Estimated","Not Estimated","N/A"))</f>
        <v>N/A</v>
      </c>
      <c r="M40" s="39"/>
      <c r="N40" s="13"/>
      <c r="O40" s="13"/>
      <c r="P40" s="13"/>
      <c r="Q40" s="13"/>
      <c r="R40" s="13"/>
      <c r="S40" s="13"/>
      <c r="T40" s="13"/>
      <c r="U40" s="13"/>
      <c r="V40" s="13"/>
      <c r="W40" s="13"/>
      <c r="X40" s="13"/>
      <c r="Y40" s="13"/>
      <c r="Z40" s="13"/>
      <c r="AA40" s="13"/>
      <c r="AB40" s="13"/>
      <c r="AC40" s="13"/>
      <c r="AD40" s="13"/>
      <c r="AE40" s="13"/>
      <c r="AF40" s="13"/>
      <c r="AG40" s="13"/>
      <c r="AH40" s="13"/>
      <c r="AI40" s="13"/>
      <c r="AJ40" s="13"/>
    </row>
    <row r="41" spans="1:36" s="12" customFormat="1" ht="15" hidden="1">
      <c r="A41" s="13"/>
      <c r="B41" s="39"/>
      <c r="C41" s="39"/>
      <c r="D41" s="626" t="s">
        <v>726</v>
      </c>
      <c r="E41" s="290" t="str">
        <f>IF(PRSV="Yes",IF(ISNUMBER($P$50),IF(K41&gt;0,$Q$50*$P$50,0),"Not Estimated"),"N/A")</f>
        <v>N/A</v>
      </c>
      <c r="F41" s="24" t="str">
        <f>IF(PRSV="Yes",ROUNDDOWN(SUM(Q24:Q26)*$R$50,-2),"N/A")</f>
        <v>N/A</v>
      </c>
      <c r="G41" s="290" t="str">
        <f>IF(AND(PRSV="Yes",ConvertedWaterRate+ConvertedWastewaterRate&gt;0),ROUND($F41*(ConvertedWaterRate+ConvertedWastewaterRate),-1),"N/A")</f>
        <v>N/A</v>
      </c>
      <c r="H41" s="267" t="str">
        <f>IF(PRSV="Yes",IF(HotWaterFuelType="Electric",ROUND($F41*$G$54*$G$55,-1),"—"),"N/A")</f>
        <v>N/A</v>
      </c>
      <c r="I41" s="267" t="str">
        <f>IF(PRSV="Yes",IF(HotWaterFuelType="Natural Gas",$F41*$G$54*$G$56,"—"),"N/A")</f>
        <v>N/A</v>
      </c>
      <c r="J41" s="290" t="str">
        <f>IF(PRSV="Yes",ROUND(SUM(IF($H41="—",0,$H41)*ConvertedElectricityRate,IF($I41="—",0,$I41)*ConvertedNaturalGasRate),-1),"N/A")</f>
        <v>N/A</v>
      </c>
      <c r="K41" s="290" t="str">
        <f>IF(PRSV="Yes",SUM(G41,J41),"N/A")</f>
        <v>N/A</v>
      </c>
      <c r="L41" s="535" t="str">
        <f>IF(ISNUMBER($E41),IF(K41&gt;0,E41/K41,0),IF($E41="Not Estimated","Not Estimated","N/A"))</f>
        <v>N/A</v>
      </c>
      <c r="M41" s="39"/>
      <c r="N41" s="13"/>
      <c r="O41" s="13"/>
      <c r="P41" s="13"/>
      <c r="Q41" s="13"/>
      <c r="R41" s="13"/>
      <c r="S41" s="13"/>
      <c r="T41" s="13"/>
      <c r="U41" s="13"/>
      <c r="V41" s="13"/>
      <c r="W41" s="13"/>
      <c r="X41" s="13"/>
      <c r="Y41" s="13"/>
      <c r="Z41" s="13"/>
      <c r="AA41" s="13"/>
      <c r="AB41" s="13"/>
      <c r="AC41" s="13"/>
      <c r="AD41" s="13"/>
      <c r="AE41" s="13"/>
      <c r="AF41" s="13"/>
      <c r="AG41" s="13"/>
      <c r="AH41" s="13"/>
      <c r="AI41" s="13"/>
      <c r="AJ41" s="13"/>
    </row>
    <row r="42" spans="1:36" s="12" customFormat="1" ht="15" hidden="1">
      <c r="A42" s="13"/>
      <c r="B42" s="39"/>
      <c r="C42" s="39"/>
      <c r="D42" s="612" t="s">
        <v>343</v>
      </c>
      <c r="E42" s="465" t="str">
        <f>IF(OR(COUNTIF(E40:E41,"Not Estimated")&gt;0,AND(ISNUMBER(E40)=FALSE,ISNUMBER(E41)=FALSE)),"Not Estimated",SUM(E40:E41))</f>
        <v>Not Estimated</v>
      </c>
      <c r="F42" s="461">
        <f aca="true" t="shared" si="0" ref="F42:K42">SUM(F40:F41)</f>
        <v>0</v>
      </c>
      <c r="G42" s="465">
        <f t="shared" si="0"/>
        <v>0</v>
      </c>
      <c r="H42" s="461">
        <f t="shared" si="0"/>
        <v>0</v>
      </c>
      <c r="I42" s="461" t="str">
        <f>IF(HotWaterFuelType="Natural Gas",SUM(I40:I41),"—")</f>
        <v>—</v>
      </c>
      <c r="J42" s="465">
        <f t="shared" si="0"/>
        <v>0</v>
      </c>
      <c r="K42" s="465">
        <f t="shared" si="0"/>
        <v>0</v>
      </c>
      <c r="L42" s="464" t="str">
        <f>IF(ISNUMBER($E42),IF(K42&gt;0,E42/K42,0),IF($E42="Not Estimated","Not Estimated","N/A"))</f>
        <v>Not Estimated</v>
      </c>
      <c r="M42" s="39"/>
      <c r="N42" s="13"/>
      <c r="O42" s="13"/>
      <c r="P42" s="13"/>
      <c r="Q42" s="13"/>
      <c r="R42" s="13"/>
      <c r="S42" s="13"/>
      <c r="T42" s="13"/>
      <c r="U42" s="13"/>
      <c r="V42" s="13"/>
      <c r="W42" s="13"/>
      <c r="X42" s="13"/>
      <c r="Y42" s="13"/>
      <c r="Z42" s="13"/>
      <c r="AA42" s="13"/>
      <c r="AB42" s="13"/>
      <c r="AC42" s="13"/>
      <c r="AD42" s="13"/>
      <c r="AE42" s="13"/>
      <c r="AF42" s="13"/>
      <c r="AG42" s="13"/>
      <c r="AH42" s="13"/>
      <c r="AI42" s="13"/>
      <c r="AJ42" s="13"/>
    </row>
    <row r="43" spans="1:49" s="394" customFormat="1" ht="33.75" customHeight="1" hidden="1">
      <c r="A43" s="392"/>
      <c r="B43" s="39"/>
      <c r="C43" s="781" t="s">
        <v>760</v>
      </c>
      <c r="D43" s="925" t="s">
        <v>762</v>
      </c>
      <c r="E43" s="925"/>
      <c r="F43" s="925"/>
      <c r="G43" s="925"/>
      <c r="H43" s="925"/>
      <c r="I43" s="925"/>
      <c r="J43" s="925"/>
      <c r="K43" s="925"/>
      <c r="L43" s="761"/>
      <c r="M43" s="39"/>
      <c r="N43" s="392"/>
      <c r="O43" s="718"/>
      <c r="P43" s="718"/>
      <c r="Q43" s="718"/>
      <c r="R43" s="718"/>
      <c r="S43" s="718"/>
      <c r="T43" s="392"/>
      <c r="U43" s="392"/>
      <c r="V43" s="392"/>
      <c r="W43" s="392"/>
      <c r="X43" s="392"/>
      <c r="Y43" s="392"/>
      <c r="Z43" s="392"/>
      <c r="AA43" s="392"/>
      <c r="AB43" s="392"/>
      <c r="AC43" s="392"/>
      <c r="AD43" s="392"/>
      <c r="AE43" s="392"/>
      <c r="AF43" s="392"/>
      <c r="AG43" s="392"/>
      <c r="AH43" s="13"/>
      <c r="AI43" s="13"/>
      <c r="AJ43" s="13"/>
      <c r="AK43" s="13"/>
      <c r="AL43" s="13"/>
      <c r="AM43" s="13"/>
      <c r="AN43" s="13"/>
      <c r="AO43" s="13"/>
      <c r="AP43" s="13"/>
      <c r="AQ43" s="13"/>
      <c r="AR43" s="13"/>
      <c r="AS43" s="13"/>
      <c r="AT43" s="13"/>
      <c r="AU43" s="13"/>
      <c r="AV43" s="13"/>
      <c r="AW43" s="13"/>
    </row>
    <row r="44" spans="1:36" s="394" customFormat="1" ht="26.25" customHeight="1" hidden="1">
      <c r="A44" s="392"/>
      <c r="B44" s="39"/>
      <c r="C44" s="781" t="s">
        <v>760</v>
      </c>
      <c r="D44" s="957" t="s">
        <v>727</v>
      </c>
      <c r="E44" s="957"/>
      <c r="F44" s="957"/>
      <c r="G44" s="979" t="s">
        <v>728</v>
      </c>
      <c r="H44" s="979"/>
      <c r="I44" s="979"/>
      <c r="J44" s="979"/>
      <c r="K44" s="634"/>
      <c r="L44" s="632"/>
      <c r="M44" s="39"/>
      <c r="N44" s="13"/>
      <c r="O44" s="392"/>
      <c r="P44" s="392"/>
      <c r="Q44" s="392"/>
      <c r="R44" s="392"/>
      <c r="S44" s="392"/>
      <c r="T44" s="392"/>
      <c r="U44" s="392"/>
      <c r="V44" s="392"/>
      <c r="W44" s="392"/>
      <c r="X44" s="392"/>
      <c r="Y44" s="392"/>
      <c r="Z44" s="392"/>
      <c r="AA44" s="392"/>
      <c r="AB44" s="392"/>
      <c r="AC44" s="392"/>
      <c r="AD44" s="392"/>
      <c r="AE44" s="392"/>
      <c r="AF44" s="392"/>
      <c r="AG44" s="392"/>
      <c r="AH44" s="13"/>
      <c r="AI44" s="13"/>
      <c r="AJ44" s="13"/>
    </row>
    <row r="45" spans="1:36" s="12" customFormat="1" ht="15" hidden="1">
      <c r="A45" s="13"/>
      <c r="B45" s="39"/>
      <c r="C45" s="39"/>
      <c r="D45" s="16"/>
      <c r="E45" s="25"/>
      <c r="F45" s="28"/>
      <c r="G45" s="25"/>
      <c r="H45" s="28"/>
      <c r="I45" s="644"/>
      <c r="J45" s="29"/>
      <c r="K45" s="39"/>
      <c r="L45" s="39"/>
      <c r="M45" s="39"/>
      <c r="N45" s="13"/>
      <c r="O45" s="13"/>
      <c r="P45" s="13"/>
      <c r="Q45" s="13"/>
      <c r="R45" s="13"/>
      <c r="S45" s="13"/>
      <c r="T45" s="13"/>
      <c r="U45" s="13"/>
      <c r="V45" s="13"/>
      <c r="W45" s="13"/>
      <c r="X45" s="13"/>
      <c r="Y45" s="13"/>
      <c r="Z45" s="13"/>
      <c r="AA45" s="13"/>
      <c r="AB45" s="13"/>
      <c r="AC45" s="13"/>
      <c r="AD45" s="13"/>
      <c r="AE45" s="13"/>
      <c r="AF45" s="13"/>
      <c r="AG45" s="13"/>
      <c r="AH45" s="13"/>
      <c r="AI45" s="13"/>
      <c r="AJ45" s="13"/>
    </row>
    <row r="46" spans="1:36" s="12" customFormat="1" ht="18.75" hidden="1">
      <c r="A46" s="13"/>
      <c r="B46" s="39"/>
      <c r="C46" s="872" t="s">
        <v>765</v>
      </c>
      <c r="D46" s="872"/>
      <c r="E46" s="872"/>
      <c r="F46" s="3"/>
      <c r="G46" s="3"/>
      <c r="H46" s="3"/>
      <c r="I46" s="3"/>
      <c r="J46" s="3"/>
      <c r="K46" s="39"/>
      <c r="L46" s="39"/>
      <c r="M46" s="39"/>
      <c r="N46" s="13"/>
      <c r="O46" s="13"/>
      <c r="P46" s="13"/>
      <c r="Q46" s="13"/>
      <c r="R46" s="13"/>
      <c r="S46" s="13"/>
      <c r="T46" s="13"/>
      <c r="U46" s="13"/>
      <c r="V46" s="13"/>
      <c r="W46" s="13"/>
      <c r="X46" s="13"/>
      <c r="Y46" s="13"/>
      <c r="Z46" s="13"/>
      <c r="AA46" s="13"/>
      <c r="AB46" s="13"/>
      <c r="AC46" s="13"/>
      <c r="AD46" s="13"/>
      <c r="AE46" s="13"/>
      <c r="AF46" s="13"/>
      <c r="AG46" s="13"/>
      <c r="AH46" s="13"/>
      <c r="AI46" s="13"/>
      <c r="AJ46" s="13"/>
    </row>
    <row r="47" spans="1:36" s="12" customFormat="1" ht="18.75" customHeight="1" hidden="1">
      <c r="A47" s="13"/>
      <c r="B47" s="39"/>
      <c r="C47" s="936" t="s">
        <v>484</v>
      </c>
      <c r="D47" s="936"/>
      <c r="E47" s="936"/>
      <c r="F47" s="936"/>
      <c r="G47" s="936"/>
      <c r="H47" s="936"/>
      <c r="I47" s="936"/>
      <c r="J47" s="936"/>
      <c r="K47" s="936"/>
      <c r="L47" s="39"/>
      <c r="M47" s="39"/>
      <c r="N47" s="13"/>
      <c r="O47" s="13"/>
      <c r="P47" s="13"/>
      <c r="Q47" s="13"/>
      <c r="R47" s="13"/>
      <c r="S47" s="13"/>
      <c r="T47" s="13"/>
      <c r="U47" s="13"/>
      <c r="V47" s="13"/>
      <c r="W47" s="13"/>
      <c r="X47" s="13"/>
      <c r="Y47" s="13"/>
      <c r="Z47" s="13"/>
      <c r="AA47" s="13"/>
      <c r="AB47" s="13"/>
      <c r="AC47" s="13"/>
      <c r="AD47" s="13"/>
      <c r="AE47" s="13"/>
      <c r="AF47" s="13"/>
      <c r="AG47" s="13"/>
      <c r="AH47" s="13"/>
      <c r="AI47" s="13"/>
      <c r="AJ47" s="13"/>
    </row>
    <row r="48" spans="1:36" s="12" customFormat="1" ht="26.25" hidden="1">
      <c r="A48" s="13"/>
      <c r="B48" s="39"/>
      <c r="C48" s="39"/>
      <c r="D48" s="397"/>
      <c r="E48" s="397"/>
      <c r="F48" s="399" t="s">
        <v>468</v>
      </c>
      <c r="G48" s="399" t="s">
        <v>440</v>
      </c>
      <c r="H48" s="399" t="s">
        <v>411</v>
      </c>
      <c r="I48" s="399" t="s">
        <v>763</v>
      </c>
      <c r="J48" s="399" t="s">
        <v>764</v>
      </c>
      <c r="K48" s="39"/>
      <c r="L48" s="39"/>
      <c r="M48" s="39"/>
      <c r="N48" s="13"/>
      <c r="O48" s="13"/>
      <c r="P48" s="716" t="s">
        <v>293</v>
      </c>
      <c r="Q48" s="716" t="s">
        <v>469</v>
      </c>
      <c r="R48" s="716" t="s">
        <v>476</v>
      </c>
      <c r="S48" s="36"/>
      <c r="T48" s="13"/>
      <c r="U48" s="13"/>
      <c r="V48" s="13"/>
      <c r="W48" s="13"/>
      <c r="X48" s="13"/>
      <c r="Y48" s="13"/>
      <c r="Z48" s="13"/>
      <c r="AA48" s="13"/>
      <c r="AB48" s="13"/>
      <c r="AC48" s="13"/>
      <c r="AD48" s="13"/>
      <c r="AE48" s="13"/>
      <c r="AF48" s="13"/>
      <c r="AG48" s="13"/>
      <c r="AH48" s="13"/>
      <c r="AI48" s="13"/>
      <c r="AJ48" s="13"/>
    </row>
    <row r="49" spans="1:36" s="12" customFormat="1" ht="15" hidden="1">
      <c r="A49" s="13"/>
      <c r="B49" s="39"/>
      <c r="C49" s="39"/>
      <c r="D49" s="921" t="s">
        <v>462</v>
      </c>
      <c r="E49" s="922"/>
      <c r="F49" s="579" t="str">
        <f>IF(CommercialDishwasher="Yes",SUM(F17:F19)-SUM(G17:G19),"N/A")</f>
        <v>N/A</v>
      </c>
      <c r="G49" s="611"/>
      <c r="H49" s="517" t="s">
        <v>45</v>
      </c>
      <c r="I49" s="525"/>
      <c r="J49" s="395"/>
      <c r="K49" s="615"/>
      <c r="L49" s="615"/>
      <c r="M49" s="39"/>
      <c r="N49" s="13"/>
      <c r="O49" s="13"/>
      <c r="P49" s="719" t="str">
        <f>IF(ISNUMBER(I49),I49-J49,"Not Estimated")</f>
        <v>Not Estimated</v>
      </c>
      <c r="Q49" s="268" t="str">
        <f>IF(G49&lt;&gt;"",G49,F49)</f>
        <v>N/A</v>
      </c>
      <c r="R49" s="722">
        <f>IF(AND(ISNUMBER(Q49),ISNUMBER(F49),Q49&gt;0),Q49/F49,0)</f>
        <v>0</v>
      </c>
      <c r="S49" s="36"/>
      <c r="T49" s="13"/>
      <c r="U49" s="13"/>
      <c r="V49" s="13"/>
      <c r="W49" s="13"/>
      <c r="X49" s="13"/>
      <c r="Y49" s="13"/>
      <c r="Z49" s="13"/>
      <c r="AA49" s="13"/>
      <c r="AB49" s="13"/>
      <c r="AC49" s="13"/>
      <c r="AD49" s="13"/>
      <c r="AE49" s="13"/>
      <c r="AF49" s="13"/>
      <c r="AG49" s="13"/>
      <c r="AH49" s="13"/>
      <c r="AI49" s="13"/>
      <c r="AJ49" s="13"/>
    </row>
    <row r="50" spans="1:36" s="12" customFormat="1" ht="15" hidden="1">
      <c r="A50" s="13"/>
      <c r="B50" s="39"/>
      <c r="C50" s="39"/>
      <c r="D50" s="921" t="s">
        <v>463</v>
      </c>
      <c r="E50" s="922"/>
      <c r="F50" s="579" t="str">
        <f>IF(PRSV="Yes",SUMIF(E24:E26,"&gt;1.28",D24:D26),"N/A")</f>
        <v>N/A</v>
      </c>
      <c r="G50" s="611"/>
      <c r="H50" s="517">
        <v>1.28</v>
      </c>
      <c r="I50" s="395">
        <v>80</v>
      </c>
      <c r="J50" s="395"/>
      <c r="K50" s="39"/>
      <c r="L50" s="39"/>
      <c r="M50" s="39"/>
      <c r="N50" s="13"/>
      <c r="O50" s="13"/>
      <c r="P50" s="719">
        <f>IF(ISNUMBER(I50),I50-J50,"Not Estimated")</f>
        <v>80</v>
      </c>
      <c r="Q50" s="268" t="str">
        <f>IF(G50&lt;&gt;"",G50,F50)</f>
        <v>N/A</v>
      </c>
      <c r="R50" s="722">
        <f>IF(AND(ISNUMBER(Q50),ISNUMBER(F50),Q50&gt;0),Q50/F50,0)</f>
        <v>0</v>
      </c>
      <c r="S50" s="36"/>
      <c r="T50" s="13"/>
      <c r="U50" s="13"/>
      <c r="V50" s="13"/>
      <c r="W50" s="13"/>
      <c r="X50" s="13"/>
      <c r="Y50" s="13"/>
      <c r="Z50" s="13"/>
      <c r="AA50" s="13"/>
      <c r="AB50" s="13"/>
      <c r="AC50" s="13"/>
      <c r="AD50" s="13"/>
      <c r="AE50" s="13"/>
      <c r="AF50" s="13"/>
      <c r="AG50" s="13"/>
      <c r="AH50" s="13"/>
      <c r="AI50" s="13"/>
      <c r="AJ50" s="13"/>
    </row>
    <row r="51" spans="1:36" s="12" customFormat="1" ht="15" hidden="1">
      <c r="A51" s="13"/>
      <c r="B51" s="39"/>
      <c r="C51" s="39"/>
      <c r="D51" s="39"/>
      <c r="E51" s="39"/>
      <c r="F51" s="39"/>
      <c r="G51" s="39"/>
      <c r="H51" s="46"/>
      <c r="I51" s="39"/>
      <c r="J51" s="39"/>
      <c r="K51" s="39"/>
      <c r="L51" s="39"/>
      <c r="M51" s="39"/>
      <c r="N51" s="13"/>
      <c r="O51" s="13"/>
      <c r="P51" s="36"/>
      <c r="Q51" s="36"/>
      <c r="R51" s="36"/>
      <c r="S51" s="36"/>
      <c r="T51" s="13"/>
      <c r="U51" s="13"/>
      <c r="V51" s="13"/>
      <c r="W51" s="13"/>
      <c r="X51" s="13"/>
      <c r="Y51" s="13"/>
      <c r="Z51" s="13"/>
      <c r="AA51" s="13"/>
      <c r="AB51" s="13"/>
      <c r="AC51" s="13"/>
      <c r="AD51" s="13"/>
      <c r="AE51" s="13"/>
      <c r="AF51" s="13"/>
      <c r="AG51" s="13"/>
      <c r="AH51" s="13"/>
      <c r="AI51" s="13"/>
      <c r="AJ51" s="13"/>
    </row>
    <row r="52" spans="1:36" s="12" customFormat="1" ht="18.75" hidden="1">
      <c r="A52" s="13"/>
      <c r="B52" s="39"/>
      <c r="C52" s="872" t="s">
        <v>767</v>
      </c>
      <c r="D52" s="872"/>
      <c r="E52" s="872"/>
      <c r="F52" s="446"/>
      <c r="G52" s="456"/>
      <c r="H52" s="39"/>
      <c r="I52" s="39"/>
      <c r="J52" s="39"/>
      <c r="K52" s="39"/>
      <c r="L52" s="39"/>
      <c r="M52" s="39"/>
      <c r="N52" s="13"/>
      <c r="O52" s="13"/>
      <c r="P52" s="13"/>
      <c r="Q52" s="13"/>
      <c r="R52" s="13"/>
      <c r="S52" s="13"/>
      <c r="T52" s="13"/>
      <c r="U52" s="13"/>
      <c r="V52" s="13"/>
      <c r="W52" s="13"/>
      <c r="X52" s="13"/>
      <c r="Y52" s="13"/>
      <c r="Z52" s="13"/>
      <c r="AA52" s="13"/>
      <c r="AB52" s="13"/>
      <c r="AC52" s="13"/>
      <c r="AD52" s="13"/>
      <c r="AE52" s="13"/>
      <c r="AF52" s="13"/>
      <c r="AG52" s="13"/>
      <c r="AH52" s="13"/>
      <c r="AI52" s="13"/>
      <c r="AJ52" s="13"/>
    </row>
    <row r="53" spans="1:36" s="12" customFormat="1" ht="27" customHeight="1" hidden="1">
      <c r="A53" s="13"/>
      <c r="B53" s="410"/>
      <c r="C53" s="934" t="s">
        <v>801</v>
      </c>
      <c r="D53" s="934"/>
      <c r="E53" s="934"/>
      <c r="F53" s="934"/>
      <c r="G53" s="934"/>
      <c r="H53" s="934"/>
      <c r="I53" s="934"/>
      <c r="J53" s="934"/>
      <c r="K53" s="3"/>
      <c r="L53" s="3"/>
      <c r="M53" s="39"/>
      <c r="N53" s="13"/>
      <c r="O53" s="13"/>
      <c r="P53" s="13"/>
      <c r="Q53" s="13"/>
      <c r="R53" s="13"/>
      <c r="S53" s="13"/>
      <c r="T53" s="13"/>
      <c r="U53" s="13"/>
      <c r="V53" s="13"/>
      <c r="W53" s="13"/>
      <c r="X53" s="13"/>
      <c r="Y53" s="13"/>
      <c r="Z53" s="13"/>
      <c r="AA53" s="13"/>
      <c r="AB53" s="13"/>
      <c r="AC53" s="13"/>
      <c r="AD53" s="13"/>
      <c r="AE53" s="13"/>
      <c r="AF53" s="13"/>
      <c r="AG53" s="13"/>
      <c r="AH53" s="13"/>
      <c r="AI53" s="13"/>
      <c r="AJ53" s="13"/>
    </row>
    <row r="54" spans="1:36" ht="15" hidden="1">
      <c r="A54" s="13"/>
      <c r="B54" s="39"/>
      <c r="C54" s="39"/>
      <c r="D54" s="927" t="s">
        <v>413</v>
      </c>
      <c r="E54" s="927"/>
      <c r="F54" s="928"/>
      <c r="G54" s="546">
        <v>1</v>
      </c>
      <c r="H54" s="3"/>
      <c r="I54" s="3"/>
      <c r="J54" s="3"/>
      <c r="K54" s="39"/>
      <c r="L54" s="39"/>
      <c r="M54" s="39"/>
      <c r="N54" s="13"/>
      <c r="O54" s="37"/>
      <c r="P54" s="37"/>
      <c r="Q54" s="37"/>
      <c r="R54" s="37"/>
      <c r="S54" s="37"/>
      <c r="T54" s="37"/>
      <c r="U54" s="37"/>
      <c r="V54" s="37"/>
      <c r="W54" s="37"/>
      <c r="X54" s="37"/>
      <c r="Y54" s="37"/>
      <c r="Z54" s="37"/>
      <c r="AA54" s="37"/>
      <c r="AB54" s="37"/>
      <c r="AC54" s="37"/>
      <c r="AD54" s="37"/>
      <c r="AE54" s="37"/>
      <c r="AF54" s="37"/>
      <c r="AG54" s="37"/>
      <c r="AH54" s="37"/>
      <c r="AI54" s="37"/>
      <c r="AJ54" s="37"/>
    </row>
    <row r="55" spans="1:36" ht="15" hidden="1">
      <c r="A55" s="13"/>
      <c r="B55" s="39"/>
      <c r="C55" s="39"/>
      <c r="D55" s="927" t="s">
        <v>35</v>
      </c>
      <c r="E55" s="927"/>
      <c r="F55" s="928"/>
      <c r="G55" s="547">
        <v>0.24457555904897763</v>
      </c>
      <c r="H55" s="3"/>
      <c r="I55" s="3"/>
      <c r="J55" s="3"/>
      <c r="K55" s="39"/>
      <c r="L55" s="39"/>
      <c r="M55" s="39"/>
      <c r="N55" s="13"/>
      <c r="O55" s="37"/>
      <c r="P55" s="37"/>
      <c r="Q55" s="37"/>
      <c r="R55" s="37"/>
      <c r="S55" s="37"/>
      <c r="T55" s="37"/>
      <c r="U55" s="37"/>
      <c r="V55" s="37"/>
      <c r="W55" s="37"/>
      <c r="X55" s="37"/>
      <c r="Y55" s="37"/>
      <c r="Z55" s="37"/>
      <c r="AA55" s="37"/>
      <c r="AB55" s="37"/>
      <c r="AC55" s="37"/>
      <c r="AD55" s="37"/>
      <c r="AE55" s="37"/>
      <c r="AF55" s="37"/>
      <c r="AG55" s="37"/>
      <c r="AH55" s="37"/>
      <c r="AI55" s="37"/>
      <c r="AJ55" s="37"/>
    </row>
    <row r="56" spans="1:36" ht="15" hidden="1">
      <c r="A56" s="13"/>
      <c r="B56" s="39"/>
      <c r="C56" s="39"/>
      <c r="D56" s="927" t="s">
        <v>32</v>
      </c>
      <c r="E56" s="927"/>
      <c r="F56" s="928"/>
      <c r="G56" s="548">
        <v>0.0009110969122644735</v>
      </c>
      <c r="H56" s="3"/>
      <c r="I56" s="3"/>
      <c r="J56" s="3"/>
      <c r="K56" s="39"/>
      <c r="L56" s="39"/>
      <c r="M56" s="39"/>
      <c r="N56" s="13"/>
      <c r="O56" s="37"/>
      <c r="P56" s="37"/>
      <c r="Q56" s="37"/>
      <c r="R56" s="37"/>
      <c r="S56" s="37"/>
      <c r="T56" s="37"/>
      <c r="U56" s="37"/>
      <c r="V56" s="37"/>
      <c r="W56" s="37"/>
      <c r="X56" s="37"/>
      <c r="Y56" s="37"/>
      <c r="Z56" s="37"/>
      <c r="AA56" s="37"/>
      <c r="AB56" s="37"/>
      <c r="AC56" s="37"/>
      <c r="AD56" s="37"/>
      <c r="AE56" s="37"/>
      <c r="AF56" s="37"/>
      <c r="AG56" s="37"/>
      <c r="AH56" s="37"/>
      <c r="AI56" s="37"/>
      <c r="AJ56" s="37"/>
    </row>
    <row r="57" spans="1:36" s="12" customFormat="1" ht="15" hidden="1">
      <c r="A57" s="13"/>
      <c r="B57" s="39"/>
      <c r="C57" s="39"/>
      <c r="D57" s="39"/>
      <c r="E57" s="39"/>
      <c r="F57" s="39"/>
      <c r="G57" s="39"/>
      <c r="H57" s="39"/>
      <c r="I57" s="39"/>
      <c r="J57" s="39"/>
      <c r="K57" s="39"/>
      <c r="L57" s="39"/>
      <c r="M57" s="39"/>
      <c r="N57" s="13"/>
      <c r="O57" s="13"/>
      <c r="P57" s="13"/>
      <c r="Q57" s="13"/>
      <c r="R57" s="13"/>
      <c r="S57" s="13"/>
      <c r="T57" s="13"/>
      <c r="U57" s="13"/>
      <c r="V57" s="13"/>
      <c r="W57" s="13"/>
      <c r="X57" s="13"/>
      <c r="Y57" s="13"/>
      <c r="Z57" s="13"/>
      <c r="AA57" s="13"/>
      <c r="AB57" s="13"/>
      <c r="AC57" s="13"/>
      <c r="AD57" s="13"/>
      <c r="AE57" s="13"/>
      <c r="AF57" s="13"/>
      <c r="AG57" s="13"/>
      <c r="AH57" s="13"/>
      <c r="AI57" s="13"/>
      <c r="AJ57" s="13"/>
    </row>
    <row r="58" spans="1:36" s="12" customFormat="1" ht="51" customHeight="1" hidden="1">
      <c r="A58" s="13"/>
      <c r="B58" s="39"/>
      <c r="C58" s="39"/>
      <c r="E58" s="967" t="s">
        <v>729</v>
      </c>
      <c r="F58" s="967"/>
      <c r="G58" s="967"/>
      <c r="H58" s="967"/>
      <c r="I58" s="967"/>
      <c r="J58" s="302"/>
      <c r="K58" s="302"/>
      <c r="L58" s="39"/>
      <c r="M58" s="39"/>
      <c r="N58" s="13"/>
      <c r="O58" s="13"/>
      <c r="P58" s="13"/>
      <c r="Q58" s="13"/>
      <c r="R58" s="13"/>
      <c r="S58" s="13"/>
      <c r="T58" s="13"/>
      <c r="U58" s="13"/>
      <c r="V58" s="13"/>
      <c r="W58" s="13"/>
      <c r="X58" s="13"/>
      <c r="Y58" s="13"/>
      <c r="Z58" s="13"/>
      <c r="AA58" s="13"/>
      <c r="AB58" s="13"/>
      <c r="AC58" s="13"/>
      <c r="AD58" s="13"/>
      <c r="AE58" s="13"/>
      <c r="AF58" s="13"/>
      <c r="AG58" s="13"/>
      <c r="AH58" s="13"/>
      <c r="AI58" s="13"/>
      <c r="AJ58" s="13"/>
    </row>
    <row r="59" spans="1:36" s="12" customFormat="1" ht="15">
      <c r="A59" s="13"/>
      <c r="B59" s="654" t="s">
        <v>877</v>
      </c>
      <c r="C59" s="37"/>
      <c r="D59" s="37"/>
      <c r="E59" s="37"/>
      <c r="F59" s="37"/>
      <c r="G59" s="37"/>
      <c r="H59" s="37"/>
      <c r="I59" s="37"/>
      <c r="J59" s="37"/>
      <c r="K59" s="37"/>
      <c r="L59" s="37"/>
      <c r="M59" s="37"/>
      <c r="N59" s="13"/>
      <c r="O59" s="13"/>
      <c r="P59" s="13"/>
      <c r="Q59" s="13"/>
      <c r="R59" s="13"/>
      <c r="S59" s="13"/>
      <c r="T59" s="13"/>
      <c r="U59" s="13"/>
      <c r="V59" s="13"/>
      <c r="W59" s="13"/>
      <c r="X59" s="13"/>
      <c r="Y59" s="13"/>
      <c r="Z59" s="13"/>
      <c r="AA59" s="13"/>
      <c r="AB59" s="13"/>
      <c r="AC59" s="13"/>
      <c r="AD59" s="13"/>
      <c r="AE59" s="13"/>
      <c r="AF59" s="13"/>
      <c r="AG59" s="13"/>
      <c r="AH59" s="13"/>
      <c r="AI59" s="13"/>
      <c r="AJ59" s="13"/>
    </row>
    <row r="60" spans="1:36" s="12" customFormat="1" ht="15">
      <c r="A60" s="13"/>
      <c r="B60" s="37"/>
      <c r="C60" s="37"/>
      <c r="D60" s="37"/>
      <c r="E60" s="37"/>
      <c r="F60" s="37"/>
      <c r="G60" s="37"/>
      <c r="H60" s="37"/>
      <c r="I60" s="37"/>
      <c r="J60" s="37"/>
      <c r="K60" s="37"/>
      <c r="L60" s="37"/>
      <c r="M60" s="37"/>
      <c r="N60" s="13"/>
      <c r="O60" s="13"/>
      <c r="P60" s="13"/>
      <c r="Q60" s="13"/>
      <c r="R60" s="13"/>
      <c r="S60" s="13"/>
      <c r="T60" s="13"/>
      <c r="U60" s="13"/>
      <c r="V60" s="13"/>
      <c r="W60" s="13"/>
      <c r="X60" s="13"/>
      <c r="Y60" s="13"/>
      <c r="Z60" s="13"/>
      <c r="AA60" s="13"/>
      <c r="AB60" s="13"/>
      <c r="AC60" s="13"/>
      <c r="AD60" s="13"/>
      <c r="AE60" s="13"/>
      <c r="AF60" s="13"/>
      <c r="AG60" s="13"/>
      <c r="AH60" s="13"/>
      <c r="AI60" s="13"/>
      <c r="AJ60" s="13"/>
    </row>
    <row r="61" spans="1:36" s="12" customFormat="1" ht="15">
      <c r="A61" s="13"/>
      <c r="B61" s="37"/>
      <c r="C61" s="37"/>
      <c r="D61" s="37"/>
      <c r="E61" s="37"/>
      <c r="F61" s="37"/>
      <c r="G61" s="37"/>
      <c r="H61" s="37"/>
      <c r="I61" s="37"/>
      <c r="J61" s="37"/>
      <c r="K61" s="37"/>
      <c r="L61" s="37"/>
      <c r="M61" s="37"/>
      <c r="N61" s="13"/>
      <c r="O61" s="13"/>
      <c r="P61" s="13"/>
      <c r="Q61" s="13"/>
      <c r="R61" s="13"/>
      <c r="S61" s="13"/>
      <c r="T61" s="13"/>
      <c r="U61" s="13"/>
      <c r="V61" s="13"/>
      <c r="W61" s="13"/>
      <c r="X61" s="13"/>
      <c r="Y61" s="13"/>
      <c r="Z61" s="13"/>
      <c r="AA61" s="13"/>
      <c r="AB61" s="13"/>
      <c r="AC61" s="13"/>
      <c r="AD61" s="13"/>
      <c r="AE61" s="13"/>
      <c r="AF61" s="13"/>
      <c r="AG61" s="13"/>
      <c r="AH61" s="13"/>
      <c r="AI61" s="13"/>
      <c r="AJ61" s="13"/>
    </row>
    <row r="62" spans="1:36" s="12" customFormat="1" ht="15">
      <c r="A62" s="13"/>
      <c r="B62" s="37"/>
      <c r="C62" s="37"/>
      <c r="D62" s="37"/>
      <c r="E62" s="37"/>
      <c r="F62" s="37"/>
      <c r="G62" s="37"/>
      <c r="H62" s="37"/>
      <c r="I62" s="37"/>
      <c r="J62" s="37"/>
      <c r="K62" s="37"/>
      <c r="L62" s="37"/>
      <c r="M62" s="37"/>
      <c r="N62" s="13"/>
      <c r="O62" s="13"/>
      <c r="P62" s="13"/>
      <c r="Q62" s="13"/>
      <c r="R62" s="13"/>
      <c r="S62" s="13"/>
      <c r="T62" s="13"/>
      <c r="U62" s="13"/>
      <c r="V62" s="13"/>
      <c r="W62" s="13"/>
      <c r="X62" s="13"/>
      <c r="Y62" s="13"/>
      <c r="Z62" s="13"/>
      <c r="AA62" s="13"/>
      <c r="AB62" s="13"/>
      <c r="AC62" s="13"/>
      <c r="AD62" s="13"/>
      <c r="AE62" s="13"/>
      <c r="AF62" s="13"/>
      <c r="AG62" s="13"/>
      <c r="AH62" s="13"/>
      <c r="AI62" s="13"/>
      <c r="AJ62" s="13"/>
    </row>
    <row r="63" spans="1:36" s="12" customFormat="1" ht="15">
      <c r="A63" s="13"/>
      <c r="B63" s="37"/>
      <c r="C63" s="37"/>
      <c r="D63" s="37"/>
      <c r="E63" s="37"/>
      <c r="F63" s="37"/>
      <c r="G63" s="37"/>
      <c r="H63" s="37"/>
      <c r="I63" s="37"/>
      <c r="J63" s="37"/>
      <c r="K63" s="37"/>
      <c r="L63" s="37"/>
      <c r="M63" s="37"/>
      <c r="N63" s="13"/>
      <c r="O63" s="13"/>
      <c r="P63" s="13"/>
      <c r="Q63" s="13"/>
      <c r="R63" s="13"/>
      <c r="S63" s="13"/>
      <c r="T63" s="13"/>
      <c r="U63" s="13"/>
      <c r="V63" s="13"/>
      <c r="W63" s="13"/>
      <c r="X63" s="13"/>
      <c r="Y63" s="13"/>
      <c r="Z63" s="13"/>
      <c r="AA63" s="13"/>
      <c r="AB63" s="13"/>
      <c r="AC63" s="13"/>
      <c r="AD63" s="13"/>
      <c r="AE63" s="13"/>
      <c r="AF63" s="13"/>
      <c r="AG63" s="13"/>
      <c r="AH63" s="13"/>
      <c r="AI63" s="13"/>
      <c r="AJ63" s="13"/>
    </row>
    <row r="64" spans="1:36" s="12" customFormat="1" ht="15">
      <c r="A64" s="13"/>
      <c r="B64" s="37"/>
      <c r="C64" s="37"/>
      <c r="D64" s="37"/>
      <c r="E64" s="37"/>
      <c r="F64" s="37"/>
      <c r="G64" s="37"/>
      <c r="H64" s="37"/>
      <c r="I64" s="37"/>
      <c r="J64" s="37"/>
      <c r="K64" s="37"/>
      <c r="L64" s="37"/>
      <c r="M64" s="37"/>
      <c r="N64" s="13"/>
      <c r="O64" s="13"/>
      <c r="P64" s="13"/>
      <c r="Q64" s="13"/>
      <c r="R64" s="13"/>
      <c r="S64" s="13"/>
      <c r="T64" s="13"/>
      <c r="U64" s="13"/>
      <c r="V64" s="13"/>
      <c r="W64" s="13"/>
      <c r="X64" s="13"/>
      <c r="Y64" s="13"/>
      <c r="Z64" s="13"/>
      <c r="AA64" s="13"/>
      <c r="AB64" s="13"/>
      <c r="AC64" s="13"/>
      <c r="AD64" s="13"/>
      <c r="AE64" s="13"/>
      <c r="AF64" s="13"/>
      <c r="AG64" s="13"/>
      <c r="AH64" s="13"/>
      <c r="AI64" s="13"/>
      <c r="AJ64" s="13"/>
    </row>
    <row r="65" spans="1:36" s="12" customFormat="1" ht="15">
      <c r="A65" s="13"/>
      <c r="B65" s="37"/>
      <c r="C65" s="37"/>
      <c r="D65" s="37"/>
      <c r="E65" s="37"/>
      <c r="F65" s="37"/>
      <c r="G65" s="37"/>
      <c r="H65" s="37"/>
      <c r="I65" s="37"/>
      <c r="J65" s="37"/>
      <c r="K65" s="37"/>
      <c r="L65" s="37"/>
      <c r="M65" s="37"/>
      <c r="N65" s="13"/>
      <c r="O65" s="13"/>
      <c r="P65" s="13"/>
      <c r="Q65" s="13"/>
      <c r="R65" s="13"/>
      <c r="S65" s="13"/>
      <c r="T65" s="13"/>
      <c r="U65" s="13"/>
      <c r="V65" s="13"/>
      <c r="W65" s="13"/>
      <c r="X65" s="13"/>
      <c r="Y65" s="13"/>
      <c r="Z65" s="13"/>
      <c r="AA65" s="13"/>
      <c r="AB65" s="13"/>
      <c r="AC65" s="13"/>
      <c r="AD65" s="13"/>
      <c r="AE65" s="13"/>
      <c r="AF65" s="13"/>
      <c r="AG65" s="13"/>
      <c r="AH65" s="13"/>
      <c r="AI65" s="13"/>
      <c r="AJ65" s="13"/>
    </row>
    <row r="66" spans="1:36" s="12" customFormat="1" ht="15">
      <c r="A66" s="13"/>
      <c r="B66" s="37"/>
      <c r="C66" s="37"/>
      <c r="D66" s="37"/>
      <c r="E66" s="37"/>
      <c r="F66" s="37"/>
      <c r="G66" s="37"/>
      <c r="H66" s="37"/>
      <c r="I66" s="37"/>
      <c r="J66" s="37"/>
      <c r="K66" s="37"/>
      <c r="L66" s="37"/>
      <c r="M66" s="37"/>
      <c r="N66" s="13"/>
      <c r="O66" s="13"/>
      <c r="P66" s="13"/>
      <c r="Q66" s="13"/>
      <c r="R66" s="13"/>
      <c r="S66" s="13"/>
      <c r="T66" s="13"/>
      <c r="U66" s="13"/>
      <c r="V66" s="13"/>
      <c r="W66" s="13"/>
      <c r="X66" s="13"/>
      <c r="Y66" s="13"/>
      <c r="Z66" s="13"/>
      <c r="AA66" s="13"/>
      <c r="AB66" s="13"/>
      <c r="AC66" s="13"/>
      <c r="AD66" s="13"/>
      <c r="AE66" s="13"/>
      <c r="AF66" s="13"/>
      <c r="AG66" s="13"/>
      <c r="AH66" s="13"/>
      <c r="AI66" s="13"/>
      <c r="AJ66" s="13"/>
    </row>
    <row r="67" spans="1:36" s="12" customFormat="1" ht="15">
      <c r="A67" s="13"/>
      <c r="B67" s="37"/>
      <c r="C67" s="37"/>
      <c r="D67" s="37"/>
      <c r="E67" s="37"/>
      <c r="F67" s="37"/>
      <c r="G67" s="37"/>
      <c r="H67" s="37"/>
      <c r="I67" s="37"/>
      <c r="J67" s="37"/>
      <c r="K67" s="37"/>
      <c r="L67" s="37"/>
      <c r="M67" s="37"/>
      <c r="N67" s="13"/>
      <c r="O67" s="13"/>
      <c r="P67" s="13"/>
      <c r="Q67" s="13"/>
      <c r="R67" s="13"/>
      <c r="S67" s="13"/>
      <c r="T67" s="13"/>
      <c r="U67" s="13"/>
      <c r="V67" s="13"/>
      <c r="W67" s="13"/>
      <c r="X67" s="13"/>
      <c r="Y67" s="13"/>
      <c r="Z67" s="13"/>
      <c r="AA67" s="13"/>
      <c r="AB67" s="13"/>
      <c r="AC67" s="13"/>
      <c r="AD67" s="13"/>
      <c r="AE67" s="13"/>
      <c r="AF67" s="13"/>
      <c r="AG67" s="13"/>
      <c r="AH67" s="13"/>
      <c r="AI67" s="13"/>
      <c r="AJ67" s="13"/>
    </row>
    <row r="68" spans="1:36" s="12" customFormat="1" ht="15">
      <c r="A68" s="13"/>
      <c r="B68" s="37"/>
      <c r="C68" s="37"/>
      <c r="D68" s="37"/>
      <c r="E68" s="37"/>
      <c r="F68" s="37"/>
      <c r="G68" s="37"/>
      <c r="H68" s="37"/>
      <c r="I68" s="37"/>
      <c r="J68" s="37"/>
      <c r="K68" s="37"/>
      <c r="L68" s="37"/>
      <c r="M68" s="37"/>
      <c r="N68" s="13"/>
      <c r="O68" s="13"/>
      <c r="P68" s="13"/>
      <c r="Q68" s="13"/>
      <c r="R68" s="13"/>
      <c r="S68" s="13"/>
      <c r="T68" s="13"/>
      <c r="U68" s="13"/>
      <c r="V68" s="13"/>
      <c r="W68" s="13"/>
      <c r="X68" s="13"/>
      <c r="Y68" s="13"/>
      <c r="Z68" s="13"/>
      <c r="AA68" s="13"/>
      <c r="AB68" s="13"/>
      <c r="AC68" s="13"/>
      <c r="AD68" s="13"/>
      <c r="AE68" s="13"/>
      <c r="AF68" s="13"/>
      <c r="AG68" s="13"/>
      <c r="AH68" s="13"/>
      <c r="AI68" s="13"/>
      <c r="AJ68" s="13"/>
    </row>
    <row r="69" spans="1:36" s="12" customFormat="1" ht="15">
      <c r="A69" s="13"/>
      <c r="B69" s="37"/>
      <c r="C69" s="37"/>
      <c r="D69" s="37"/>
      <c r="E69" s="37"/>
      <c r="F69" s="37"/>
      <c r="G69" s="37"/>
      <c r="H69" s="37"/>
      <c r="I69" s="37"/>
      <c r="J69" s="37"/>
      <c r="K69" s="37"/>
      <c r="L69" s="37"/>
      <c r="M69" s="37"/>
      <c r="N69" s="13"/>
      <c r="O69" s="13"/>
      <c r="P69" s="13"/>
      <c r="Q69" s="13"/>
      <c r="R69" s="13"/>
      <c r="S69" s="13"/>
      <c r="T69" s="13"/>
      <c r="U69" s="13"/>
      <c r="V69" s="13"/>
      <c r="W69" s="13"/>
      <c r="X69" s="13"/>
      <c r="Y69" s="13"/>
      <c r="Z69" s="13"/>
      <c r="AA69" s="13"/>
      <c r="AB69" s="13"/>
      <c r="AC69" s="13"/>
      <c r="AD69" s="13"/>
      <c r="AE69" s="13"/>
      <c r="AF69" s="13"/>
      <c r="AG69" s="13"/>
      <c r="AH69" s="13"/>
      <c r="AI69" s="13"/>
      <c r="AJ69" s="13"/>
    </row>
    <row r="70" spans="1:36" s="12" customFormat="1" ht="15">
      <c r="A70" s="13"/>
      <c r="B70" s="37"/>
      <c r="C70" s="37"/>
      <c r="D70" s="37"/>
      <c r="E70" s="37"/>
      <c r="F70" s="37"/>
      <c r="G70" s="37"/>
      <c r="H70" s="37"/>
      <c r="I70" s="37"/>
      <c r="J70" s="37"/>
      <c r="K70" s="37"/>
      <c r="L70" s="37"/>
      <c r="M70" s="37"/>
      <c r="N70" s="13"/>
      <c r="O70" s="13"/>
      <c r="P70" s="13"/>
      <c r="Q70" s="13"/>
      <c r="R70" s="13"/>
      <c r="S70" s="13"/>
      <c r="T70" s="13"/>
      <c r="U70" s="13"/>
      <c r="V70" s="13"/>
      <c r="W70" s="13"/>
      <c r="X70" s="13"/>
      <c r="Y70" s="13"/>
      <c r="Z70" s="13"/>
      <c r="AA70" s="13"/>
      <c r="AB70" s="13"/>
      <c r="AC70" s="13"/>
      <c r="AD70" s="13"/>
      <c r="AE70" s="13"/>
      <c r="AF70" s="13"/>
      <c r="AG70" s="13"/>
      <c r="AH70" s="13"/>
      <c r="AI70" s="13"/>
      <c r="AJ70" s="13"/>
    </row>
    <row r="71" spans="1:36" s="12" customFormat="1" ht="15">
      <c r="A71" s="13"/>
      <c r="B71" s="37"/>
      <c r="C71" s="37"/>
      <c r="D71" s="37"/>
      <c r="E71" s="37"/>
      <c r="F71" s="37"/>
      <c r="G71" s="37"/>
      <c r="H71" s="37"/>
      <c r="I71" s="37"/>
      <c r="J71" s="37"/>
      <c r="K71" s="37"/>
      <c r="L71" s="37"/>
      <c r="M71" s="37"/>
      <c r="N71" s="13"/>
      <c r="O71" s="13"/>
      <c r="P71" s="13"/>
      <c r="Q71" s="13"/>
      <c r="R71" s="13"/>
      <c r="S71" s="13"/>
      <c r="T71" s="13"/>
      <c r="U71" s="13"/>
      <c r="V71" s="13"/>
      <c r="W71" s="13"/>
      <c r="X71" s="13"/>
      <c r="Y71" s="13"/>
      <c r="Z71" s="13"/>
      <c r="AA71" s="13"/>
      <c r="AB71" s="13"/>
      <c r="AC71" s="13"/>
      <c r="AD71" s="13"/>
      <c r="AE71" s="13"/>
      <c r="AF71" s="13"/>
      <c r="AG71" s="13"/>
      <c r="AH71" s="13"/>
      <c r="AI71" s="13"/>
      <c r="AJ71" s="13"/>
    </row>
    <row r="72" spans="1:36" s="12" customFormat="1" ht="15">
      <c r="A72" s="13"/>
      <c r="B72" s="37"/>
      <c r="C72" s="37"/>
      <c r="D72" s="37"/>
      <c r="E72" s="37"/>
      <c r="F72" s="37"/>
      <c r="G72" s="37"/>
      <c r="H72" s="37"/>
      <c r="I72" s="37"/>
      <c r="J72" s="37"/>
      <c r="K72" s="37"/>
      <c r="L72" s="37"/>
      <c r="M72" s="37"/>
      <c r="N72" s="13"/>
      <c r="O72" s="13"/>
      <c r="P72" s="13"/>
      <c r="Q72" s="13"/>
      <c r="R72" s="13"/>
      <c r="S72" s="13"/>
      <c r="T72" s="13"/>
      <c r="U72" s="13"/>
      <c r="V72" s="13"/>
      <c r="W72" s="13"/>
      <c r="X72" s="13"/>
      <c r="Y72" s="13"/>
      <c r="Z72" s="13"/>
      <c r="AA72" s="13"/>
      <c r="AB72" s="13"/>
      <c r="AC72" s="13"/>
      <c r="AD72" s="13"/>
      <c r="AE72" s="13"/>
      <c r="AF72" s="13"/>
      <c r="AG72" s="13"/>
      <c r="AH72" s="13"/>
      <c r="AI72" s="13"/>
      <c r="AJ72" s="13"/>
    </row>
    <row r="73" spans="1:36" s="12" customFormat="1" ht="15">
      <c r="A73" s="13"/>
      <c r="B73" s="37"/>
      <c r="C73" s="37"/>
      <c r="D73" s="37"/>
      <c r="E73" s="37"/>
      <c r="F73" s="37"/>
      <c r="G73" s="37"/>
      <c r="H73" s="37"/>
      <c r="I73" s="37"/>
      <c r="J73" s="37"/>
      <c r="K73" s="37"/>
      <c r="L73" s="37"/>
      <c r="M73" s="37"/>
      <c r="N73" s="13"/>
      <c r="O73" s="13"/>
      <c r="P73" s="13"/>
      <c r="Q73" s="13"/>
      <c r="R73" s="13"/>
      <c r="S73" s="13"/>
      <c r="T73" s="13"/>
      <c r="U73" s="13"/>
      <c r="V73" s="13"/>
      <c r="W73" s="13"/>
      <c r="X73" s="13"/>
      <c r="Y73" s="13"/>
      <c r="Z73" s="13"/>
      <c r="AA73" s="13"/>
      <c r="AB73" s="13"/>
      <c r="AC73" s="13"/>
      <c r="AD73" s="13"/>
      <c r="AE73" s="13"/>
      <c r="AF73" s="13"/>
      <c r="AG73" s="13"/>
      <c r="AH73" s="13"/>
      <c r="AI73" s="13"/>
      <c r="AJ73" s="13"/>
    </row>
    <row r="74" spans="1:36" s="12" customFormat="1" ht="15">
      <c r="A74" s="13"/>
      <c r="B74" s="37"/>
      <c r="C74" s="37"/>
      <c r="D74" s="37"/>
      <c r="E74" s="37"/>
      <c r="F74" s="37"/>
      <c r="G74" s="37"/>
      <c r="H74" s="37"/>
      <c r="I74" s="37"/>
      <c r="J74" s="37"/>
      <c r="K74" s="37"/>
      <c r="L74" s="37"/>
      <c r="M74" s="37"/>
      <c r="N74" s="13"/>
      <c r="O74" s="13"/>
      <c r="P74" s="13"/>
      <c r="Q74" s="13"/>
      <c r="R74" s="13"/>
      <c r="S74" s="13"/>
      <c r="T74" s="13"/>
      <c r="U74" s="13"/>
      <c r="V74" s="13"/>
      <c r="W74" s="13"/>
      <c r="X74" s="13"/>
      <c r="Y74" s="13"/>
      <c r="Z74" s="13"/>
      <c r="AA74" s="13"/>
      <c r="AB74" s="13"/>
      <c r="AC74" s="13"/>
      <c r="AD74" s="13"/>
      <c r="AE74" s="13"/>
      <c r="AF74" s="13"/>
      <c r="AG74" s="13"/>
      <c r="AH74" s="13"/>
      <c r="AI74" s="13"/>
      <c r="AJ74" s="13"/>
    </row>
    <row r="75" spans="1:36" s="12" customFormat="1" ht="15">
      <c r="A75" s="13"/>
      <c r="B75" s="37"/>
      <c r="C75" s="37"/>
      <c r="D75" s="37"/>
      <c r="E75" s="37"/>
      <c r="F75" s="37"/>
      <c r="G75" s="37"/>
      <c r="H75" s="37"/>
      <c r="I75" s="37"/>
      <c r="J75" s="37"/>
      <c r="K75" s="37"/>
      <c r="L75" s="37"/>
      <c r="M75" s="37"/>
      <c r="N75" s="13"/>
      <c r="O75" s="13"/>
      <c r="P75" s="13"/>
      <c r="Q75" s="13"/>
      <c r="R75" s="13"/>
      <c r="S75" s="13"/>
      <c r="T75" s="13"/>
      <c r="U75" s="13"/>
      <c r="V75" s="13"/>
      <c r="W75" s="13"/>
      <c r="X75" s="13"/>
      <c r="Y75" s="13"/>
      <c r="Z75" s="13"/>
      <c r="AA75" s="13"/>
      <c r="AB75" s="13"/>
      <c r="AC75" s="13"/>
      <c r="AD75" s="13"/>
      <c r="AE75" s="13"/>
      <c r="AF75" s="13"/>
      <c r="AG75" s="13"/>
      <c r="AH75" s="13"/>
      <c r="AI75" s="13"/>
      <c r="AJ75" s="13"/>
    </row>
    <row r="76" spans="1:36" s="12" customFormat="1" ht="15">
      <c r="A76" s="13"/>
      <c r="B76" s="37"/>
      <c r="C76" s="37"/>
      <c r="D76" s="37"/>
      <c r="E76" s="37"/>
      <c r="F76" s="37"/>
      <c r="G76" s="37"/>
      <c r="H76" s="37"/>
      <c r="I76" s="37"/>
      <c r="J76" s="37"/>
      <c r="K76" s="37"/>
      <c r="L76" s="37"/>
      <c r="M76" s="37"/>
      <c r="N76" s="13"/>
      <c r="O76" s="13"/>
      <c r="P76" s="13"/>
      <c r="Q76" s="13"/>
      <c r="R76" s="13"/>
      <c r="S76" s="13"/>
      <c r="T76" s="13"/>
      <c r="U76" s="13"/>
      <c r="V76" s="13"/>
      <c r="W76" s="13"/>
      <c r="X76" s="13"/>
      <c r="Y76" s="13"/>
      <c r="Z76" s="13"/>
      <c r="AA76" s="13"/>
      <c r="AB76" s="13"/>
      <c r="AC76" s="13"/>
      <c r="AD76" s="13"/>
      <c r="AE76" s="13"/>
      <c r="AF76" s="13"/>
      <c r="AG76" s="13"/>
      <c r="AH76" s="13"/>
      <c r="AI76" s="13"/>
      <c r="AJ76" s="13"/>
    </row>
    <row r="77" spans="1:36" s="12" customFormat="1" ht="15">
      <c r="A77" s="13"/>
      <c r="B77" s="37"/>
      <c r="C77" s="37"/>
      <c r="D77" s="37"/>
      <c r="E77" s="37"/>
      <c r="F77" s="37"/>
      <c r="G77" s="37"/>
      <c r="H77" s="37"/>
      <c r="I77" s="37"/>
      <c r="J77" s="37"/>
      <c r="K77" s="37"/>
      <c r="L77" s="37"/>
      <c r="M77" s="37"/>
      <c r="N77" s="13"/>
      <c r="O77" s="13"/>
      <c r="P77" s="13"/>
      <c r="Q77" s="13"/>
      <c r="R77" s="13"/>
      <c r="S77" s="13"/>
      <c r="T77" s="13"/>
      <c r="U77" s="13"/>
      <c r="V77" s="13"/>
      <c r="W77" s="13"/>
      <c r="X77" s="13"/>
      <c r="Y77" s="13"/>
      <c r="Z77" s="13"/>
      <c r="AA77" s="13"/>
      <c r="AB77" s="13"/>
      <c r="AC77" s="13"/>
      <c r="AD77" s="13"/>
      <c r="AE77" s="13"/>
      <c r="AF77" s="13"/>
      <c r="AG77" s="13"/>
      <c r="AH77" s="13"/>
      <c r="AI77" s="13"/>
      <c r="AJ77" s="13"/>
    </row>
    <row r="78" spans="1:36" s="12" customFormat="1" ht="15">
      <c r="A78" s="13"/>
      <c r="B78" s="37"/>
      <c r="C78" s="37"/>
      <c r="D78" s="37"/>
      <c r="E78" s="37"/>
      <c r="F78" s="37"/>
      <c r="G78" s="37"/>
      <c r="H78" s="37"/>
      <c r="I78" s="37"/>
      <c r="J78" s="37"/>
      <c r="K78" s="37"/>
      <c r="L78" s="37"/>
      <c r="M78" s="37"/>
      <c r="N78" s="13"/>
      <c r="O78" s="13"/>
      <c r="P78" s="13"/>
      <c r="Q78" s="13"/>
      <c r="R78" s="13"/>
      <c r="S78" s="13"/>
      <c r="T78" s="13"/>
      <c r="U78" s="13"/>
      <c r="V78" s="13"/>
      <c r="W78" s="13"/>
      <c r="X78" s="13"/>
      <c r="Y78" s="13"/>
      <c r="Z78" s="13"/>
      <c r="AA78" s="13"/>
      <c r="AB78" s="13"/>
      <c r="AC78" s="13"/>
      <c r="AD78" s="13"/>
      <c r="AE78" s="13"/>
      <c r="AF78" s="13"/>
      <c r="AG78" s="13"/>
      <c r="AH78" s="13"/>
      <c r="AI78" s="13"/>
      <c r="AJ78" s="13"/>
    </row>
    <row r="79" spans="1:36" s="12" customFormat="1" ht="15">
      <c r="A79" s="13"/>
      <c r="B79" s="37"/>
      <c r="C79" s="37"/>
      <c r="D79" s="37"/>
      <c r="E79" s="37"/>
      <c r="F79" s="37"/>
      <c r="G79" s="37"/>
      <c r="H79" s="37"/>
      <c r="I79" s="37"/>
      <c r="J79" s="37"/>
      <c r="K79" s="37"/>
      <c r="L79" s="37"/>
      <c r="M79" s="37"/>
      <c r="N79" s="13"/>
      <c r="O79" s="13"/>
      <c r="P79" s="13"/>
      <c r="Q79" s="13"/>
      <c r="R79" s="13"/>
      <c r="S79" s="13"/>
      <c r="T79" s="13"/>
      <c r="U79" s="13"/>
      <c r="V79" s="13"/>
      <c r="W79" s="13"/>
      <c r="X79" s="13"/>
      <c r="Y79" s="13"/>
      <c r="Z79" s="13"/>
      <c r="AA79" s="13"/>
      <c r="AB79" s="13"/>
      <c r="AC79" s="13"/>
      <c r="AD79" s="13"/>
      <c r="AE79" s="13"/>
      <c r="AF79" s="13"/>
      <c r="AG79" s="13"/>
      <c r="AH79" s="13"/>
      <c r="AI79" s="13"/>
      <c r="AJ79" s="13"/>
    </row>
    <row r="80" spans="1:36" s="12" customFormat="1" ht="15">
      <c r="A80" s="13"/>
      <c r="B80" s="37"/>
      <c r="C80" s="37"/>
      <c r="D80" s="37"/>
      <c r="E80" s="37"/>
      <c r="F80" s="37"/>
      <c r="G80" s="37"/>
      <c r="H80" s="37"/>
      <c r="I80" s="37"/>
      <c r="J80" s="37"/>
      <c r="K80" s="37"/>
      <c r="L80" s="37"/>
      <c r="M80" s="37"/>
      <c r="N80" s="13"/>
      <c r="O80" s="13"/>
      <c r="P80" s="13"/>
      <c r="Q80" s="13"/>
      <c r="R80" s="13"/>
      <c r="S80" s="13"/>
      <c r="T80" s="13"/>
      <c r="U80" s="13"/>
      <c r="V80" s="13"/>
      <c r="W80" s="13"/>
      <c r="X80" s="13"/>
      <c r="Y80" s="13"/>
      <c r="Z80" s="13"/>
      <c r="AA80" s="13"/>
      <c r="AB80" s="13"/>
      <c r="AC80" s="13"/>
      <c r="AD80" s="13"/>
      <c r="AE80" s="13"/>
      <c r="AF80" s="13"/>
      <c r="AG80" s="13"/>
      <c r="AH80" s="13"/>
      <c r="AI80" s="13"/>
      <c r="AJ80" s="13"/>
    </row>
    <row r="81" spans="1:36" s="12" customFormat="1" ht="15">
      <c r="A81" s="13"/>
      <c r="B81" s="37"/>
      <c r="C81" s="37"/>
      <c r="D81" s="37"/>
      <c r="E81" s="37"/>
      <c r="F81" s="37"/>
      <c r="G81" s="37"/>
      <c r="H81" s="37"/>
      <c r="I81" s="37"/>
      <c r="J81" s="37"/>
      <c r="K81" s="37"/>
      <c r="L81" s="37"/>
      <c r="M81" s="37"/>
      <c r="N81" s="13"/>
      <c r="O81" s="13"/>
      <c r="P81" s="13"/>
      <c r="Q81" s="13"/>
      <c r="R81" s="13"/>
      <c r="S81" s="13"/>
      <c r="T81" s="13"/>
      <c r="U81" s="13"/>
      <c r="V81" s="13"/>
      <c r="W81" s="13"/>
      <c r="X81" s="13"/>
      <c r="Y81" s="13"/>
      <c r="Z81" s="13"/>
      <c r="AA81" s="13"/>
      <c r="AB81" s="13"/>
      <c r="AC81" s="13"/>
      <c r="AD81" s="13"/>
      <c r="AE81" s="13"/>
      <c r="AF81" s="13"/>
      <c r="AG81" s="13"/>
      <c r="AH81" s="13"/>
      <c r="AI81" s="13"/>
      <c r="AJ81" s="13"/>
    </row>
    <row r="82" spans="1:36" s="12" customFormat="1" ht="15">
      <c r="A82" s="13"/>
      <c r="B82" s="37"/>
      <c r="C82" s="37"/>
      <c r="D82" s="37"/>
      <c r="E82" s="37"/>
      <c r="F82" s="37"/>
      <c r="G82" s="37"/>
      <c r="H82" s="37"/>
      <c r="I82" s="37"/>
      <c r="J82" s="37"/>
      <c r="K82" s="37"/>
      <c r="L82" s="37"/>
      <c r="M82" s="37"/>
      <c r="N82" s="13"/>
      <c r="O82" s="13"/>
      <c r="P82" s="13"/>
      <c r="Q82" s="13"/>
      <c r="R82" s="13"/>
      <c r="S82" s="13"/>
      <c r="T82" s="13"/>
      <c r="U82" s="13"/>
      <c r="V82" s="13"/>
      <c r="W82" s="13"/>
      <c r="X82" s="13"/>
      <c r="Y82" s="13"/>
      <c r="Z82" s="13"/>
      <c r="AA82" s="13"/>
      <c r="AB82" s="13"/>
      <c r="AC82" s="13"/>
      <c r="AD82" s="13"/>
      <c r="AE82" s="13"/>
      <c r="AF82" s="13"/>
      <c r="AG82" s="13"/>
      <c r="AH82" s="13"/>
      <c r="AI82" s="13"/>
      <c r="AJ82" s="13"/>
    </row>
    <row r="83" spans="1:36" s="12" customFormat="1" ht="15">
      <c r="A83" s="13"/>
      <c r="B83" s="37"/>
      <c r="C83" s="37"/>
      <c r="D83" s="37"/>
      <c r="E83" s="37"/>
      <c r="F83" s="37"/>
      <c r="G83" s="37"/>
      <c r="H83" s="37"/>
      <c r="I83" s="37"/>
      <c r="J83" s="37"/>
      <c r="K83" s="37"/>
      <c r="L83" s="37"/>
      <c r="M83" s="37"/>
      <c r="N83" s="13"/>
      <c r="O83" s="13"/>
      <c r="P83" s="13"/>
      <c r="Q83" s="13"/>
      <c r="R83" s="13"/>
      <c r="S83" s="13"/>
      <c r="T83" s="13"/>
      <c r="U83" s="13"/>
      <c r="V83" s="13"/>
      <c r="W83" s="13"/>
      <c r="X83" s="13"/>
      <c r="Y83" s="13"/>
      <c r="Z83" s="13"/>
      <c r="AA83" s="13"/>
      <c r="AB83" s="13"/>
      <c r="AC83" s="13"/>
      <c r="AD83" s="13"/>
      <c r="AE83" s="13"/>
      <c r="AF83" s="13"/>
      <c r="AG83" s="13"/>
      <c r="AH83" s="13"/>
      <c r="AI83" s="13"/>
      <c r="AJ83" s="13"/>
    </row>
    <row r="84" spans="1:36" s="12" customFormat="1" ht="15">
      <c r="A84" s="13"/>
      <c r="B84" s="37"/>
      <c r="C84" s="37"/>
      <c r="D84" s="37"/>
      <c r="E84" s="37"/>
      <c r="F84" s="37"/>
      <c r="G84" s="37"/>
      <c r="H84" s="37"/>
      <c r="I84" s="37"/>
      <c r="J84" s="37"/>
      <c r="K84" s="37"/>
      <c r="L84" s="37"/>
      <c r="M84" s="37"/>
      <c r="N84" s="13"/>
      <c r="O84" s="13"/>
      <c r="P84" s="13"/>
      <c r="Q84" s="13"/>
      <c r="R84" s="13"/>
      <c r="S84" s="13"/>
      <c r="T84" s="13"/>
      <c r="U84" s="13"/>
      <c r="V84" s="13"/>
      <c r="W84" s="13"/>
      <c r="X84" s="13"/>
      <c r="Y84" s="13"/>
      <c r="Z84" s="13"/>
      <c r="AA84" s="13"/>
      <c r="AB84" s="13"/>
      <c r="AC84" s="13"/>
      <c r="AD84" s="13"/>
      <c r="AE84" s="13"/>
      <c r="AF84" s="13"/>
      <c r="AG84" s="13"/>
      <c r="AH84" s="13"/>
      <c r="AI84" s="13"/>
      <c r="AJ84" s="13"/>
    </row>
    <row r="85" spans="1:36" s="12" customFormat="1" ht="15">
      <c r="A85" s="13"/>
      <c r="B85" s="37"/>
      <c r="C85" s="37"/>
      <c r="D85" s="37"/>
      <c r="E85" s="37"/>
      <c r="F85" s="37"/>
      <c r="G85" s="37"/>
      <c r="H85" s="37"/>
      <c r="I85" s="37"/>
      <c r="J85" s="37"/>
      <c r="K85" s="37"/>
      <c r="L85" s="37"/>
      <c r="M85" s="37"/>
      <c r="N85" s="13"/>
      <c r="O85" s="13"/>
      <c r="P85" s="13"/>
      <c r="Q85" s="13"/>
      <c r="R85" s="13"/>
      <c r="S85" s="13"/>
      <c r="T85" s="13"/>
      <c r="U85" s="13"/>
      <c r="V85" s="13"/>
      <c r="W85" s="13"/>
      <c r="X85" s="13"/>
      <c r="Y85" s="13"/>
      <c r="Z85" s="13"/>
      <c r="AA85" s="13"/>
      <c r="AB85" s="13"/>
      <c r="AC85" s="13"/>
      <c r="AD85" s="13"/>
      <c r="AE85" s="13"/>
      <c r="AF85" s="13"/>
      <c r="AG85" s="13"/>
      <c r="AH85" s="13"/>
      <c r="AI85" s="13"/>
      <c r="AJ85" s="13"/>
    </row>
    <row r="86" spans="1:36" s="12" customFormat="1" ht="15">
      <c r="A86" s="13"/>
      <c r="B86" s="37"/>
      <c r="C86" s="37"/>
      <c r="D86" s="37"/>
      <c r="E86" s="37"/>
      <c r="F86" s="37"/>
      <c r="G86" s="37"/>
      <c r="H86" s="37"/>
      <c r="I86" s="37"/>
      <c r="J86" s="37"/>
      <c r="K86" s="37"/>
      <c r="L86" s="37"/>
      <c r="M86" s="37"/>
      <c r="N86" s="13"/>
      <c r="O86" s="13"/>
      <c r="P86" s="13"/>
      <c r="Q86" s="13"/>
      <c r="R86" s="13"/>
      <c r="S86" s="13"/>
      <c r="T86" s="13"/>
      <c r="U86" s="13"/>
      <c r="V86" s="13"/>
      <c r="W86" s="13"/>
      <c r="X86" s="13"/>
      <c r="Y86" s="13"/>
      <c r="Z86" s="13"/>
      <c r="AA86" s="13"/>
      <c r="AB86" s="13"/>
      <c r="AC86" s="13"/>
      <c r="AD86" s="13"/>
      <c r="AE86" s="13"/>
      <c r="AF86" s="13"/>
      <c r="AG86" s="13"/>
      <c r="AH86" s="13"/>
      <c r="AI86" s="13"/>
      <c r="AJ86" s="13"/>
    </row>
    <row r="87" spans="1:36" s="12" customFormat="1" ht="15">
      <c r="A87" s="13"/>
      <c r="B87" s="37"/>
      <c r="C87" s="37"/>
      <c r="D87" s="37"/>
      <c r="E87" s="37"/>
      <c r="F87" s="37"/>
      <c r="G87" s="37"/>
      <c r="H87" s="37"/>
      <c r="I87" s="37"/>
      <c r="J87" s="37"/>
      <c r="K87" s="37"/>
      <c r="L87" s="37"/>
      <c r="M87" s="37"/>
      <c r="N87" s="13"/>
      <c r="O87" s="13"/>
      <c r="P87" s="13"/>
      <c r="Q87" s="13"/>
      <c r="R87" s="13"/>
      <c r="S87" s="13"/>
      <c r="T87" s="13"/>
      <c r="U87" s="13"/>
      <c r="V87" s="13"/>
      <c r="W87" s="13"/>
      <c r="X87" s="13"/>
      <c r="Y87" s="13"/>
      <c r="Z87" s="13"/>
      <c r="AA87" s="13"/>
      <c r="AB87" s="13"/>
      <c r="AC87" s="13"/>
      <c r="AD87" s="13"/>
      <c r="AE87" s="13"/>
      <c r="AF87" s="13"/>
      <c r="AG87" s="13"/>
      <c r="AH87" s="13"/>
      <c r="AI87" s="13"/>
      <c r="AJ87" s="13"/>
    </row>
    <row r="88" spans="1:36" s="12" customFormat="1" ht="15">
      <c r="A88" s="13"/>
      <c r="B88" s="37"/>
      <c r="C88" s="37"/>
      <c r="D88" s="37"/>
      <c r="E88" s="37"/>
      <c r="F88" s="37"/>
      <c r="G88" s="37"/>
      <c r="H88" s="37"/>
      <c r="I88" s="37"/>
      <c r="J88" s="37"/>
      <c r="K88" s="37"/>
      <c r="L88" s="37"/>
      <c r="M88" s="37"/>
      <c r="N88" s="13"/>
      <c r="O88" s="13"/>
      <c r="P88" s="13"/>
      <c r="Q88" s="13"/>
      <c r="R88" s="13"/>
      <c r="S88" s="13"/>
      <c r="T88" s="13"/>
      <c r="U88" s="13"/>
      <c r="V88" s="13"/>
      <c r="W88" s="13"/>
      <c r="X88" s="13"/>
      <c r="Y88" s="13"/>
      <c r="Z88" s="13"/>
      <c r="AA88" s="13"/>
      <c r="AB88" s="13"/>
      <c r="AC88" s="13"/>
      <c r="AD88" s="13"/>
      <c r="AE88" s="13"/>
      <c r="AF88" s="13"/>
      <c r="AG88" s="13"/>
      <c r="AH88" s="13"/>
      <c r="AI88" s="13"/>
      <c r="AJ88" s="13"/>
    </row>
    <row r="89" spans="1:36" s="12" customFormat="1" ht="15">
      <c r="A89" s="13"/>
      <c r="B89" s="37"/>
      <c r="C89" s="37"/>
      <c r="D89" s="37"/>
      <c r="E89" s="37"/>
      <c r="F89" s="37"/>
      <c r="G89" s="37"/>
      <c r="H89" s="37"/>
      <c r="I89" s="37"/>
      <c r="J89" s="37"/>
      <c r="K89" s="37"/>
      <c r="L89" s="37"/>
      <c r="M89" s="37"/>
      <c r="N89" s="13"/>
      <c r="O89" s="13"/>
      <c r="P89" s="13"/>
      <c r="Q89" s="13"/>
      <c r="R89" s="13"/>
      <c r="S89" s="13"/>
      <c r="T89" s="13"/>
      <c r="U89" s="13"/>
      <c r="V89" s="13"/>
      <c r="W89" s="13"/>
      <c r="X89" s="13"/>
      <c r="Y89" s="13"/>
      <c r="Z89" s="13"/>
      <c r="AA89" s="13"/>
      <c r="AB89" s="13"/>
      <c r="AC89" s="13"/>
      <c r="AD89" s="13"/>
      <c r="AE89" s="13"/>
      <c r="AF89" s="13"/>
      <c r="AG89" s="13"/>
      <c r="AH89" s="13"/>
      <c r="AI89" s="13"/>
      <c r="AJ89" s="13"/>
    </row>
    <row r="90" spans="1:36" s="12" customFormat="1" ht="15">
      <c r="A90" s="13"/>
      <c r="B90" s="37"/>
      <c r="C90" s="37"/>
      <c r="D90" s="37"/>
      <c r="E90" s="37"/>
      <c r="F90" s="37"/>
      <c r="G90" s="37"/>
      <c r="H90" s="37"/>
      <c r="I90" s="37"/>
      <c r="J90" s="37"/>
      <c r="K90" s="37"/>
      <c r="L90" s="37"/>
      <c r="M90" s="37"/>
      <c r="N90" s="13"/>
      <c r="O90" s="13"/>
      <c r="P90" s="13"/>
      <c r="Q90" s="13"/>
      <c r="R90" s="13"/>
      <c r="S90" s="13"/>
      <c r="T90" s="13"/>
      <c r="U90" s="13"/>
      <c r="V90" s="13"/>
      <c r="W90" s="13"/>
      <c r="X90" s="13"/>
      <c r="Y90" s="13"/>
      <c r="Z90" s="13"/>
      <c r="AA90" s="13"/>
      <c r="AB90" s="13"/>
      <c r="AC90" s="13"/>
      <c r="AD90" s="13"/>
      <c r="AE90" s="13"/>
      <c r="AF90" s="13"/>
      <c r="AG90" s="13"/>
      <c r="AH90" s="13"/>
      <c r="AI90" s="13"/>
      <c r="AJ90" s="13"/>
    </row>
    <row r="91" spans="1:36" s="12" customFormat="1" ht="15">
      <c r="A91" s="13"/>
      <c r="B91" s="37"/>
      <c r="C91" s="37"/>
      <c r="D91" s="37"/>
      <c r="E91" s="37"/>
      <c r="F91" s="37"/>
      <c r="G91" s="37"/>
      <c r="H91" s="37"/>
      <c r="I91" s="37"/>
      <c r="J91" s="37"/>
      <c r="K91" s="37"/>
      <c r="L91" s="37"/>
      <c r="M91" s="37"/>
      <c r="N91" s="13"/>
      <c r="O91" s="13"/>
      <c r="P91" s="13"/>
      <c r="Q91" s="13"/>
      <c r="R91" s="13"/>
      <c r="S91" s="13"/>
      <c r="T91" s="13"/>
      <c r="U91" s="13"/>
      <c r="V91" s="13"/>
      <c r="W91" s="13"/>
      <c r="X91" s="13"/>
      <c r="Y91" s="13"/>
      <c r="Z91" s="13"/>
      <c r="AA91" s="13"/>
      <c r="AB91" s="13"/>
      <c r="AC91" s="13"/>
      <c r="AD91" s="13"/>
      <c r="AE91" s="13"/>
      <c r="AF91" s="13"/>
      <c r="AG91" s="13"/>
      <c r="AH91" s="13"/>
      <c r="AI91" s="13"/>
      <c r="AJ91" s="13"/>
    </row>
    <row r="92" spans="1:36" s="12" customFormat="1" ht="15">
      <c r="A92" s="13"/>
      <c r="B92" s="37"/>
      <c r="C92" s="37"/>
      <c r="D92" s="37"/>
      <c r="E92" s="37"/>
      <c r="F92" s="37"/>
      <c r="G92" s="37"/>
      <c r="H92" s="37"/>
      <c r="I92" s="37"/>
      <c r="J92" s="37"/>
      <c r="K92" s="37"/>
      <c r="L92" s="37"/>
      <c r="M92" s="37"/>
      <c r="N92" s="13"/>
      <c r="O92" s="13"/>
      <c r="P92" s="13"/>
      <c r="Q92" s="13"/>
      <c r="R92" s="13"/>
      <c r="S92" s="13"/>
      <c r="T92" s="13"/>
      <c r="U92" s="13"/>
      <c r="V92" s="13"/>
      <c r="W92" s="13"/>
      <c r="X92" s="13"/>
      <c r="Y92" s="13"/>
      <c r="Z92" s="13"/>
      <c r="AA92" s="13"/>
      <c r="AB92" s="13"/>
      <c r="AC92" s="13"/>
      <c r="AD92" s="13"/>
      <c r="AE92" s="13"/>
      <c r="AF92" s="13"/>
      <c r="AG92" s="13"/>
      <c r="AH92" s="13"/>
      <c r="AI92" s="13"/>
      <c r="AJ92" s="13"/>
    </row>
    <row r="93" spans="1:36" s="12" customFormat="1" ht="15">
      <c r="A93" s="13"/>
      <c r="B93" s="37"/>
      <c r="C93" s="37"/>
      <c r="D93" s="37"/>
      <c r="E93" s="37"/>
      <c r="F93" s="37"/>
      <c r="G93" s="37"/>
      <c r="H93" s="37"/>
      <c r="I93" s="37"/>
      <c r="J93" s="37"/>
      <c r="K93" s="37"/>
      <c r="L93" s="37"/>
      <c r="M93" s="37"/>
      <c r="N93" s="13"/>
      <c r="O93" s="13"/>
      <c r="P93" s="13"/>
      <c r="Q93" s="13"/>
      <c r="R93" s="13"/>
      <c r="S93" s="13"/>
      <c r="T93" s="13"/>
      <c r="U93" s="13"/>
      <c r="V93" s="13"/>
      <c r="W93" s="13"/>
      <c r="X93" s="13"/>
      <c r="Y93" s="13"/>
      <c r="Z93" s="13"/>
      <c r="AA93" s="13"/>
      <c r="AB93" s="13"/>
      <c r="AC93" s="13"/>
      <c r="AD93" s="13"/>
      <c r="AE93" s="13"/>
      <c r="AF93" s="13"/>
      <c r="AG93" s="13"/>
      <c r="AH93" s="13"/>
      <c r="AI93" s="13"/>
      <c r="AJ93" s="13"/>
    </row>
    <row r="94" spans="1:36" s="12" customFormat="1" ht="15">
      <c r="A94" s="13"/>
      <c r="B94" s="37"/>
      <c r="C94" s="37"/>
      <c r="D94" s="37"/>
      <c r="E94" s="37"/>
      <c r="F94" s="37"/>
      <c r="G94" s="37"/>
      <c r="H94" s="37"/>
      <c r="I94" s="37"/>
      <c r="J94" s="37"/>
      <c r="K94" s="37"/>
      <c r="L94" s="37"/>
      <c r="M94" s="37"/>
      <c r="N94" s="13"/>
      <c r="O94" s="13"/>
      <c r="P94" s="13"/>
      <c r="Q94" s="13"/>
      <c r="R94" s="13"/>
      <c r="S94" s="13"/>
      <c r="T94" s="13"/>
      <c r="U94" s="13"/>
      <c r="V94" s="13"/>
      <c r="W94" s="13"/>
      <c r="X94" s="13"/>
      <c r="Y94" s="13"/>
      <c r="Z94" s="13"/>
      <c r="AA94" s="13"/>
      <c r="AB94" s="13"/>
      <c r="AC94" s="13"/>
      <c r="AD94" s="13"/>
      <c r="AE94" s="13"/>
      <c r="AF94" s="13"/>
      <c r="AG94" s="13"/>
      <c r="AH94" s="13"/>
      <c r="AI94" s="13"/>
      <c r="AJ94" s="13"/>
    </row>
    <row r="95" spans="1:36" s="12" customFormat="1" ht="15">
      <c r="A95" s="13"/>
      <c r="B95" s="37"/>
      <c r="C95" s="37"/>
      <c r="D95" s="37"/>
      <c r="E95" s="37"/>
      <c r="F95" s="37"/>
      <c r="G95" s="37"/>
      <c r="H95" s="37"/>
      <c r="I95" s="37"/>
      <c r="J95" s="37"/>
      <c r="K95" s="37"/>
      <c r="L95" s="37"/>
      <c r="M95" s="37"/>
      <c r="N95" s="13"/>
      <c r="O95" s="13"/>
      <c r="P95" s="13"/>
      <c r="Q95" s="13"/>
      <c r="R95" s="13"/>
      <c r="S95" s="13"/>
      <c r="T95" s="13"/>
      <c r="U95" s="13"/>
      <c r="V95" s="13"/>
      <c r="W95" s="13"/>
      <c r="X95" s="13"/>
      <c r="Y95" s="13"/>
      <c r="Z95" s="13"/>
      <c r="AA95" s="13"/>
      <c r="AB95" s="13"/>
      <c r="AC95" s="13"/>
      <c r="AD95" s="13"/>
      <c r="AE95" s="13"/>
      <c r="AF95" s="13"/>
      <c r="AG95" s="13"/>
      <c r="AH95" s="13"/>
      <c r="AI95" s="13"/>
      <c r="AJ95" s="13"/>
    </row>
    <row r="96" spans="1:36" s="12" customFormat="1" ht="15">
      <c r="A96" s="13"/>
      <c r="B96" s="37"/>
      <c r="C96" s="37"/>
      <c r="D96" s="37"/>
      <c r="E96" s="37"/>
      <c r="F96" s="37"/>
      <c r="G96" s="37"/>
      <c r="H96" s="37"/>
      <c r="I96" s="37"/>
      <c r="J96" s="37"/>
      <c r="K96" s="37"/>
      <c r="L96" s="37"/>
      <c r="M96" s="37"/>
      <c r="N96" s="13"/>
      <c r="O96" s="13"/>
      <c r="P96" s="13"/>
      <c r="Q96" s="13"/>
      <c r="R96" s="13"/>
      <c r="S96" s="13"/>
      <c r="T96" s="13"/>
      <c r="U96" s="13"/>
      <c r="V96" s="13"/>
      <c r="W96" s="13"/>
      <c r="X96" s="13"/>
      <c r="Y96" s="13"/>
      <c r="Z96" s="13"/>
      <c r="AA96" s="13"/>
      <c r="AB96" s="13"/>
      <c r="AC96" s="13"/>
      <c r="AD96" s="13"/>
      <c r="AE96" s="13"/>
      <c r="AF96" s="13"/>
      <c r="AG96" s="13"/>
      <c r="AH96" s="13"/>
      <c r="AI96" s="13"/>
      <c r="AJ96" s="13"/>
    </row>
    <row r="97" spans="1:36" s="12" customFormat="1" ht="15">
      <c r="A97" s="13"/>
      <c r="B97" s="37"/>
      <c r="C97" s="37"/>
      <c r="D97" s="37"/>
      <c r="E97" s="37"/>
      <c r="F97" s="37"/>
      <c r="G97" s="37"/>
      <c r="H97" s="37"/>
      <c r="I97" s="37"/>
      <c r="J97" s="37"/>
      <c r="K97" s="37"/>
      <c r="L97" s="37"/>
      <c r="M97" s="37"/>
      <c r="N97" s="13"/>
      <c r="O97" s="13"/>
      <c r="P97" s="13"/>
      <c r="Q97" s="13"/>
      <c r="R97" s="13"/>
      <c r="S97" s="13"/>
      <c r="T97" s="13"/>
      <c r="U97" s="13"/>
      <c r="V97" s="13"/>
      <c r="W97" s="13"/>
      <c r="X97" s="13"/>
      <c r="Y97" s="13"/>
      <c r="Z97" s="13"/>
      <c r="AA97" s="13"/>
      <c r="AB97" s="13"/>
      <c r="AC97" s="13"/>
      <c r="AD97" s="13"/>
      <c r="AE97" s="13"/>
      <c r="AF97" s="13"/>
      <c r="AG97" s="13"/>
      <c r="AH97" s="13"/>
      <c r="AI97" s="13"/>
      <c r="AJ97" s="13"/>
    </row>
    <row r="98" spans="1:36" s="12" customFormat="1" ht="15">
      <c r="A98" s="13"/>
      <c r="B98" s="37"/>
      <c r="C98" s="37"/>
      <c r="D98" s="37"/>
      <c r="E98" s="37"/>
      <c r="F98" s="37"/>
      <c r="G98" s="37"/>
      <c r="H98" s="37"/>
      <c r="I98" s="37"/>
      <c r="J98" s="37"/>
      <c r="K98" s="37"/>
      <c r="L98" s="37"/>
      <c r="M98" s="37"/>
      <c r="N98" s="13"/>
      <c r="O98" s="13"/>
      <c r="P98" s="13"/>
      <c r="Q98" s="13"/>
      <c r="R98" s="13"/>
      <c r="S98" s="13"/>
      <c r="T98" s="13"/>
      <c r="U98" s="13"/>
      <c r="V98" s="13"/>
      <c r="W98" s="13"/>
      <c r="X98" s="13"/>
      <c r="Y98" s="13"/>
      <c r="Z98" s="13"/>
      <c r="AA98" s="13"/>
      <c r="AB98" s="13"/>
      <c r="AC98" s="13"/>
      <c r="AD98" s="13"/>
      <c r="AE98" s="13"/>
      <c r="AF98" s="13"/>
      <c r="AG98" s="13"/>
      <c r="AH98" s="13"/>
      <c r="AI98" s="13"/>
      <c r="AJ98" s="13"/>
    </row>
    <row r="99" spans="1:36" s="12" customFormat="1" ht="15">
      <c r="A99" s="13"/>
      <c r="B99" s="37"/>
      <c r="C99" s="37"/>
      <c r="D99" s="37"/>
      <c r="E99" s="37"/>
      <c r="F99" s="37"/>
      <c r="G99" s="37"/>
      <c r="H99" s="37"/>
      <c r="I99" s="37"/>
      <c r="J99" s="37"/>
      <c r="K99" s="37"/>
      <c r="L99" s="37"/>
      <c r="M99" s="37"/>
      <c r="N99" s="13"/>
      <c r="O99" s="13"/>
      <c r="P99" s="13"/>
      <c r="Q99" s="13"/>
      <c r="R99" s="13"/>
      <c r="S99" s="13"/>
      <c r="T99" s="13"/>
      <c r="U99" s="13"/>
      <c r="V99" s="13"/>
      <c r="W99" s="13"/>
      <c r="X99" s="13"/>
      <c r="Y99" s="13"/>
      <c r="Z99" s="13"/>
      <c r="AA99" s="13"/>
      <c r="AB99" s="13"/>
      <c r="AC99" s="13"/>
      <c r="AD99" s="13"/>
      <c r="AE99" s="13"/>
      <c r="AF99" s="13"/>
      <c r="AG99" s="13"/>
      <c r="AH99" s="13"/>
      <c r="AI99" s="13"/>
      <c r="AJ99" s="13"/>
    </row>
    <row r="100" spans="1:36" s="12" customFormat="1" ht="15">
      <c r="A100" s="13"/>
      <c r="B100" s="37"/>
      <c r="C100" s="37"/>
      <c r="D100" s="37"/>
      <c r="E100" s="37"/>
      <c r="F100" s="37"/>
      <c r="G100" s="37"/>
      <c r="H100" s="37"/>
      <c r="I100" s="37"/>
      <c r="J100" s="37"/>
      <c r="K100" s="37"/>
      <c r="L100" s="37"/>
      <c r="M100" s="37"/>
      <c r="N100" s="13"/>
      <c r="O100" s="13"/>
      <c r="P100" s="13"/>
      <c r="Q100" s="13"/>
      <c r="R100" s="13"/>
      <c r="S100" s="13"/>
      <c r="T100" s="13"/>
      <c r="U100" s="13"/>
      <c r="V100" s="13"/>
      <c r="W100" s="13"/>
      <c r="X100" s="13"/>
      <c r="Y100" s="13"/>
      <c r="Z100" s="13"/>
      <c r="AA100" s="13"/>
      <c r="AB100" s="13"/>
      <c r="AC100" s="13"/>
      <c r="AD100" s="13"/>
      <c r="AE100" s="13"/>
      <c r="AF100" s="13"/>
      <c r="AG100" s="13"/>
      <c r="AH100" s="13"/>
      <c r="AI100" s="13"/>
      <c r="AJ100" s="13"/>
    </row>
    <row r="101" spans="1:36" s="12" customFormat="1" ht="15">
      <c r="A101" s="13"/>
      <c r="B101" s="37"/>
      <c r="C101" s="37"/>
      <c r="D101" s="37"/>
      <c r="E101" s="37"/>
      <c r="F101" s="37"/>
      <c r="G101" s="37"/>
      <c r="H101" s="37"/>
      <c r="I101" s="37"/>
      <c r="J101" s="37"/>
      <c r="K101" s="37"/>
      <c r="L101" s="37"/>
      <c r="M101" s="37"/>
      <c r="N101" s="13"/>
      <c r="O101" s="13"/>
      <c r="P101" s="13"/>
      <c r="Q101" s="13"/>
      <c r="R101" s="13"/>
      <c r="S101" s="13"/>
      <c r="T101" s="13"/>
      <c r="U101" s="13"/>
      <c r="V101" s="13"/>
      <c r="W101" s="13"/>
      <c r="X101" s="13"/>
      <c r="Y101" s="13"/>
      <c r="Z101" s="13"/>
      <c r="AA101" s="13"/>
      <c r="AB101" s="13"/>
      <c r="AC101" s="13"/>
      <c r="AD101" s="13"/>
      <c r="AE101" s="13"/>
      <c r="AF101" s="13"/>
      <c r="AG101" s="13"/>
      <c r="AH101" s="13"/>
      <c r="AI101" s="13"/>
      <c r="AJ101" s="13"/>
    </row>
    <row r="102" spans="1:36" s="12" customFormat="1" ht="15">
      <c r="A102" s="13"/>
      <c r="B102" s="37"/>
      <c r="C102" s="37"/>
      <c r="D102" s="37"/>
      <c r="E102" s="37"/>
      <c r="F102" s="37"/>
      <c r="G102" s="37"/>
      <c r="H102" s="37"/>
      <c r="I102" s="37"/>
      <c r="J102" s="37"/>
      <c r="K102" s="37"/>
      <c r="L102" s="37"/>
      <c r="M102" s="37"/>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row>
    <row r="103" spans="1:36" s="12" customFormat="1" ht="15">
      <c r="A103" s="13"/>
      <c r="B103" s="37"/>
      <c r="C103" s="37"/>
      <c r="D103" s="37"/>
      <c r="E103" s="37"/>
      <c r="F103" s="37"/>
      <c r="G103" s="37"/>
      <c r="H103" s="37"/>
      <c r="I103" s="37"/>
      <c r="J103" s="37"/>
      <c r="K103" s="37"/>
      <c r="L103" s="37"/>
      <c r="M103" s="37"/>
      <c r="N103" s="13"/>
      <c r="O103" s="13"/>
      <c r="P103" s="13"/>
      <c r="Q103" s="13"/>
      <c r="R103" s="13"/>
      <c r="S103" s="13"/>
      <c r="T103" s="13"/>
      <c r="U103" s="13"/>
      <c r="V103" s="13"/>
      <c r="W103" s="13"/>
      <c r="X103" s="13"/>
      <c r="Y103" s="13"/>
      <c r="Z103" s="13"/>
      <c r="AA103" s="13"/>
      <c r="AB103" s="13"/>
      <c r="AC103" s="13"/>
      <c r="AD103" s="13"/>
      <c r="AE103" s="13"/>
      <c r="AF103" s="13"/>
      <c r="AG103" s="13"/>
      <c r="AH103" s="13"/>
      <c r="AI103" s="13"/>
      <c r="AJ103" s="13"/>
    </row>
    <row r="104" spans="1:36" s="12" customFormat="1" ht="15">
      <c r="A104" s="13"/>
      <c r="B104" s="37"/>
      <c r="C104" s="37"/>
      <c r="D104" s="37"/>
      <c r="E104" s="37"/>
      <c r="F104" s="37"/>
      <c r="G104" s="37"/>
      <c r="H104" s="37"/>
      <c r="I104" s="37"/>
      <c r="J104" s="37"/>
      <c r="K104" s="37"/>
      <c r="L104" s="37"/>
      <c r="M104" s="37"/>
      <c r="N104" s="13"/>
      <c r="O104" s="13"/>
      <c r="P104" s="13"/>
      <c r="Q104" s="13"/>
      <c r="R104" s="13"/>
      <c r="S104" s="13"/>
      <c r="T104" s="13"/>
      <c r="U104" s="13"/>
      <c r="V104" s="13"/>
      <c r="W104" s="13"/>
      <c r="X104" s="13"/>
      <c r="Y104" s="13"/>
      <c r="Z104" s="13"/>
      <c r="AA104" s="13"/>
      <c r="AB104" s="13"/>
      <c r="AC104" s="13"/>
      <c r="AD104" s="13"/>
      <c r="AE104" s="13"/>
      <c r="AF104" s="13"/>
      <c r="AG104" s="13"/>
      <c r="AH104" s="13"/>
      <c r="AI104" s="13"/>
      <c r="AJ104" s="13"/>
    </row>
    <row r="105" spans="1:36" s="12" customFormat="1" ht="15">
      <c r="A105" s="13"/>
      <c r="B105" s="37"/>
      <c r="C105" s="37"/>
      <c r="D105" s="37"/>
      <c r="E105" s="37"/>
      <c r="F105" s="37"/>
      <c r="G105" s="37"/>
      <c r="H105" s="37"/>
      <c r="I105" s="37"/>
      <c r="J105" s="37"/>
      <c r="K105" s="37"/>
      <c r="L105" s="37"/>
      <c r="M105" s="37"/>
      <c r="N105" s="13"/>
      <c r="O105" s="13"/>
      <c r="P105" s="13"/>
      <c r="Q105" s="13"/>
      <c r="R105" s="13"/>
      <c r="S105" s="13"/>
      <c r="T105" s="13"/>
      <c r="U105" s="13"/>
      <c r="V105" s="13"/>
      <c r="W105" s="13"/>
      <c r="X105" s="13"/>
      <c r="Y105" s="13"/>
      <c r="Z105" s="13"/>
      <c r="AA105" s="13"/>
      <c r="AB105" s="13"/>
      <c r="AC105" s="13"/>
      <c r="AD105" s="13"/>
      <c r="AE105" s="13"/>
      <c r="AF105" s="13"/>
      <c r="AG105" s="13"/>
      <c r="AH105" s="13"/>
      <c r="AI105" s="13"/>
      <c r="AJ105" s="13"/>
    </row>
    <row r="106" spans="1:36" s="12" customFormat="1" ht="15">
      <c r="A106" s="13"/>
      <c r="B106" s="37"/>
      <c r="C106" s="37"/>
      <c r="D106" s="37"/>
      <c r="E106" s="37"/>
      <c r="F106" s="37"/>
      <c r="G106" s="37"/>
      <c r="H106" s="37"/>
      <c r="I106" s="37"/>
      <c r="J106" s="37"/>
      <c r="K106" s="37"/>
      <c r="L106" s="37"/>
      <c r="M106" s="37"/>
      <c r="N106" s="13"/>
      <c r="O106" s="13"/>
      <c r="P106" s="13"/>
      <c r="Q106" s="13"/>
      <c r="R106" s="13"/>
      <c r="S106" s="13"/>
      <c r="T106" s="13"/>
      <c r="U106" s="13"/>
      <c r="V106" s="13"/>
      <c r="W106" s="13"/>
      <c r="X106" s="13"/>
      <c r="Y106" s="13"/>
      <c r="Z106" s="13"/>
      <c r="AA106" s="13"/>
      <c r="AB106" s="13"/>
      <c r="AC106" s="13"/>
      <c r="AD106" s="13"/>
      <c r="AE106" s="13"/>
      <c r="AF106" s="13"/>
      <c r="AG106" s="13"/>
      <c r="AH106" s="13"/>
      <c r="AI106" s="13"/>
      <c r="AJ106" s="13"/>
    </row>
    <row r="107" spans="1:36" s="12" customFormat="1" ht="15">
      <c r="A107" s="13"/>
      <c r="B107" s="37"/>
      <c r="C107" s="37"/>
      <c r="D107" s="37"/>
      <c r="E107" s="37"/>
      <c r="F107" s="37"/>
      <c r="G107" s="37"/>
      <c r="H107" s="37"/>
      <c r="I107" s="37"/>
      <c r="J107" s="37"/>
      <c r="K107" s="37"/>
      <c r="L107" s="37"/>
      <c r="M107" s="37"/>
      <c r="N107" s="13"/>
      <c r="O107" s="13"/>
      <c r="P107" s="13"/>
      <c r="Q107" s="13"/>
      <c r="R107" s="13"/>
      <c r="S107" s="13"/>
      <c r="T107" s="13"/>
      <c r="U107" s="13"/>
      <c r="V107" s="13"/>
      <c r="W107" s="13"/>
      <c r="X107" s="13"/>
      <c r="Y107" s="13"/>
      <c r="Z107" s="13"/>
      <c r="AA107" s="13"/>
      <c r="AB107" s="13"/>
      <c r="AC107" s="13"/>
      <c r="AD107" s="13"/>
      <c r="AE107" s="13"/>
      <c r="AF107" s="13"/>
      <c r="AG107" s="13"/>
      <c r="AH107" s="13"/>
      <c r="AI107" s="13"/>
      <c r="AJ107" s="13"/>
    </row>
    <row r="108" spans="1:36" s="12" customFormat="1" ht="15">
      <c r="A108" s="13"/>
      <c r="B108" s="37"/>
      <c r="C108" s="37"/>
      <c r="D108" s="37"/>
      <c r="E108" s="37"/>
      <c r="F108" s="37"/>
      <c r="G108" s="37"/>
      <c r="H108" s="37"/>
      <c r="I108" s="37"/>
      <c r="J108" s="37"/>
      <c r="K108" s="37"/>
      <c r="L108" s="37"/>
      <c r="M108" s="37"/>
      <c r="N108" s="13"/>
      <c r="O108" s="13"/>
      <c r="P108" s="13"/>
      <c r="Q108" s="13"/>
      <c r="R108" s="13"/>
      <c r="S108" s="13"/>
      <c r="T108" s="13"/>
      <c r="U108" s="13"/>
      <c r="V108" s="13"/>
      <c r="W108" s="13"/>
      <c r="X108" s="13"/>
      <c r="Y108" s="13"/>
      <c r="Z108" s="13"/>
      <c r="AA108" s="13"/>
      <c r="AB108" s="13"/>
      <c r="AC108" s="13"/>
      <c r="AD108" s="13"/>
      <c r="AE108" s="13"/>
      <c r="AF108" s="13"/>
      <c r="AG108" s="13"/>
      <c r="AH108" s="13"/>
      <c r="AI108" s="13"/>
      <c r="AJ108" s="13"/>
    </row>
    <row r="109" spans="1:36" s="12" customFormat="1" ht="15">
      <c r="A109" s="13"/>
      <c r="B109" s="37"/>
      <c r="C109" s="37"/>
      <c r="D109" s="37"/>
      <c r="E109" s="37"/>
      <c r="F109" s="37"/>
      <c r="G109" s="37"/>
      <c r="H109" s="37"/>
      <c r="I109" s="37"/>
      <c r="J109" s="37"/>
      <c r="K109" s="37"/>
      <c r="L109" s="37"/>
      <c r="M109" s="37"/>
      <c r="N109" s="13"/>
      <c r="O109" s="13"/>
      <c r="P109" s="13"/>
      <c r="Q109" s="13"/>
      <c r="R109" s="13"/>
      <c r="S109" s="13"/>
      <c r="T109" s="13"/>
      <c r="U109" s="13"/>
      <c r="V109" s="13"/>
      <c r="W109" s="13"/>
      <c r="X109" s="13"/>
      <c r="Y109" s="13"/>
      <c r="Z109" s="13"/>
      <c r="AA109" s="13"/>
      <c r="AB109" s="13"/>
      <c r="AC109" s="13"/>
      <c r="AD109" s="13"/>
      <c r="AE109" s="13"/>
      <c r="AF109" s="13"/>
      <c r="AG109" s="13"/>
      <c r="AH109" s="13"/>
      <c r="AI109" s="13"/>
      <c r="AJ109" s="13"/>
    </row>
    <row r="110" spans="1:36" s="12" customFormat="1" ht="15">
      <c r="A110" s="13"/>
      <c r="B110" s="37"/>
      <c r="C110" s="37"/>
      <c r="D110" s="37"/>
      <c r="E110" s="37"/>
      <c r="F110" s="37"/>
      <c r="G110" s="37"/>
      <c r="H110" s="37"/>
      <c r="I110" s="37"/>
      <c r="J110" s="37"/>
      <c r="K110" s="37"/>
      <c r="L110" s="37"/>
      <c r="M110" s="37"/>
      <c r="N110" s="13"/>
      <c r="O110" s="13"/>
      <c r="P110" s="13"/>
      <c r="Q110" s="13"/>
      <c r="R110" s="13"/>
      <c r="S110" s="13"/>
      <c r="T110" s="13"/>
      <c r="U110" s="13"/>
      <c r="V110" s="13"/>
      <c r="W110" s="13"/>
      <c r="X110" s="13"/>
      <c r="Y110" s="13"/>
      <c r="Z110" s="13"/>
      <c r="AA110" s="13"/>
      <c r="AB110" s="13"/>
      <c r="AC110" s="13"/>
      <c r="AD110" s="13"/>
      <c r="AE110" s="13"/>
      <c r="AF110" s="13"/>
      <c r="AG110" s="13"/>
      <c r="AH110" s="13"/>
      <c r="AI110" s="13"/>
      <c r="AJ110" s="13"/>
    </row>
  </sheetData>
  <sheetProtection sheet="1" formatRows="0"/>
  <mergeCells count="33">
    <mergeCell ref="B3:L3"/>
    <mergeCell ref="C23:H23"/>
    <mergeCell ref="C30:D30"/>
    <mergeCell ref="C13:E13"/>
    <mergeCell ref="B2:D2"/>
    <mergeCell ref="D14:F14"/>
    <mergeCell ref="C15:F15"/>
    <mergeCell ref="C21:E21"/>
    <mergeCell ref="C6:D6"/>
    <mergeCell ref="C8:E8"/>
    <mergeCell ref="D9:F9"/>
    <mergeCell ref="C10:E11"/>
    <mergeCell ref="D12:F12"/>
    <mergeCell ref="B4:L4"/>
    <mergeCell ref="D20:F20"/>
    <mergeCell ref="B5:L5"/>
    <mergeCell ref="G44:J44"/>
    <mergeCell ref="D38:K38"/>
    <mergeCell ref="D55:F55"/>
    <mergeCell ref="C47:K47"/>
    <mergeCell ref="D49:E49"/>
    <mergeCell ref="C31:K31"/>
    <mergeCell ref="C46:E46"/>
    <mergeCell ref="D22:F22"/>
    <mergeCell ref="E58:I58"/>
    <mergeCell ref="C52:E52"/>
    <mergeCell ref="D56:F56"/>
    <mergeCell ref="D54:F54"/>
    <mergeCell ref="C53:J53"/>
    <mergeCell ref="C37:E37"/>
    <mergeCell ref="D44:F44"/>
    <mergeCell ref="D43:K43"/>
    <mergeCell ref="D50:E50"/>
  </mergeCells>
  <dataValidations count="20">
    <dataValidation type="decimal" allowBlank="1" showInputMessage="1" showErrorMessage="1" error="The rebate per WaterSense labeled PRSV must be a positive value less than or equal the fixture cost." sqref="J50">
      <formula1>0</formula1>
      <formula2>I50</formula2>
    </dataValidation>
    <dataValidation type="decimal" allowBlank="1" showInputMessage="1" showErrorMessage="1" error="The rebate per ENERGY STAR dishwasher must be a positive value less than or equal the equipment cost." sqref="J49">
      <formula1>0</formula1>
      <formula2>I49</formula2>
    </dataValidation>
    <dataValidation type="decimal" operator="greaterThanOrEqual" allowBlank="1" showInputMessage="1" showErrorMessage="1" prompt="Input the equipment and installation cost of the ENERGY STAR dishwasher you are interested in installing to determine the potential payback period." error="The total equipment cost must be greater than or equal to $0." sqref="I49">
      <formula1>0</formula1>
    </dataValidation>
    <dataValidation type="decimal" allowBlank="1" showInputMessage="1" showErrorMessage="1" error="Flow rates for WaterSense-labeled pre-rinse spray valves must be between 0.5 and 1.28 gpf." sqref="H50">
      <formula1>0.5</formula1>
      <formula2>1.28</formula2>
    </dataValidation>
    <dataValidation type="list" allowBlank="1" showInputMessage="1" showErrorMessage="1" sqref="F13 F8">
      <formula1>"Yes,No"</formula1>
    </dataValidation>
    <dataValidation type="decimal" allowBlank="1" showInputMessage="1" showErrorMessage="1" error="A standard flow rate for pre-rinse spray valves must fall between 0.5 and 6.0 gpm." sqref="E25:E27">
      <formula1>0.5</formula1>
      <formula2>6</formula2>
    </dataValidation>
    <dataValidation type="list" allowBlank="1" showInputMessage="1" showErrorMessage="1" prompt="A pre-rinse spray valve is a spray nozzle used to remove food residue from plates, pots, and pans prior to dishwashing." sqref="F21">
      <formula1>"Yes,No"</formula1>
    </dataValidation>
    <dataValidation type="list" allowBlank="1" showInputMessage="1" showErrorMessage="1" prompt="A low-temperature dishwasher applies a chemical sanitizing solution to the surfaces of dishes to achieve sanitation. A high-temperature dishwasher applies hot water to the surfaces of dishes for the same purpose." sqref="D17:D19">
      <formula1>"Low, High"</formula1>
    </dataValidation>
    <dataValidation type="list" allowBlank="1" showInputMessage="1" showErrorMessage="1" sqref="E17:E19">
      <formula1>DishwasherTypes</formula1>
    </dataValidation>
    <dataValidation type="decimal" allowBlank="1" showInputMessage="1" showErrorMessage="1" error="The number of operating days must be less than or equal to 365." sqref="F10">
      <formula1>0</formula1>
      <formula2>365</formula2>
    </dataValidation>
    <dataValidation type="decimal" allowBlank="1" showInputMessage="1" showErrorMessage="1" sqref="G54">
      <formula1>0</formula1>
      <formula2>1</formula2>
    </dataValidation>
    <dataValidation type="decimal" operator="greaterThan" allowBlank="1" showInputMessage="1" showErrorMessage="1" error="The kWh of electricity required to heat one gallon of water must be a value greater than 0." sqref="G55">
      <formula1>0</formula1>
    </dataValidation>
    <dataValidation type="decimal" operator="greaterThan" allowBlank="1" showInputMessage="1" showErrorMessage="1" error="The Mcf of natural gas required to heat one gallon of water must be a value greater than 0." sqref="G56">
      <formula1>0</formula1>
    </dataValidation>
    <dataValidation type="decimal" operator="greaterThan" allowBlank="1" showInputMessage="1" showErrorMessage="1" error="The number of racks washed per day must be a value greater than 0." sqref="H17:H19">
      <formula1>0</formula1>
    </dataValidation>
    <dataValidation type="decimal" allowBlank="1" showInputMessage="1" showErrorMessage="1" error="Average daily use, in minutes, must be a value between 0 and 1440." sqref="F25:F27">
      <formula1>0</formula1>
      <formula2>1440</formula2>
    </dataValidation>
    <dataValidation type="whole" allowBlank="1" showInputMessage="1" showErrorMessage="1" error="This number must be a whole number greater than 0. This number cannot exceed the &quot;Potential Replacements&quot;." sqref="G49:G50">
      <formula1>0</formula1>
      <formula2>F49</formula2>
    </dataValidation>
    <dataValidation type="decimal" operator="greaterThanOrEqual" allowBlank="1" showInputMessage="1" showErrorMessage="1" error="The total fixture cost must be greater than or equal to $0." sqref="I50">
      <formula1>0</formula1>
    </dataValidation>
    <dataValidation type="whole" operator="greaterThanOrEqual" allowBlank="1" showInputMessage="1" showErrorMessage="1" error="The number of dishwashers installed must be a positive whole number greater than or equal to the number of ENERGY STAR qualified dishwashers installed." sqref="F17:F19">
      <formula1>G17</formula1>
    </dataValidation>
    <dataValidation type="whole" allowBlank="1" showInputMessage="1" showErrorMessage="1" prompt="The number of ENERGY STAR qualified dishwashers, if applicable, should be a subset of the total number installed." error="The number of ENERGY STAR qualified commercial dishwashers must be a positive whole number less than or equal to the total number of this type of dishwasher installed." sqref="G17:G19">
      <formula1>0</formula1>
      <formula2>F17</formula2>
    </dataValidation>
    <dataValidation type="whole" operator="greaterThan" allowBlank="1" showInputMessage="1" showErrorMessage="1" error="The number of pre-rinse spray valves must be a whole number greater than 0." sqref="D25:D27">
      <formula1>0</formula1>
    </dataValidation>
  </dataValidations>
  <hyperlinks>
    <hyperlink ref="D50:E50" r:id="rId1" display="WaterSense Labeled Pre-Rinse Spray Valve"/>
    <hyperlink ref="D49:E49" r:id="rId2" display="ENERGY STAR Labeled Dishwasher"/>
    <hyperlink ref="G44" r:id="rId3" display="Commercial Dishwasher BMPs"/>
    <hyperlink ref="G44:J44" r:id="rId4" display="WaterSense at Work Section 4.10: Commercial Dishwashers"/>
  </hyperlinks>
  <printOptions/>
  <pageMargins left="0.7" right="0.7" top="0.75" bottom="0.75" header="0.3" footer="0.3"/>
  <pageSetup horizontalDpi="1200" verticalDpi="1200" orientation="portrait" r:id="rId7"/>
  <ignoredErrors>
    <ignoredError sqref="I42" formula="1"/>
  </ignoredErrors>
  <drawing r:id="rId6"/>
  <legacyDrawing r:id="rId5"/>
</worksheet>
</file>

<file path=xl/worksheets/sheet12.xml><?xml version="1.0" encoding="utf-8"?>
<worksheet xmlns="http://schemas.openxmlformats.org/spreadsheetml/2006/main" xmlns:r="http://schemas.openxmlformats.org/officeDocument/2006/relationships">
  <sheetPr codeName="HVAC_Mechanical">
    <pageSetUpPr fitToPage="1"/>
  </sheetPr>
  <dimension ref="A1:AG171"/>
  <sheetViews>
    <sheetView showGridLines="0" zoomScalePageLayoutView="0" workbookViewId="0" topLeftCell="A1">
      <pane xSplit="1" ySplit="2" topLeftCell="B3" activePane="bottomRight" state="frozen"/>
      <selection pane="topLeft" activeCell="F8" sqref="F8"/>
      <selection pane="topRight" activeCell="F8" sqref="F8"/>
      <selection pane="bottomLeft" activeCell="F8" sqref="F8"/>
      <selection pane="bottomRight" activeCell="H9" sqref="H9"/>
    </sheetView>
  </sheetViews>
  <sheetFormatPr defaultColWidth="9.140625" defaultRowHeight="15"/>
  <cols>
    <col min="1" max="1" width="4.7109375" style="12" customWidth="1"/>
    <col min="2" max="2" width="4.7109375" style="1" customWidth="1"/>
    <col min="3" max="3" width="7.140625" style="1" customWidth="1"/>
    <col min="4" max="4" width="19.7109375" style="1" customWidth="1"/>
    <col min="5" max="5" width="24.7109375" style="1" customWidth="1"/>
    <col min="6" max="7" width="18.7109375" style="1" customWidth="1"/>
    <col min="8" max="8" width="16.7109375" style="1" customWidth="1"/>
    <col min="9" max="9" width="18.7109375" style="1" customWidth="1"/>
    <col min="10" max="10" width="16.7109375" style="1" customWidth="1"/>
    <col min="11" max="11" width="18.7109375" style="1" customWidth="1"/>
    <col min="12" max="12" width="16.7109375" style="1" customWidth="1"/>
    <col min="13" max="13" width="4.7109375" style="1" customWidth="1"/>
    <col min="14" max="14" width="11.28125" style="1" customWidth="1"/>
    <col min="15" max="16384" width="9.140625" style="1" customWidth="1"/>
  </cols>
  <sheetData>
    <row r="1" spans="1:33" s="12" customFormat="1" ht="42" customHeight="1">
      <c r="A1" s="13"/>
      <c r="B1" s="13"/>
      <c r="C1" s="13"/>
      <c r="D1" s="797" t="s">
        <v>783</v>
      </c>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row>
    <row r="2" spans="1:33" ht="18.75">
      <c r="A2" s="13"/>
      <c r="B2" s="935" t="s">
        <v>515</v>
      </c>
      <c r="C2" s="935"/>
      <c r="D2" s="935"/>
      <c r="E2" s="935"/>
      <c r="F2" s="309"/>
      <c r="G2"/>
      <c r="H2"/>
      <c r="I2"/>
      <c r="J2"/>
      <c r="K2"/>
      <c r="L2"/>
      <c r="M2" s="37"/>
      <c r="N2" s="37"/>
      <c r="O2" s="37"/>
      <c r="P2" s="37"/>
      <c r="Q2" s="37"/>
      <c r="R2" s="37"/>
      <c r="S2" s="37"/>
      <c r="T2" s="37"/>
      <c r="U2" s="37"/>
      <c r="V2" s="37"/>
      <c r="W2" s="37"/>
      <c r="X2" s="37"/>
      <c r="Y2" s="37"/>
      <c r="Z2" s="37"/>
      <c r="AA2" s="37"/>
      <c r="AB2" s="37"/>
      <c r="AC2" s="37"/>
      <c r="AD2" s="37"/>
      <c r="AE2" s="37"/>
      <c r="AF2" s="37"/>
      <c r="AG2" s="37"/>
    </row>
    <row r="3" spans="1:33" s="390" customFormat="1" ht="70.5" customHeight="1">
      <c r="A3" s="50"/>
      <c r="B3" s="954" t="s">
        <v>879</v>
      </c>
      <c r="C3" s="955"/>
      <c r="D3" s="955"/>
      <c r="E3" s="955"/>
      <c r="F3" s="955"/>
      <c r="G3" s="955"/>
      <c r="H3" s="955"/>
      <c r="I3" s="955"/>
      <c r="J3" s="955"/>
      <c r="K3" s="955"/>
      <c r="L3" s="802"/>
      <c r="M3" s="60"/>
      <c r="N3" s="60"/>
      <c r="O3" s="60"/>
      <c r="P3" s="60"/>
      <c r="Q3" s="60"/>
      <c r="R3" s="60"/>
      <c r="S3" s="60"/>
      <c r="T3" s="60"/>
      <c r="U3" s="60"/>
      <c r="V3" s="60"/>
      <c r="W3" s="60"/>
      <c r="X3" s="60"/>
      <c r="Y3" s="60"/>
      <c r="Z3" s="60"/>
      <c r="AA3" s="60"/>
      <c r="AB3" s="60"/>
      <c r="AC3" s="60"/>
      <c r="AD3" s="60"/>
      <c r="AE3" s="60"/>
      <c r="AF3" s="60"/>
      <c r="AG3" s="60"/>
    </row>
    <row r="4" spans="1:33" s="390" customFormat="1" ht="42" customHeight="1">
      <c r="A4" s="50"/>
      <c r="B4" s="954" t="s">
        <v>823</v>
      </c>
      <c r="C4" s="955"/>
      <c r="D4" s="955"/>
      <c r="E4" s="955"/>
      <c r="F4" s="955"/>
      <c r="G4" s="955"/>
      <c r="H4" s="955"/>
      <c r="I4" s="955"/>
      <c r="J4" s="955"/>
      <c r="K4" s="955"/>
      <c r="L4" s="802"/>
      <c r="M4" s="60"/>
      <c r="N4" s="60"/>
      <c r="O4" s="60"/>
      <c r="P4" s="60"/>
      <c r="Q4" s="60"/>
      <c r="R4" s="60"/>
      <c r="S4" s="60"/>
      <c r="T4" s="60"/>
      <c r="U4" s="60"/>
      <c r="V4" s="60"/>
      <c r="W4" s="60"/>
      <c r="X4" s="60"/>
      <c r="Y4" s="60"/>
      <c r="Z4" s="60"/>
      <c r="AA4" s="60"/>
      <c r="AB4" s="60"/>
      <c r="AC4" s="60"/>
      <c r="AD4" s="60"/>
      <c r="AE4" s="60"/>
      <c r="AF4" s="60"/>
      <c r="AG4" s="60"/>
    </row>
    <row r="5" spans="1:33" s="390" customFormat="1" ht="37.5" customHeight="1">
      <c r="A5" s="50"/>
      <c r="B5" s="954" t="s">
        <v>818</v>
      </c>
      <c r="C5" s="955"/>
      <c r="D5" s="955"/>
      <c r="E5" s="955"/>
      <c r="F5" s="955"/>
      <c r="G5" s="955"/>
      <c r="H5" s="955"/>
      <c r="I5" s="955"/>
      <c r="J5" s="955"/>
      <c r="K5" s="955"/>
      <c r="L5" s="802"/>
      <c r="M5" s="60"/>
      <c r="N5" s="60"/>
      <c r="O5" s="60"/>
      <c r="P5" s="60"/>
      <c r="Q5" s="60"/>
      <c r="R5" s="60"/>
      <c r="S5" s="60"/>
      <c r="T5" s="60"/>
      <c r="U5" s="60"/>
      <c r="V5" s="60"/>
      <c r="W5" s="60"/>
      <c r="X5" s="60"/>
      <c r="Y5" s="60"/>
      <c r="Z5" s="60"/>
      <c r="AA5" s="60"/>
      <c r="AB5" s="60"/>
      <c r="AC5" s="60"/>
      <c r="AD5" s="60"/>
      <c r="AE5" s="60"/>
      <c r="AF5" s="60"/>
      <c r="AG5" s="60"/>
    </row>
    <row r="6" spans="1:33" ht="18.75">
      <c r="A6" s="13"/>
      <c r="B6"/>
      <c r="C6" s="935" t="s">
        <v>18</v>
      </c>
      <c r="D6" s="935"/>
      <c r="E6" s="935"/>
      <c r="F6" s="935"/>
      <c r="G6" s="935"/>
      <c r="H6"/>
      <c r="I6"/>
      <c r="J6"/>
      <c r="K6"/>
      <c r="L6"/>
      <c r="M6" s="37"/>
      <c r="N6" s="37"/>
      <c r="O6" s="36"/>
      <c r="P6" s="37"/>
      <c r="Q6" s="37"/>
      <c r="R6" s="37"/>
      <c r="S6" s="37"/>
      <c r="T6" s="37"/>
      <c r="U6" s="37"/>
      <c r="V6" s="37"/>
      <c r="W6" s="37"/>
      <c r="X6" s="37"/>
      <c r="Y6" s="37"/>
      <c r="Z6" s="37"/>
      <c r="AA6" s="37"/>
      <c r="AB6" s="37"/>
      <c r="AC6" s="37"/>
      <c r="AD6" s="37"/>
      <c r="AE6" s="37"/>
      <c r="AF6" s="37"/>
      <c r="AG6" s="37"/>
    </row>
    <row r="7" spans="1:33" ht="15">
      <c r="A7" s="14"/>
      <c r="B7"/>
      <c r="C7" s="879"/>
      <c r="D7" s="879"/>
      <c r="E7" s="879"/>
      <c r="F7" s="879"/>
      <c r="G7" s="879"/>
      <c r="H7"/>
      <c r="I7"/>
      <c r="J7"/>
      <c r="K7"/>
      <c r="L7"/>
      <c r="M7" s="37"/>
      <c r="N7" s="37"/>
      <c r="O7" s="37"/>
      <c r="P7" s="37"/>
      <c r="Q7" s="37"/>
      <c r="R7" s="37"/>
      <c r="S7" s="37"/>
      <c r="T7" s="37"/>
      <c r="U7" s="37"/>
      <c r="V7" s="37"/>
      <c r="W7" s="37"/>
      <c r="X7" s="37"/>
      <c r="Y7" s="37"/>
      <c r="Z7" s="37"/>
      <c r="AA7" s="37"/>
      <c r="AB7" s="37"/>
      <c r="AC7" s="37"/>
      <c r="AD7" s="37"/>
      <c r="AE7" s="37"/>
      <c r="AF7" s="37"/>
      <c r="AG7" s="37"/>
    </row>
    <row r="8" spans="1:33" ht="15">
      <c r="A8" s="14"/>
      <c r="B8"/>
      <c r="C8" s="1002" t="s">
        <v>316</v>
      </c>
      <c r="D8" s="1002"/>
      <c r="E8" s="1002"/>
      <c r="F8" s="1002"/>
      <c r="G8" s="1002"/>
      <c r="H8"/>
      <c r="I8"/>
      <c r="J8"/>
      <c r="K8"/>
      <c r="L8"/>
      <c r="M8" s="37"/>
      <c r="N8" s="36" t="str">
        <f>IF(OR(StatusOfCalcFields="Incomplete",StatusOfUtilityFields="Incomplete"),"Calculations on this tab use information from the 'Facility Info' tab. Therefore you must first complete the 'Facility Info' tab before you can display these results.","")</f>
        <v>Calculations on this tab use information from the 'Facility Info' tab. Therefore you must first complete the 'Facility Info' tab before you can display these results.</v>
      </c>
      <c r="O8" s="37"/>
      <c r="P8" s="37"/>
      <c r="Q8" s="37"/>
      <c r="R8" s="37"/>
      <c r="S8" s="37"/>
      <c r="T8" s="37"/>
      <c r="U8" s="37"/>
      <c r="V8" s="37"/>
      <c r="W8" s="37"/>
      <c r="X8" s="37"/>
      <c r="Y8" s="37"/>
      <c r="Z8" s="37"/>
      <c r="AA8" s="37"/>
      <c r="AB8" s="37"/>
      <c r="AC8" s="37"/>
      <c r="AD8" s="37"/>
      <c r="AE8" s="37"/>
      <c r="AF8" s="37"/>
      <c r="AG8" s="37"/>
    </row>
    <row r="9" spans="1:33" ht="15">
      <c r="A9" s="13"/>
      <c r="B9"/>
      <c r="C9" s="879" t="s">
        <v>317</v>
      </c>
      <c r="D9" s="879"/>
      <c r="E9" s="879"/>
      <c r="F9" s="879"/>
      <c r="G9" s="883"/>
      <c r="H9" s="744"/>
      <c r="I9" s="309"/>
      <c r="J9"/>
      <c r="K9"/>
      <c r="L9"/>
      <c r="M9" s="36"/>
      <c r="N9" s="36" t="str">
        <f>IF(AND(CoolingTower&lt;&gt;"Yes",SinglePassCooling&lt;&gt;"Yes",SteamBoilers&lt;&gt;"Yes"),"No results to display.","")</f>
        <v>No results to display.</v>
      </c>
      <c r="O9" s="37"/>
      <c r="P9" s="37"/>
      <c r="Q9" s="37"/>
      <c r="R9" s="37"/>
      <c r="S9" s="37"/>
      <c r="T9" s="37"/>
      <c r="U9" s="37"/>
      <c r="V9" s="37"/>
      <c r="W9" s="37"/>
      <c r="X9" s="37"/>
      <c r="Y9" s="37"/>
      <c r="Z9" s="37"/>
      <c r="AA9" s="37"/>
      <c r="AB9" s="37"/>
      <c r="AC9" s="37"/>
      <c r="AD9" s="37"/>
      <c r="AE9" s="37"/>
      <c r="AF9" s="37"/>
      <c r="AG9" s="37"/>
    </row>
    <row r="10" spans="1:33" s="459" customFormat="1" ht="34.5" customHeight="1" hidden="1">
      <c r="A10" s="439"/>
      <c r="B10" s="440"/>
      <c r="C10" s="1009" t="s">
        <v>450</v>
      </c>
      <c r="D10" s="1009"/>
      <c r="E10" s="1009"/>
      <c r="F10" s="1009"/>
      <c r="G10" s="1009"/>
      <c r="H10" s="549"/>
      <c r="I10" s="549"/>
      <c r="J10" s="529"/>
      <c r="K10" s="529"/>
      <c r="L10" s="440"/>
      <c r="M10" s="439"/>
      <c r="N10" s="439"/>
      <c r="O10" s="439"/>
      <c r="P10" s="439"/>
      <c r="Q10" s="439"/>
      <c r="R10" s="439"/>
      <c r="S10" s="439"/>
      <c r="T10" s="439"/>
      <c r="U10" s="439"/>
      <c r="V10" s="439"/>
      <c r="W10" s="439"/>
      <c r="X10" s="439"/>
      <c r="Y10" s="439"/>
      <c r="Z10" s="439"/>
      <c r="AA10" s="439"/>
      <c r="AB10" s="439"/>
      <c r="AC10" s="439"/>
      <c r="AD10" s="439"/>
      <c r="AE10" s="439"/>
      <c r="AF10" s="439"/>
      <c r="AG10" s="439"/>
    </row>
    <row r="11" spans="1:33" s="12" customFormat="1" ht="15" hidden="1">
      <c r="A11" s="13"/>
      <c r="B11" s="529"/>
      <c r="C11" s="540" t="s">
        <v>420</v>
      </c>
      <c r="D11" s="540"/>
      <c r="E11" s="549"/>
      <c r="F11" s="549"/>
      <c r="G11" s="549"/>
      <c r="H11" s="529"/>
      <c r="I11" s="529"/>
      <c r="J11" s="529"/>
      <c r="K11" s="529"/>
      <c r="L11" s="529"/>
      <c r="M11" s="13"/>
      <c r="N11" s="13"/>
      <c r="O11" s="13"/>
      <c r="P11" s="13"/>
      <c r="Q11" s="13"/>
      <c r="R11" s="13"/>
      <c r="S11" s="13"/>
      <c r="T11" s="13"/>
      <c r="U11" s="13"/>
      <c r="V11" s="13"/>
      <c r="W11" s="13"/>
      <c r="X11" s="13"/>
      <c r="Y11" s="13"/>
      <c r="Z11" s="13"/>
      <c r="AA11" s="13"/>
      <c r="AB11" s="13"/>
      <c r="AC11" s="13"/>
      <c r="AD11" s="13"/>
      <c r="AE11" s="13"/>
      <c r="AF11" s="13"/>
      <c r="AG11" s="13"/>
    </row>
    <row r="12" spans="1:33" ht="15" hidden="1">
      <c r="A12" s="13"/>
      <c r="B12"/>
      <c r="C12" s="984" t="s">
        <v>318</v>
      </c>
      <c r="D12" s="984"/>
      <c r="E12" s="984"/>
      <c r="F12" s="984"/>
      <c r="G12" s="985"/>
      <c r="H12" s="750"/>
      <c r="I12" s="309"/>
      <c r="J12"/>
      <c r="K12"/>
      <c r="L12"/>
      <c r="M12" s="37"/>
      <c r="N12" s="36">
        <f>IF(AND(CoolingTower="Yes",OR(ISNUMBER(H12)=FALSE,H12=0)),"Question A2 (cooling tower capacity) is missing or invalid.","")</f>
      </c>
      <c r="O12" s="37"/>
      <c r="P12" s="37"/>
      <c r="Q12" s="37"/>
      <c r="R12" s="37"/>
      <c r="S12" s="37"/>
      <c r="T12" s="37"/>
      <c r="U12" s="37"/>
      <c r="V12" s="37"/>
      <c r="W12" s="37"/>
      <c r="X12" s="37"/>
      <c r="Y12" s="37"/>
      <c r="Z12" s="37"/>
      <c r="AA12" s="37"/>
      <c r="AB12" s="37"/>
      <c r="AC12" s="37"/>
      <c r="AD12" s="37"/>
      <c r="AE12" s="37"/>
      <c r="AF12" s="37"/>
      <c r="AG12" s="37"/>
    </row>
    <row r="13" spans="1:33" ht="19.5" customHeight="1" hidden="1">
      <c r="A13" s="13"/>
      <c r="B13"/>
      <c r="C13" s="986"/>
      <c r="D13" s="986"/>
      <c r="E13" s="986"/>
      <c r="F13" s="986"/>
      <c r="G13" s="986"/>
      <c r="H13" s="538"/>
      <c r="J13" s="538"/>
      <c r="K13" s="309"/>
      <c r="L13" s="309"/>
      <c r="M13" s="37"/>
      <c r="N13" s="37"/>
      <c r="O13" s="37"/>
      <c r="P13" s="37"/>
      <c r="Q13" s="37"/>
      <c r="R13" s="37"/>
      <c r="S13" s="37"/>
      <c r="T13" s="37"/>
      <c r="U13" s="37"/>
      <c r="V13" s="37"/>
      <c r="W13" s="37"/>
      <c r="X13" s="37"/>
      <c r="Y13" s="37"/>
      <c r="Z13" s="37"/>
      <c r="AA13" s="37"/>
      <c r="AB13" s="37"/>
      <c r="AC13" s="37"/>
      <c r="AD13" s="37"/>
      <c r="AE13" s="37"/>
      <c r="AF13" s="37"/>
      <c r="AG13" s="37"/>
    </row>
    <row r="14" spans="1:33" ht="15" hidden="1">
      <c r="A14" s="13"/>
      <c r="B14"/>
      <c r="C14" s="984" t="s">
        <v>350</v>
      </c>
      <c r="D14" s="984"/>
      <c r="E14" s="984"/>
      <c r="F14" s="984"/>
      <c r="G14" s="985"/>
      <c r="H14" s="744"/>
      <c r="I14"/>
      <c r="J14"/>
      <c r="K14"/>
      <c r="L14"/>
      <c r="M14" s="37"/>
      <c r="N14" s="36">
        <f>IF(AND(CoolingTower="Yes",H14=""),"Question A3 (cooling tower make-up water) is missing or invalid.","")</f>
      </c>
      <c r="O14" s="599"/>
      <c r="P14" s="37"/>
      <c r="Q14" s="37"/>
      <c r="R14" s="37"/>
      <c r="S14" s="37"/>
      <c r="T14" s="37"/>
      <c r="U14" s="37"/>
      <c r="V14" s="37"/>
      <c r="W14" s="37"/>
      <c r="X14" s="37"/>
      <c r="Y14" s="37"/>
      <c r="Z14" s="37"/>
      <c r="AA14" s="37"/>
      <c r="AB14" s="37"/>
      <c r="AC14" s="37"/>
      <c r="AD14" s="37"/>
      <c r="AE14" s="37"/>
      <c r="AF14" s="37"/>
      <c r="AG14" s="37"/>
    </row>
    <row r="15" spans="1:33" ht="7.5" customHeight="1" hidden="1">
      <c r="A15" s="13"/>
      <c r="B15"/>
      <c r="C15" s="986"/>
      <c r="D15" s="986"/>
      <c r="E15" s="986"/>
      <c r="F15" s="986"/>
      <c r="G15" s="986"/>
      <c r="H15" s="538"/>
      <c r="J15" s="538"/>
      <c r="K15" s="309"/>
      <c r="L15" s="309"/>
      <c r="M15" s="37"/>
      <c r="N15" s="37"/>
      <c r="O15" s="37"/>
      <c r="P15" s="37"/>
      <c r="Q15" s="37"/>
      <c r="R15" s="37"/>
      <c r="S15" s="37"/>
      <c r="T15" s="37"/>
      <c r="U15" s="37"/>
      <c r="V15" s="37"/>
      <c r="W15" s="37"/>
      <c r="X15" s="37"/>
      <c r="Y15" s="37"/>
      <c r="Z15" s="37"/>
      <c r="AA15" s="37"/>
      <c r="AB15" s="37"/>
      <c r="AC15" s="37"/>
      <c r="AD15" s="37"/>
      <c r="AE15" s="37"/>
      <c r="AF15" s="37"/>
      <c r="AG15" s="37"/>
    </row>
    <row r="16" spans="1:33" ht="15" hidden="1">
      <c r="A16" s="13"/>
      <c r="B16"/>
      <c r="C16" s="996" t="s">
        <v>453</v>
      </c>
      <c r="D16" s="996"/>
      <c r="E16" s="996"/>
      <c r="F16" s="996"/>
      <c r="G16" s="997"/>
      <c r="H16" s="750"/>
      <c r="I16" s="1011" t="s">
        <v>477</v>
      </c>
      <c r="J16" s="1012"/>
      <c r="K16" s="1012"/>
      <c r="L16"/>
      <c r="M16" s="37"/>
      <c r="N16" s="36">
        <f>IF(AND(CoolingTower="Yes",CoolingTowerMakeUp="Yes",ISNUMBER(H16)=FALSE,H16&lt;&gt;"Unknown"),"Question A3a (cooling tower make-up water) is missing or invalid.","")</f>
      </c>
      <c r="O16" s="600"/>
      <c r="P16" s="37"/>
      <c r="Q16" s="37"/>
      <c r="R16" s="37"/>
      <c r="S16" s="37"/>
      <c r="T16" s="37"/>
      <c r="U16" s="37"/>
      <c r="V16" s="37"/>
      <c r="W16" s="37"/>
      <c r="X16" s="37"/>
      <c r="Y16" s="37"/>
      <c r="Z16" s="37"/>
      <c r="AA16" s="37"/>
      <c r="AB16" s="37"/>
      <c r="AC16" s="37"/>
      <c r="AD16" s="37"/>
      <c r="AE16" s="37"/>
      <c r="AF16" s="37"/>
      <c r="AG16" s="37"/>
    </row>
    <row r="17" spans="1:33" ht="19.5" customHeight="1" hidden="1">
      <c r="A17" s="13"/>
      <c r="B17"/>
      <c r="C17" s="986"/>
      <c r="D17" s="986"/>
      <c r="E17" s="986"/>
      <c r="F17" s="986"/>
      <c r="G17" s="986"/>
      <c r="H17" s="432"/>
      <c r="J17" s="432"/>
      <c r="K17" s="309"/>
      <c r="L17" s="309"/>
      <c r="M17" s="37"/>
      <c r="N17" s="37"/>
      <c r="O17" s="37"/>
      <c r="P17" s="37"/>
      <c r="Q17" s="37"/>
      <c r="R17" s="37"/>
      <c r="S17" s="37"/>
      <c r="T17" s="37"/>
      <c r="U17" s="37"/>
      <c r="V17" s="37"/>
      <c r="W17" s="37"/>
      <c r="X17" s="37"/>
      <c r="Y17" s="37"/>
      <c r="Z17" s="37"/>
      <c r="AA17" s="37"/>
      <c r="AB17" s="37"/>
      <c r="AC17" s="37"/>
      <c r="AD17" s="37"/>
      <c r="AE17" s="37"/>
      <c r="AF17" s="37"/>
      <c r="AG17" s="37"/>
    </row>
    <row r="18" spans="1:33" ht="15" hidden="1">
      <c r="A18" s="13"/>
      <c r="B18"/>
      <c r="C18" s="996" t="s">
        <v>451</v>
      </c>
      <c r="D18" s="996"/>
      <c r="E18" s="996"/>
      <c r="F18" s="996"/>
      <c r="G18" s="997"/>
      <c r="H18" s="744"/>
      <c r="I18"/>
      <c r="J18"/>
      <c r="K18"/>
      <c r="L18"/>
      <c r="M18" s="37"/>
      <c r="N18" s="36">
        <f>IF(AND(CoolingTower="Yes",H18=""),"Question A4 (cooling tower blowdown water) is missing or invalid.","")</f>
      </c>
      <c r="O18" s="599"/>
      <c r="P18" s="37"/>
      <c r="Q18" s="37"/>
      <c r="R18" s="37"/>
      <c r="S18" s="37"/>
      <c r="T18" s="37"/>
      <c r="U18" s="37"/>
      <c r="V18" s="37"/>
      <c r="W18" s="37"/>
      <c r="X18" s="37"/>
      <c r="Y18" s="37"/>
      <c r="Z18" s="37"/>
      <c r="AA18" s="37"/>
      <c r="AB18" s="37"/>
      <c r="AC18" s="37"/>
      <c r="AD18" s="37"/>
      <c r="AE18" s="37"/>
      <c r="AF18" s="37"/>
      <c r="AG18" s="37"/>
    </row>
    <row r="19" spans="1:33" ht="7.5" customHeight="1" hidden="1">
      <c r="A19" s="13"/>
      <c r="B19"/>
      <c r="C19" s="986"/>
      <c r="D19" s="986"/>
      <c r="E19" s="986"/>
      <c r="F19" s="986"/>
      <c r="G19" s="986"/>
      <c r="H19" s="432"/>
      <c r="J19" s="432"/>
      <c r="K19" s="309"/>
      <c r="L19" s="309"/>
      <c r="M19" s="37"/>
      <c r="N19" s="37"/>
      <c r="O19" s="37"/>
      <c r="P19" s="37"/>
      <c r="Q19" s="37"/>
      <c r="R19" s="37"/>
      <c r="S19" s="37"/>
      <c r="T19" s="37"/>
      <c r="U19" s="37"/>
      <c r="V19" s="37"/>
      <c r="W19" s="37"/>
      <c r="X19" s="37"/>
      <c r="Y19" s="37"/>
      <c r="Z19" s="37"/>
      <c r="AA19" s="37"/>
      <c r="AB19" s="37"/>
      <c r="AC19" s="37"/>
      <c r="AD19" s="37"/>
      <c r="AE19" s="37"/>
      <c r="AF19" s="37"/>
      <c r="AG19" s="37"/>
    </row>
    <row r="20" spans="1:33" ht="15" hidden="1">
      <c r="A20" s="13"/>
      <c r="B20"/>
      <c r="C20" s="996" t="s">
        <v>319</v>
      </c>
      <c r="D20" s="996"/>
      <c r="E20" s="996"/>
      <c r="F20" s="996"/>
      <c r="G20" s="997"/>
      <c r="H20" s="750"/>
      <c r="I20" s="1011" t="s">
        <v>477</v>
      </c>
      <c r="J20" s="1012"/>
      <c r="K20" s="1012"/>
      <c r="L20"/>
      <c r="M20" s="37"/>
      <c r="N20" s="36">
        <f>IF(AND(CoolingTower="Yes",CoolingTowerBlowDown="Yes",ISNUMBER(H20)=FALSE,H20&lt;&gt;"Unknown"),"Question A4a (cooling tower blowdown water) is missing or invalid.","")</f>
      </c>
      <c r="O20" s="600"/>
      <c r="P20" s="37"/>
      <c r="Q20" s="37"/>
      <c r="R20" s="37"/>
      <c r="S20" s="37"/>
      <c r="T20" s="37"/>
      <c r="U20" s="37"/>
      <c r="V20" s="37"/>
      <c r="W20" s="37"/>
      <c r="X20" s="37"/>
      <c r="Y20" s="37"/>
      <c r="Z20" s="37"/>
      <c r="AA20" s="37"/>
      <c r="AB20" s="37"/>
      <c r="AC20" s="37"/>
      <c r="AD20" s="37"/>
      <c r="AE20" s="37"/>
      <c r="AF20" s="37"/>
      <c r="AG20" s="37"/>
    </row>
    <row r="21" spans="1:33" ht="19.5" customHeight="1" hidden="1">
      <c r="A21" s="13"/>
      <c r="B21"/>
      <c r="C21" s="986"/>
      <c r="D21" s="986"/>
      <c r="E21" s="986"/>
      <c r="F21" s="986"/>
      <c r="G21" s="986"/>
      <c r="H21" s="432"/>
      <c r="J21" s="432"/>
      <c r="K21" s="309"/>
      <c r="L21" s="309"/>
      <c r="M21" s="37"/>
      <c r="N21" s="37"/>
      <c r="O21" s="37"/>
      <c r="P21" s="37"/>
      <c r="Q21" s="37"/>
      <c r="R21" s="37"/>
      <c r="S21" s="37"/>
      <c r="T21" s="37"/>
      <c r="U21" s="37"/>
      <c r="V21" s="37"/>
      <c r="W21" s="37"/>
      <c r="X21" s="37"/>
      <c r="Y21" s="37"/>
      <c r="Z21" s="37"/>
      <c r="AA21" s="37"/>
      <c r="AB21" s="37"/>
      <c r="AC21" s="37"/>
      <c r="AD21" s="37"/>
      <c r="AE21" s="37"/>
      <c r="AF21" s="37"/>
      <c r="AG21" s="37"/>
    </row>
    <row r="22" spans="1:33" ht="15" hidden="1">
      <c r="A22" s="13"/>
      <c r="B22"/>
      <c r="C22" s="1010" t="s">
        <v>320</v>
      </c>
      <c r="D22" s="1010"/>
      <c r="E22" s="1010"/>
      <c r="F22" s="1010"/>
      <c r="G22" s="1008"/>
      <c r="H22" s="1005"/>
      <c r="I22" s="1006"/>
      <c r="J22" s="432"/>
      <c r="K22" s="309"/>
      <c r="L22" s="309"/>
      <c r="M22" s="37"/>
      <c r="N22" s="36">
        <f>IF(AND(CoolingTower="Yes",H22=""),"Question A5 (cooling tower discharge) is missing or invalid.","")</f>
      </c>
      <c r="O22" s="37"/>
      <c r="P22" s="37"/>
      <c r="Q22" s="37"/>
      <c r="R22" s="37"/>
      <c r="S22" s="37"/>
      <c r="T22" s="37"/>
      <c r="U22" s="37"/>
      <c r="V22" s="37"/>
      <c r="W22" s="37"/>
      <c r="X22" s="37"/>
      <c r="Y22" s="37"/>
      <c r="Z22" s="37"/>
      <c r="AA22" s="37"/>
      <c r="AB22" s="37"/>
      <c r="AC22" s="37"/>
      <c r="AD22" s="37"/>
      <c r="AE22" s="37"/>
      <c r="AF22" s="37"/>
      <c r="AG22" s="37"/>
    </row>
    <row r="23" spans="1:33" ht="19.5" customHeight="1" hidden="1">
      <c r="A23" s="13"/>
      <c r="B23"/>
      <c r="C23" s="986"/>
      <c r="D23" s="986"/>
      <c r="E23" s="986"/>
      <c r="F23" s="986"/>
      <c r="G23" s="986"/>
      <c r="H23" s="432"/>
      <c r="J23" s="432"/>
      <c r="K23" s="309"/>
      <c r="L23" s="309"/>
      <c r="M23" s="37"/>
      <c r="N23" s="37"/>
      <c r="O23" s="37"/>
      <c r="P23" s="37"/>
      <c r="Q23" s="37"/>
      <c r="R23" s="37"/>
      <c r="S23" s="37"/>
      <c r="T23" s="37"/>
      <c r="U23" s="37"/>
      <c r="V23" s="37"/>
      <c r="W23" s="37"/>
      <c r="X23" s="37"/>
      <c r="Y23" s="37"/>
      <c r="Z23" s="37"/>
      <c r="AA23" s="37"/>
      <c r="AB23" s="37"/>
      <c r="AC23" s="37"/>
      <c r="AD23" s="37"/>
      <c r="AE23" s="37"/>
      <c r="AF23" s="37"/>
      <c r="AG23" s="37"/>
    </row>
    <row r="24" spans="1:33" ht="15" hidden="1">
      <c r="A24" s="13"/>
      <c r="B24"/>
      <c r="C24" s="984" t="s">
        <v>742</v>
      </c>
      <c r="D24" s="984"/>
      <c r="E24" s="984"/>
      <c r="F24" s="984"/>
      <c r="G24" s="985"/>
      <c r="H24" s="744"/>
      <c r="I24"/>
      <c r="J24"/>
      <c r="K24"/>
      <c r="L24"/>
      <c r="M24" s="37"/>
      <c r="N24" s="36">
        <f>IF(AND(CoolingTower="Yes",H24=""),"Question A6 (cooling tower cycles of concentration) is missing or invalid.","")</f>
      </c>
      <c r="O24" s="37"/>
      <c r="P24" s="37"/>
      <c r="Q24" s="37"/>
      <c r="R24" s="37"/>
      <c r="S24" s="37"/>
      <c r="T24" s="37"/>
      <c r="U24" s="37"/>
      <c r="V24" s="37"/>
      <c r="W24" s="37"/>
      <c r="X24" s="37"/>
      <c r="Y24" s="37"/>
      <c r="Z24" s="37"/>
      <c r="AA24" s="37"/>
      <c r="AB24" s="37"/>
      <c r="AC24" s="37"/>
      <c r="AD24" s="37"/>
      <c r="AE24" s="37"/>
      <c r="AF24" s="37"/>
      <c r="AG24" s="37"/>
    </row>
    <row r="25" spans="1:33" ht="7.5" customHeight="1" hidden="1">
      <c r="A25" s="13"/>
      <c r="B25"/>
      <c r="C25" s="986"/>
      <c r="D25" s="986"/>
      <c r="E25" s="986"/>
      <c r="F25" s="986"/>
      <c r="G25" s="986"/>
      <c r="H25" s="571"/>
      <c r="J25" s="571"/>
      <c r="K25" s="309"/>
      <c r="L25" s="309"/>
      <c r="M25" s="37"/>
      <c r="N25" s="37"/>
      <c r="O25" s="37"/>
      <c r="P25" s="37"/>
      <c r="Q25" s="37"/>
      <c r="R25" s="37"/>
      <c r="S25" s="37"/>
      <c r="T25" s="37"/>
      <c r="U25" s="37"/>
      <c r="V25" s="37"/>
      <c r="W25" s="37"/>
      <c r="X25" s="37"/>
      <c r="Y25" s="37"/>
      <c r="Z25" s="37"/>
      <c r="AA25" s="37"/>
      <c r="AB25" s="37"/>
      <c r="AC25" s="37"/>
      <c r="AD25" s="37"/>
      <c r="AE25" s="37"/>
      <c r="AF25" s="37"/>
      <c r="AG25" s="37"/>
    </row>
    <row r="26" spans="1:33" ht="15" hidden="1">
      <c r="A26" s="13"/>
      <c r="B26"/>
      <c r="C26" s="996" t="s">
        <v>743</v>
      </c>
      <c r="D26" s="996"/>
      <c r="E26" s="996"/>
      <c r="F26" s="996"/>
      <c r="G26" s="997"/>
      <c r="H26" s="758"/>
      <c r="I26" s="309"/>
      <c r="J26" s="309"/>
      <c r="K26" s="309"/>
      <c r="L26"/>
      <c r="M26" s="37"/>
      <c r="N26" s="36">
        <f>IF(AND(CoolingTower="Yes",CoolingTowerCoC="Yes",ISNUMBER(H26)=FALSE),"Question A6a (cooling tower cycles of concentration) is missing or invalid.","")</f>
      </c>
      <c r="O26" s="37"/>
      <c r="P26" s="37"/>
      <c r="Q26" s="37"/>
      <c r="R26" s="37"/>
      <c r="S26" s="37"/>
      <c r="T26" s="37"/>
      <c r="U26" s="37"/>
      <c r="V26" s="37"/>
      <c r="W26" s="37"/>
      <c r="X26" s="37"/>
      <c r="Y26" s="37"/>
      <c r="Z26" s="37"/>
      <c r="AA26" s="37"/>
      <c r="AB26" s="37"/>
      <c r="AC26" s="37"/>
      <c r="AD26" s="37"/>
      <c r="AE26" s="37"/>
      <c r="AF26" s="37"/>
      <c r="AG26" s="37"/>
    </row>
    <row r="27" spans="1:33" ht="19.5" customHeight="1" hidden="1">
      <c r="A27" s="13"/>
      <c r="B27"/>
      <c r="C27" s="986"/>
      <c r="D27" s="986"/>
      <c r="E27" s="986"/>
      <c r="F27" s="986"/>
      <c r="G27" s="986"/>
      <c r="H27" s="571"/>
      <c r="J27" s="571"/>
      <c r="K27" s="309"/>
      <c r="L27" s="309"/>
      <c r="M27" s="37"/>
      <c r="N27" s="37"/>
      <c r="O27" s="37"/>
      <c r="P27" s="37"/>
      <c r="Q27" s="37"/>
      <c r="R27" s="37"/>
      <c r="S27" s="37"/>
      <c r="T27" s="37"/>
      <c r="U27" s="37"/>
      <c r="V27" s="37"/>
      <c r="W27" s="37"/>
      <c r="X27" s="37"/>
      <c r="Y27" s="37"/>
      <c r="Z27" s="37"/>
      <c r="AA27" s="37"/>
      <c r="AB27" s="37"/>
      <c r="AC27" s="37"/>
      <c r="AD27" s="37"/>
      <c r="AE27" s="37"/>
      <c r="AF27" s="37"/>
      <c r="AG27" s="37"/>
    </row>
    <row r="28" spans="1:33" ht="15" hidden="1">
      <c r="A28" s="13"/>
      <c r="B28"/>
      <c r="C28" s="1007" t="s">
        <v>452</v>
      </c>
      <c r="D28" s="1007"/>
      <c r="E28" s="1007"/>
      <c r="F28" s="1007"/>
      <c r="G28" s="1008"/>
      <c r="H28" s="744"/>
      <c r="I28" s="309"/>
      <c r="K28" s="309"/>
      <c r="L28" s="309"/>
      <c r="M28" s="37"/>
      <c r="N28" s="36">
        <f>IF(AND(CoolingTower="Yes",H28=""),"Question A7 (cooling tower water treatment) is missing or invalid.","")</f>
      </c>
      <c r="O28" s="37"/>
      <c r="P28" s="37"/>
      <c r="Q28" s="37"/>
      <c r="R28" s="37"/>
      <c r="S28" s="37"/>
      <c r="T28" s="37"/>
      <c r="U28" s="37"/>
      <c r="V28" s="37"/>
      <c r="W28" s="37"/>
      <c r="X28" s="37"/>
      <c r="Y28" s="37"/>
      <c r="Z28" s="37"/>
      <c r="AA28" s="37"/>
      <c r="AB28" s="37"/>
      <c r="AC28" s="37"/>
      <c r="AD28" s="37"/>
      <c r="AE28" s="37"/>
      <c r="AF28" s="37"/>
      <c r="AG28" s="37"/>
    </row>
    <row r="29" spans="1:33" s="12" customFormat="1" ht="9" customHeight="1" hidden="1">
      <c r="A29" s="13"/>
      <c r="B29" s="550"/>
      <c r="C29" s="983"/>
      <c r="D29" s="983"/>
      <c r="E29" s="983"/>
      <c r="F29" s="983"/>
      <c r="G29" s="983"/>
      <c r="H29" s="551"/>
      <c r="I29" s="550"/>
      <c r="J29" s="565"/>
      <c r="K29" s="565"/>
      <c r="L29" s="565"/>
      <c r="M29" s="13"/>
      <c r="N29" s="13"/>
      <c r="O29" s="13"/>
      <c r="P29" s="13"/>
      <c r="Q29" s="13"/>
      <c r="R29" s="13"/>
      <c r="S29" s="13"/>
      <c r="T29" s="13"/>
      <c r="U29" s="13"/>
      <c r="V29" s="13"/>
      <c r="W29" s="13"/>
      <c r="X29" s="13"/>
      <c r="Y29" s="13"/>
      <c r="Z29" s="13"/>
      <c r="AA29" s="13"/>
      <c r="AB29" s="13"/>
      <c r="AC29" s="13"/>
      <c r="AD29" s="13"/>
      <c r="AE29" s="13"/>
      <c r="AF29" s="13"/>
      <c r="AG29" s="13"/>
    </row>
    <row r="30" spans="1:33" s="12" customFormat="1" ht="15" customHeight="1" hidden="1">
      <c r="A30" s="13"/>
      <c r="B30" s="552"/>
      <c r="C30" s="981" t="s">
        <v>454</v>
      </c>
      <c r="D30" s="981"/>
      <c r="E30" s="981"/>
      <c r="F30" s="981"/>
      <c r="G30" s="982"/>
      <c r="H30" s="750"/>
      <c r="I30" s="987" t="s">
        <v>516</v>
      </c>
      <c r="J30" s="987"/>
      <c r="K30" s="987"/>
      <c r="L30" s="987"/>
      <c r="M30" s="13"/>
      <c r="N30" s="36">
        <f>IF(AND(CoolingTower="Yes",CoolingTowerWaterTreatment="Yes",ISNUMBER(H30)=FALSE),"Question A7a (cooling tower TDS of make-up water) is missing or invalid.","")</f>
      </c>
      <c r="O30" s="13"/>
      <c r="P30" s="13"/>
      <c r="Q30" s="13"/>
      <c r="R30" s="13"/>
      <c r="S30" s="13"/>
      <c r="T30" s="13"/>
      <c r="U30" s="13"/>
      <c r="V30" s="13"/>
      <c r="W30" s="13"/>
      <c r="X30" s="13"/>
      <c r="Y30" s="13"/>
      <c r="Z30" s="13"/>
      <c r="AA30" s="13"/>
      <c r="AB30" s="13"/>
      <c r="AC30" s="13"/>
      <c r="AD30" s="13"/>
      <c r="AE30" s="13"/>
      <c r="AF30" s="13"/>
      <c r="AG30" s="13"/>
    </row>
    <row r="31" spans="1:33" s="12" customFormat="1" ht="12" customHeight="1" hidden="1">
      <c r="A31" s="13"/>
      <c r="B31" s="552"/>
      <c r="C31" s="983"/>
      <c r="D31" s="983"/>
      <c r="E31" s="983"/>
      <c r="F31" s="983"/>
      <c r="G31" s="983"/>
      <c r="H31" s="553"/>
      <c r="I31" s="987"/>
      <c r="J31" s="987"/>
      <c r="K31" s="987"/>
      <c r="L31" s="987"/>
      <c r="M31" s="13"/>
      <c r="N31" s="13"/>
      <c r="O31" s="13"/>
      <c r="P31" s="13"/>
      <c r="Q31" s="13"/>
      <c r="R31" s="13"/>
      <c r="S31" s="13"/>
      <c r="T31" s="13"/>
      <c r="U31" s="13"/>
      <c r="V31" s="13"/>
      <c r="W31" s="13"/>
      <c r="X31" s="13"/>
      <c r="Y31" s="13"/>
      <c r="Z31" s="13"/>
      <c r="AA31" s="13"/>
      <c r="AB31" s="13"/>
      <c r="AC31" s="13"/>
      <c r="AD31" s="13"/>
      <c r="AE31" s="13"/>
      <c r="AF31" s="13"/>
      <c r="AG31" s="13"/>
    </row>
    <row r="32" spans="1:33" s="12" customFormat="1" ht="15" hidden="1">
      <c r="A32" s="13"/>
      <c r="B32" s="552"/>
      <c r="C32" s="981" t="s">
        <v>455</v>
      </c>
      <c r="D32" s="981"/>
      <c r="E32" s="981"/>
      <c r="F32" s="981"/>
      <c r="G32" s="982"/>
      <c r="H32" s="750"/>
      <c r="I32" s="987"/>
      <c r="J32" s="987"/>
      <c r="K32" s="987"/>
      <c r="L32" s="987"/>
      <c r="M32" s="13"/>
      <c r="N32" s="36">
        <f>IF(AND(CoolingTower="Yes",CoolingTowerWaterTreatment="Yes",ISNUMBER(H32)=FALSE),"Question A7b (cooling tower TDS of blowdown water) is missing or invalid.","")</f>
      </c>
      <c r="O32" s="13"/>
      <c r="P32" s="13"/>
      <c r="Q32" s="13"/>
      <c r="R32" s="13"/>
      <c r="S32" s="13"/>
      <c r="T32" s="13"/>
      <c r="U32" s="13"/>
      <c r="V32" s="13"/>
      <c r="W32" s="13"/>
      <c r="X32" s="13"/>
      <c r="Y32" s="13"/>
      <c r="Z32" s="13"/>
      <c r="AA32" s="13"/>
      <c r="AB32" s="13"/>
      <c r="AC32" s="13"/>
      <c r="AD32" s="13"/>
      <c r="AE32" s="13"/>
      <c r="AF32" s="13"/>
      <c r="AG32" s="13"/>
    </row>
    <row r="33" spans="1:33" s="12" customFormat="1" ht="15.75" customHeight="1" hidden="1">
      <c r="A33" s="13"/>
      <c r="B33" s="552"/>
      <c r="C33" s="983"/>
      <c r="D33" s="983"/>
      <c r="E33" s="983"/>
      <c r="F33" s="983"/>
      <c r="G33" s="983"/>
      <c r="H33" s="553"/>
      <c r="I33" s="987"/>
      <c r="J33" s="987"/>
      <c r="K33" s="987"/>
      <c r="L33" s="987"/>
      <c r="M33" s="13"/>
      <c r="N33" s="13"/>
      <c r="O33" s="13"/>
      <c r="P33" s="13"/>
      <c r="Q33" s="13"/>
      <c r="R33" s="13"/>
      <c r="S33" s="13"/>
      <c r="T33" s="13"/>
      <c r="U33" s="13"/>
      <c r="V33" s="13"/>
      <c r="W33" s="13"/>
      <c r="X33" s="13"/>
      <c r="Y33" s="13"/>
      <c r="Z33" s="13"/>
      <c r="AA33" s="13"/>
      <c r="AB33" s="13"/>
      <c r="AC33" s="13"/>
      <c r="AD33" s="13"/>
      <c r="AE33" s="13"/>
      <c r="AF33" s="13"/>
      <c r="AG33" s="13"/>
    </row>
    <row r="34" spans="1:33" s="390" customFormat="1" ht="72.75" customHeight="1" hidden="1">
      <c r="A34" s="50"/>
      <c r="B34" s="597"/>
      <c r="C34" s="995" t="s">
        <v>778</v>
      </c>
      <c r="D34" s="995"/>
      <c r="E34" s="995"/>
      <c r="F34" s="995"/>
      <c r="G34" s="995"/>
      <c r="H34" s="995"/>
      <c r="I34" s="995"/>
      <c r="J34" s="995"/>
      <c r="K34" s="596"/>
      <c r="L34" s="598"/>
      <c r="M34" s="60"/>
      <c r="N34" s="60"/>
      <c r="O34" s="727" t="s">
        <v>746</v>
      </c>
      <c r="P34" s="60"/>
      <c r="Q34" s="60"/>
      <c r="R34" s="60"/>
      <c r="S34" s="60"/>
      <c r="T34" s="60"/>
      <c r="U34" s="60"/>
      <c r="V34" s="60"/>
      <c r="W34" s="60"/>
      <c r="X34" s="60"/>
      <c r="Y34" s="60"/>
      <c r="Z34" s="60"/>
      <c r="AA34" s="60"/>
      <c r="AB34" s="60"/>
      <c r="AC34" s="60"/>
      <c r="AD34" s="60"/>
      <c r="AE34" s="60"/>
      <c r="AF34" s="60"/>
      <c r="AG34" s="60"/>
    </row>
    <row r="35" spans="1:33" ht="15" hidden="1">
      <c r="A35" s="13"/>
      <c r="B35"/>
      <c r="C35" s="993" t="s">
        <v>744</v>
      </c>
      <c r="D35" s="993"/>
      <c r="E35" s="993"/>
      <c r="F35" s="993"/>
      <c r="G35" s="994"/>
      <c r="H35" s="467" t="str">
        <f>IF(AND(CoolingTowerWaterTreatment="Yes",CoolingTowerMakeUpConductivity&gt;0,CoolingTowerBlowDownConductivity&gt;0),CoolingTowerBlowDownConductivity/CoolingTowerMakeUpConductivity,IF(AND(CoolingTowerMakeUp="Yes",CoolingTowerBlowDown="Yes",ISNUMBER(CoolingTowerMakeUpVolume),ISNUMBER(CoolingTowerBlowDownVolume),CoolingTowerMakeUpVolume&gt;0,CoolingTowerBlowDownVolume&gt;0),CoolingTowerMakeUpVolume/CoolingTowerBlowDownVolume,"Not Estimated"))</f>
        <v>Not Estimated</v>
      </c>
      <c r="I35" s="309"/>
      <c r="J35" s="309"/>
      <c r="K35" s="309"/>
      <c r="L35"/>
      <c r="M35" s="37"/>
      <c r="N35" s="37"/>
      <c r="O35" s="728">
        <f>IF(ISNUMBER(CoolingTowerEstimatedCoC),CoolingTowerEstimatedCoC,IF(AND(CoolingTowerCoCKnown="Yes",ISNUMBER(CoolingTowerCoC)),CoolingTowerCoC,0))</f>
        <v>0</v>
      </c>
      <c r="P35" s="37"/>
      <c r="Q35" s="37"/>
      <c r="R35" s="37"/>
      <c r="S35" s="37"/>
      <c r="T35" s="37"/>
      <c r="U35" s="37"/>
      <c r="V35" s="37"/>
      <c r="W35" s="37"/>
      <c r="X35" s="37"/>
      <c r="Y35" s="37"/>
      <c r="Z35" s="37"/>
      <c r="AA35" s="37"/>
      <c r="AB35" s="37"/>
      <c r="AC35" s="37"/>
      <c r="AD35" s="37"/>
      <c r="AE35" s="37"/>
      <c r="AF35" s="37"/>
      <c r="AG35" s="37"/>
    </row>
    <row r="36" spans="1:33" s="12" customFormat="1" ht="15" customHeight="1">
      <c r="A36" s="13"/>
      <c r="B36" s="550"/>
      <c r="C36" s="879"/>
      <c r="D36" s="879"/>
      <c r="E36" s="879"/>
      <c r="F36" s="879"/>
      <c r="G36" s="879"/>
      <c r="H36" s="551"/>
      <c r="I36" s="549"/>
      <c r="J36" s="549"/>
      <c r="K36" s="549"/>
      <c r="L36" s="549"/>
      <c r="M36" s="13"/>
      <c r="N36" s="834"/>
      <c r="O36" s="13"/>
      <c r="P36" s="13"/>
      <c r="Q36" s="13"/>
      <c r="R36" s="13"/>
      <c r="S36" s="13"/>
      <c r="T36" s="13"/>
      <c r="U36" s="13"/>
      <c r="V36" s="13"/>
      <c r="W36" s="13"/>
      <c r="X36" s="13"/>
      <c r="Y36" s="13"/>
      <c r="Z36" s="13"/>
      <c r="AA36" s="13"/>
      <c r="AB36" s="13"/>
      <c r="AC36" s="13"/>
      <c r="AD36" s="13"/>
      <c r="AE36" s="13"/>
      <c r="AF36" s="13"/>
      <c r="AG36" s="13"/>
    </row>
    <row r="37" spans="1:33" ht="15">
      <c r="A37" s="13"/>
      <c r="B37"/>
      <c r="C37" s="1002" t="s">
        <v>321</v>
      </c>
      <c r="D37" s="1002"/>
      <c r="E37" s="1002"/>
      <c r="F37" s="1002"/>
      <c r="G37" s="1002"/>
      <c r="H37" s="432"/>
      <c r="I37" s="40"/>
      <c r="J37" s="309"/>
      <c r="K37" s="309"/>
      <c r="L37"/>
      <c r="M37" s="37"/>
      <c r="N37" s="37"/>
      <c r="O37" s="37"/>
      <c r="P37" s="37"/>
      <c r="Q37" s="37"/>
      <c r="R37" s="37"/>
      <c r="S37" s="37"/>
      <c r="T37" s="37"/>
      <c r="U37" s="37"/>
      <c r="V37" s="37"/>
      <c r="W37" s="37"/>
      <c r="X37" s="37"/>
      <c r="Y37" s="37"/>
      <c r="Z37" s="37"/>
      <c r="AA37" s="37"/>
      <c r="AB37" s="37"/>
      <c r="AC37" s="37"/>
      <c r="AD37" s="37"/>
      <c r="AE37" s="37"/>
      <c r="AF37" s="37"/>
      <c r="AG37" s="37"/>
    </row>
    <row r="38" spans="1:33" ht="15">
      <c r="A38" s="13"/>
      <c r="B38"/>
      <c r="C38" s="991" t="s">
        <v>322</v>
      </c>
      <c r="D38" s="991"/>
      <c r="E38" s="991"/>
      <c r="F38" s="991"/>
      <c r="G38" s="992"/>
      <c r="H38" s="744"/>
      <c r="I38" s="309"/>
      <c r="J38" s="309"/>
      <c r="K38" s="309"/>
      <c r="L38"/>
      <c r="M38" s="37"/>
      <c r="N38" s="36" t="str">
        <f>IF(SinglePassCooling="","Question B1 (single-pass cooling) is missing or invalid.","")</f>
        <v>Question B1 (single-pass cooling) is missing or invalid.</v>
      </c>
      <c r="O38" s="37"/>
      <c r="P38" s="37"/>
      <c r="Q38" s="37"/>
      <c r="R38" s="37"/>
      <c r="S38" s="37"/>
      <c r="T38" s="37"/>
      <c r="U38" s="37"/>
      <c r="V38" s="37"/>
      <c r="W38" s="37"/>
      <c r="X38" s="37"/>
      <c r="Y38" s="37"/>
      <c r="Z38" s="37"/>
      <c r="AA38" s="37"/>
      <c r="AB38" s="37"/>
      <c r="AC38" s="37"/>
      <c r="AD38" s="37"/>
      <c r="AE38" s="37"/>
      <c r="AF38" s="37"/>
      <c r="AG38" s="37"/>
    </row>
    <row r="39" spans="1:33" s="390" customFormat="1" ht="39.75" customHeight="1" hidden="1">
      <c r="A39" s="50"/>
      <c r="B39" s="418"/>
      <c r="C39" s="990" t="s">
        <v>418</v>
      </c>
      <c r="D39" s="990"/>
      <c r="E39" s="990"/>
      <c r="F39" s="990"/>
      <c r="G39" s="990"/>
      <c r="H39" s="531"/>
      <c r="I39" s="531"/>
      <c r="J39" s="531"/>
      <c r="K39" s="443"/>
      <c r="L39" s="418"/>
      <c r="M39" s="60"/>
      <c r="N39" s="60"/>
      <c r="O39" s="60"/>
      <c r="P39" s="60"/>
      <c r="Q39" s="60"/>
      <c r="R39" s="60"/>
      <c r="S39" s="60"/>
      <c r="T39" s="60"/>
      <c r="U39" s="60"/>
      <c r="V39" s="60"/>
      <c r="W39" s="60"/>
      <c r="X39" s="60"/>
      <c r="Y39" s="60"/>
      <c r="Z39" s="60"/>
      <c r="AA39" s="60"/>
      <c r="AB39" s="60"/>
      <c r="AC39" s="60"/>
      <c r="AD39" s="60"/>
      <c r="AE39" s="60"/>
      <c r="AF39" s="60"/>
      <c r="AG39" s="60"/>
    </row>
    <row r="40" spans="1:33" ht="15" hidden="1">
      <c r="A40" s="13"/>
      <c r="B40"/>
      <c r="C40" s="991" t="s">
        <v>323</v>
      </c>
      <c r="D40" s="991"/>
      <c r="E40" s="991"/>
      <c r="F40" s="991"/>
      <c r="G40" s="991"/>
      <c r="H40" s="991"/>
      <c r="I40" s="434"/>
      <c r="J40" s="309"/>
      <c r="K40" s="309"/>
      <c r="L40"/>
      <c r="M40" s="37"/>
      <c r="N40" s="37"/>
      <c r="O40" s="37"/>
      <c r="P40" s="37"/>
      <c r="Q40" s="37"/>
      <c r="R40" s="37"/>
      <c r="S40" s="37"/>
      <c r="T40" s="37"/>
      <c r="U40" s="37"/>
      <c r="V40" s="37"/>
      <c r="W40" s="37"/>
      <c r="X40" s="37"/>
      <c r="Y40" s="37"/>
      <c r="Z40" s="37"/>
      <c r="AA40" s="37"/>
      <c r="AB40" s="37"/>
      <c r="AC40" s="37"/>
      <c r="AD40" s="37"/>
      <c r="AE40" s="37"/>
      <c r="AF40" s="37"/>
      <c r="AG40" s="37"/>
    </row>
    <row r="41" spans="1:33" ht="15" hidden="1">
      <c r="A41" s="13"/>
      <c r="B41"/>
      <c r="C41" s="416"/>
      <c r="D41" s="771"/>
      <c r="E41" s="988" t="s">
        <v>324</v>
      </c>
      <c r="F41" s="989" t="s">
        <v>325</v>
      </c>
      <c r="G41" s="1000" t="s">
        <v>326</v>
      </c>
      <c r="H41" s="1001"/>
      <c r="I41" s="1001"/>
      <c r="J41" s="1001"/>
      <c r="K41" s="309"/>
      <c r="L41"/>
      <c r="M41" s="37"/>
      <c r="N41" s="37"/>
      <c r="O41" s="37"/>
      <c r="P41" s="37"/>
      <c r="Q41" s="37"/>
      <c r="R41" s="37"/>
      <c r="S41" s="37"/>
      <c r="T41" s="37"/>
      <c r="U41" s="37"/>
      <c r="V41" s="37"/>
      <c r="W41" s="37"/>
      <c r="X41" s="37"/>
      <c r="Y41" s="37"/>
      <c r="Z41" s="37"/>
      <c r="AA41" s="37"/>
      <c r="AB41" s="37"/>
      <c r="AC41" s="37"/>
      <c r="AD41" s="37"/>
      <c r="AE41" s="37"/>
      <c r="AF41" s="37"/>
      <c r="AG41" s="37"/>
    </row>
    <row r="42" spans="1:33" ht="15" hidden="1">
      <c r="A42" s="13"/>
      <c r="B42"/>
      <c r="C42" s="433"/>
      <c r="D42" s="433"/>
      <c r="E42" s="988"/>
      <c r="F42" s="989"/>
      <c r="G42" s="18" t="s">
        <v>327</v>
      </c>
      <c r="H42" s="18" t="s">
        <v>328</v>
      </c>
      <c r="I42" s="18" t="s">
        <v>329</v>
      </c>
      <c r="J42" s="18" t="s">
        <v>330</v>
      </c>
      <c r="K42" s="309"/>
      <c r="L42"/>
      <c r="M42" s="37"/>
      <c r="N42" s="37"/>
      <c r="O42" s="37"/>
      <c r="P42" s="37"/>
      <c r="Q42" s="37"/>
      <c r="R42" s="37"/>
      <c r="S42" s="37"/>
      <c r="T42" s="37"/>
      <c r="U42" s="37"/>
      <c r="V42" s="37"/>
      <c r="W42" s="37"/>
      <c r="X42" s="37"/>
      <c r="Y42" s="37"/>
      <c r="Z42" s="37"/>
      <c r="AA42" s="37"/>
      <c r="AB42" s="37"/>
      <c r="AC42" s="37"/>
      <c r="AD42" s="37"/>
      <c r="AE42" s="37"/>
      <c r="AF42" s="37"/>
      <c r="AG42" s="37"/>
    </row>
    <row r="43" spans="1:33" ht="15" hidden="1">
      <c r="A43" s="13"/>
      <c r="B43"/>
      <c r="C43" s="433"/>
      <c r="D43" s="433"/>
      <c r="E43" s="750"/>
      <c r="F43" s="755"/>
      <c r="G43" s="751"/>
      <c r="H43" s="751"/>
      <c r="I43" s="751"/>
      <c r="J43" s="751"/>
      <c r="K43" s="309"/>
      <c r="L43"/>
      <c r="M43" s="37"/>
      <c r="N43" s="36">
        <f>IF(AND(SinglePassCooling="Yes",COUNTA(E43:J43)&lt;6),"The first row in question B2 (single-pass cooling) is incomplete.","")</f>
      </c>
      <c r="O43" s="37"/>
      <c r="P43" s="37"/>
      <c r="Q43" s="37"/>
      <c r="R43" s="37"/>
      <c r="S43" s="37"/>
      <c r="T43" s="37"/>
      <c r="U43" s="37"/>
      <c r="V43" s="37"/>
      <c r="W43" s="37"/>
      <c r="X43" s="37"/>
      <c r="Y43" s="37"/>
      <c r="Z43" s="37"/>
      <c r="AA43" s="37"/>
      <c r="AB43" s="37"/>
      <c r="AC43" s="37"/>
      <c r="AD43" s="37"/>
      <c r="AE43" s="37"/>
      <c r="AF43" s="37"/>
      <c r="AG43" s="37"/>
    </row>
    <row r="44" spans="1:33" ht="15" hidden="1">
      <c r="A44" s="13"/>
      <c r="B44"/>
      <c r="C44" s="433"/>
      <c r="D44" s="433"/>
      <c r="E44" s="750"/>
      <c r="F44" s="755"/>
      <c r="G44" s="751"/>
      <c r="H44" s="751"/>
      <c r="I44" s="751"/>
      <c r="J44" s="751"/>
      <c r="K44" s="309"/>
      <c r="L44"/>
      <c r="M44" s="37"/>
      <c r="N44" s="36">
        <f>IF(AND(SinglePassCooling="Yes",COUNTA(E44:J44)&gt;0,COUNTA(E44:J44)&lt;6),"The second row in question B2 (single-pass cooling) is incomplete.","")</f>
      </c>
      <c r="O44" s="37"/>
      <c r="P44" s="37"/>
      <c r="Q44" s="37"/>
      <c r="R44" s="37"/>
      <c r="S44" s="37"/>
      <c r="T44" s="37"/>
      <c r="U44" s="37"/>
      <c r="V44" s="37"/>
      <c r="W44" s="37"/>
      <c r="X44" s="37"/>
      <c r="Y44" s="37"/>
      <c r="Z44" s="37"/>
      <c r="AA44" s="37"/>
      <c r="AB44" s="37"/>
      <c r="AC44" s="37"/>
      <c r="AD44" s="37"/>
      <c r="AE44" s="37"/>
      <c r="AF44" s="37"/>
      <c r="AG44" s="37"/>
    </row>
    <row r="45" spans="1:33" ht="15" hidden="1">
      <c r="A45" s="13"/>
      <c r="B45"/>
      <c r="C45" s="433"/>
      <c r="D45" s="433"/>
      <c r="E45" s="750"/>
      <c r="F45" s="755"/>
      <c r="G45" s="751"/>
      <c r="H45" s="751"/>
      <c r="I45" s="751"/>
      <c r="J45" s="751"/>
      <c r="K45" s="309"/>
      <c r="L45"/>
      <c r="M45" s="37"/>
      <c r="N45" s="36">
        <f>IF(AND(SinglePassCooling="Yes",COUNTA(E45:J45)&gt;0,COUNTA(E45:J45)&lt;6),"The third row in question B2 (single-pass cooling) is incomplete.","")</f>
      </c>
      <c r="O45" s="37"/>
      <c r="P45" s="37"/>
      <c r="Q45" s="37"/>
      <c r="R45" s="37"/>
      <c r="S45" s="37"/>
      <c r="T45" s="37"/>
      <c r="U45" s="37"/>
      <c r="V45" s="37"/>
      <c r="W45" s="37"/>
      <c r="X45" s="37"/>
      <c r="Y45" s="37"/>
      <c r="Z45" s="37"/>
      <c r="AA45" s="37"/>
      <c r="AB45" s="37"/>
      <c r="AC45" s="37"/>
      <c r="AD45" s="37"/>
      <c r="AE45" s="37"/>
      <c r="AF45" s="37"/>
      <c r="AG45" s="37"/>
    </row>
    <row r="46" spans="1:33" ht="15" hidden="1">
      <c r="A46" s="13"/>
      <c r="B46"/>
      <c r="C46" s="432"/>
      <c r="D46" s="770"/>
      <c r="E46" s="750"/>
      <c r="F46" s="755"/>
      <c r="G46" s="751"/>
      <c r="H46" s="751"/>
      <c r="I46" s="751"/>
      <c r="J46" s="751"/>
      <c r="K46" s="309"/>
      <c r="L46"/>
      <c r="M46" s="37"/>
      <c r="N46" s="36">
        <f>IF(AND(SinglePassCooling="Yes",COUNTA(E46:J46)&gt;0,COUNTA(E46:J46)&lt;6),"The fourth row in question B2 (single-pass cooling) is incomplete.","")</f>
      </c>
      <c r="O46" s="37"/>
      <c r="P46" s="37"/>
      <c r="Q46" s="37"/>
      <c r="R46" s="37"/>
      <c r="S46" s="37"/>
      <c r="T46" s="37"/>
      <c r="U46" s="37"/>
      <c r="V46" s="37"/>
      <c r="W46" s="37"/>
      <c r="X46" s="37"/>
      <c r="Y46" s="37"/>
      <c r="Z46" s="37"/>
      <c r="AA46" s="37"/>
      <c r="AB46" s="37"/>
      <c r="AC46" s="37"/>
      <c r="AD46" s="37"/>
      <c r="AE46" s="37"/>
      <c r="AF46" s="37"/>
      <c r="AG46" s="37"/>
    </row>
    <row r="47" spans="1:33" ht="15">
      <c r="A47" s="13"/>
      <c r="B47"/>
      <c r="C47" s="879"/>
      <c r="D47" s="879"/>
      <c r="E47" s="879"/>
      <c r="F47" s="879"/>
      <c r="G47" s="879"/>
      <c r="H47" s="433"/>
      <c r="I47" s="432"/>
      <c r="J47" s="433"/>
      <c r="K47" s="309"/>
      <c r="L47"/>
      <c r="M47" s="37"/>
      <c r="N47" s="37"/>
      <c r="O47" s="37"/>
      <c r="P47" s="37"/>
      <c r="Q47" s="37"/>
      <c r="R47" s="37"/>
      <c r="S47" s="37"/>
      <c r="T47" s="37"/>
      <c r="U47" s="37"/>
      <c r="V47" s="37"/>
      <c r="W47" s="37"/>
      <c r="X47" s="37"/>
      <c r="Y47" s="37"/>
      <c r="Z47" s="37"/>
      <c r="AA47" s="37"/>
      <c r="AB47" s="37"/>
      <c r="AC47" s="37"/>
      <c r="AD47" s="37"/>
      <c r="AE47" s="37"/>
      <c r="AF47" s="37"/>
      <c r="AG47" s="37"/>
    </row>
    <row r="48" spans="1:33" ht="15">
      <c r="A48" s="13"/>
      <c r="B48"/>
      <c r="C48" s="1002" t="s">
        <v>331</v>
      </c>
      <c r="D48" s="1002"/>
      <c r="E48" s="1002"/>
      <c r="F48" s="1002"/>
      <c r="G48" s="1002"/>
      <c r="H48" s="432"/>
      <c r="I48" s="309"/>
      <c r="J48" s="433"/>
      <c r="K48" s="309"/>
      <c r="L48"/>
      <c r="M48" s="37"/>
      <c r="N48" s="37"/>
      <c r="O48" s="37"/>
      <c r="P48" s="37"/>
      <c r="Q48" s="37"/>
      <c r="R48" s="37"/>
      <c r="S48" s="37"/>
      <c r="T48" s="37"/>
      <c r="U48" s="37"/>
      <c r="V48" s="37"/>
      <c r="W48" s="37"/>
      <c r="X48" s="37"/>
      <c r="Y48" s="37"/>
      <c r="Z48" s="37"/>
      <c r="AA48" s="37"/>
      <c r="AB48" s="37"/>
      <c r="AC48" s="37"/>
      <c r="AD48" s="37"/>
      <c r="AE48" s="37"/>
      <c r="AF48" s="37"/>
      <c r="AG48" s="37"/>
    </row>
    <row r="49" spans="1:33" ht="15">
      <c r="A49" s="13"/>
      <c r="B49"/>
      <c r="C49" s="879" t="s">
        <v>332</v>
      </c>
      <c r="D49" s="879"/>
      <c r="E49" s="879"/>
      <c r="F49" s="879"/>
      <c r="G49" s="883"/>
      <c r="H49" s="744"/>
      <c r="I49" s="309"/>
      <c r="J49" s="433"/>
      <c r="K49" s="309"/>
      <c r="L49"/>
      <c r="M49" s="37"/>
      <c r="N49" s="36" t="str">
        <f>IF(SteamBoilers="","Question C1 (steam boilers) is missing or invalid.","")</f>
        <v>Question C1 (steam boilers) is missing or invalid.</v>
      </c>
      <c r="O49" s="37"/>
      <c r="P49" s="37"/>
      <c r="Q49" s="37"/>
      <c r="R49" s="37"/>
      <c r="S49" s="37"/>
      <c r="T49" s="37"/>
      <c r="U49" s="37"/>
      <c r="V49" s="37"/>
      <c r="W49" s="37"/>
      <c r="X49" s="37"/>
      <c r="Y49" s="37"/>
      <c r="Z49" s="37"/>
      <c r="AA49" s="37"/>
      <c r="AB49" s="37"/>
      <c r="AC49" s="37"/>
      <c r="AD49" s="37"/>
      <c r="AE49" s="37"/>
      <c r="AF49" s="37"/>
      <c r="AG49" s="37"/>
    </row>
    <row r="50" spans="1:33" ht="15" hidden="1">
      <c r="A50" s="13"/>
      <c r="B50"/>
      <c r="C50" s="879"/>
      <c r="D50" s="879"/>
      <c r="E50" s="879"/>
      <c r="F50" s="879"/>
      <c r="G50" s="879"/>
      <c r="H50" s="432"/>
      <c r="I50" s="432"/>
      <c r="J50" s="432"/>
      <c r="K50" s="309"/>
      <c r="L50"/>
      <c r="M50" s="37"/>
      <c r="N50" s="37"/>
      <c r="O50" s="37"/>
      <c r="P50" s="37"/>
      <c r="Q50" s="37"/>
      <c r="R50" s="37"/>
      <c r="S50" s="37"/>
      <c r="T50" s="37"/>
      <c r="U50" s="37"/>
      <c r="V50" s="37"/>
      <c r="W50" s="37"/>
      <c r="X50" s="37"/>
      <c r="Y50" s="37"/>
      <c r="Z50" s="37"/>
      <c r="AA50" s="37"/>
      <c r="AB50" s="37"/>
      <c r="AC50" s="37"/>
      <c r="AD50" s="37"/>
      <c r="AE50" s="37"/>
      <c r="AF50" s="37"/>
      <c r="AG50" s="37"/>
    </row>
    <row r="51" spans="1:33" ht="15" hidden="1">
      <c r="A51" s="13"/>
      <c r="B51"/>
      <c r="C51" s="879" t="s">
        <v>448</v>
      </c>
      <c r="D51" s="879"/>
      <c r="E51" s="879"/>
      <c r="F51" s="879"/>
      <c r="G51" s="883"/>
      <c r="H51" s="744"/>
      <c r="I51" s="571"/>
      <c r="J51" s="433"/>
      <c r="K51" s="309"/>
      <c r="L51"/>
      <c r="M51" s="37"/>
      <c r="N51" s="36">
        <f>IF(AND(SteamBoilers="Yes",SteamBoilerCondensateRecovery=""),"Question C2 (steam boiler condensate recovery) is missing or invalid.","")</f>
      </c>
      <c r="O51" s="37"/>
      <c r="P51" s="37"/>
      <c r="Q51" s="37"/>
      <c r="R51" s="37"/>
      <c r="S51" s="37"/>
      <c r="T51" s="37"/>
      <c r="U51" s="37"/>
      <c r="V51" s="37"/>
      <c r="W51" s="37"/>
      <c r="X51" s="37"/>
      <c r="Y51" s="37"/>
      <c r="Z51" s="37"/>
      <c r="AA51" s="37"/>
      <c r="AB51" s="37"/>
      <c r="AC51" s="37"/>
      <c r="AD51" s="37"/>
      <c r="AE51" s="37"/>
      <c r="AF51" s="37"/>
      <c r="AG51" s="37"/>
    </row>
    <row r="52" spans="1:33" ht="7.5" customHeight="1" hidden="1">
      <c r="A52" s="13"/>
      <c r="B52"/>
      <c r="C52" s="986"/>
      <c r="D52" s="986"/>
      <c r="E52" s="986"/>
      <c r="F52" s="986"/>
      <c r="G52" s="986"/>
      <c r="H52" s="571"/>
      <c r="J52" s="571"/>
      <c r="K52" s="309"/>
      <c r="L52" s="309"/>
      <c r="M52" s="37"/>
      <c r="N52" s="37"/>
      <c r="O52" s="37"/>
      <c r="P52" s="37"/>
      <c r="Q52" s="37"/>
      <c r="R52" s="37"/>
      <c r="S52" s="37"/>
      <c r="T52" s="37"/>
      <c r="U52" s="37"/>
      <c r="V52" s="37"/>
      <c r="W52" s="37"/>
      <c r="X52" s="37"/>
      <c r="Y52" s="37"/>
      <c r="Z52" s="37"/>
      <c r="AA52" s="37"/>
      <c r="AB52" s="37"/>
      <c r="AC52" s="37"/>
      <c r="AD52" s="37"/>
      <c r="AE52" s="37"/>
      <c r="AF52" s="37"/>
      <c r="AG52" s="37"/>
    </row>
    <row r="53" spans="1:33" ht="15" hidden="1">
      <c r="A53" s="13"/>
      <c r="B53"/>
      <c r="C53" s="996" t="s">
        <v>449</v>
      </c>
      <c r="D53" s="996"/>
      <c r="E53" s="996"/>
      <c r="F53" s="996"/>
      <c r="G53" s="997"/>
      <c r="H53" s="750"/>
      <c r="I53" s="309"/>
      <c r="J53" s="309"/>
      <c r="K53" s="309"/>
      <c r="L53"/>
      <c r="M53" s="37"/>
      <c r="N53" s="36">
        <f>IF(AND(SteamBoilers="Yes",SteamBoilerMakeUp="Yes",ISNUMBER(H53)=FALSE),"Question C2a (steam boiler make-up water) is missing or invalid.","")</f>
      </c>
      <c r="O53" s="37"/>
      <c r="P53" s="37"/>
      <c r="Q53" s="37"/>
      <c r="R53" s="37"/>
      <c r="S53" s="37"/>
      <c r="T53" s="37"/>
      <c r="U53" s="37"/>
      <c r="V53" s="37"/>
      <c r="W53" s="37"/>
      <c r="X53" s="37"/>
      <c r="Y53" s="37"/>
      <c r="Z53" s="37"/>
      <c r="AA53" s="37"/>
      <c r="AB53" s="37"/>
      <c r="AC53" s="37"/>
      <c r="AD53" s="37"/>
      <c r="AE53" s="37"/>
      <c r="AF53" s="37"/>
      <c r="AG53" s="37"/>
    </row>
    <row r="54" spans="1:33" ht="15" hidden="1">
      <c r="A54" s="13"/>
      <c r="B54"/>
      <c r="C54" s="879"/>
      <c r="D54" s="879"/>
      <c r="E54" s="879"/>
      <c r="F54" s="879"/>
      <c r="G54" s="879"/>
      <c r="H54" s="571"/>
      <c r="I54" s="571"/>
      <c r="J54" s="433"/>
      <c r="K54" s="309"/>
      <c r="L54"/>
      <c r="M54" s="37"/>
      <c r="N54" s="37"/>
      <c r="O54" s="37"/>
      <c r="P54" s="37"/>
      <c r="Q54" s="37"/>
      <c r="R54" s="37"/>
      <c r="S54" s="37"/>
      <c r="T54" s="37"/>
      <c r="U54" s="37"/>
      <c r="V54" s="37"/>
      <c r="W54" s="37"/>
      <c r="X54" s="37"/>
      <c r="Y54" s="37"/>
      <c r="Z54" s="37"/>
      <c r="AA54" s="37"/>
      <c r="AB54" s="37"/>
      <c r="AC54" s="37"/>
      <c r="AD54" s="37"/>
      <c r="AE54" s="37"/>
      <c r="AF54" s="37"/>
      <c r="AG54" s="37"/>
    </row>
    <row r="55" spans="1:33" ht="15" hidden="1">
      <c r="A55" s="13"/>
      <c r="B55"/>
      <c r="C55" s="879" t="s">
        <v>447</v>
      </c>
      <c r="D55" s="879"/>
      <c r="E55" s="879"/>
      <c r="F55" s="879"/>
      <c r="G55" s="883"/>
      <c r="H55" s="744"/>
      <c r="I55" s="432"/>
      <c r="J55" s="433"/>
      <c r="K55" s="309"/>
      <c r="L55"/>
      <c r="M55" s="37"/>
      <c r="N55" s="36">
        <f>IF(AND(SteamBoilers="Yes",SteamBoilerCondensateRecovery=""),"Question C3 (steam boiler condensate recovery) is missing or invalid.","")</f>
      </c>
      <c r="O55" s="37"/>
      <c r="P55" s="37"/>
      <c r="Q55" s="37"/>
      <c r="R55" s="37"/>
      <c r="S55" s="37"/>
      <c r="T55" s="37"/>
      <c r="U55" s="37"/>
      <c r="V55" s="37"/>
      <c r="W55" s="37"/>
      <c r="X55" s="37"/>
      <c r="Y55" s="37"/>
      <c r="Z55" s="37"/>
      <c r="AA55" s="37"/>
      <c r="AB55" s="37"/>
      <c r="AC55" s="37"/>
      <c r="AD55" s="37"/>
      <c r="AE55" s="37"/>
      <c r="AF55" s="37"/>
      <c r="AG55" s="37"/>
    </row>
    <row r="56" spans="1:33" ht="15" hidden="1">
      <c r="A56" s="13"/>
      <c r="B56"/>
      <c r="C56" s="879"/>
      <c r="D56" s="879"/>
      <c r="E56" s="879"/>
      <c r="F56" s="879"/>
      <c r="G56" s="879"/>
      <c r="H56" s="432"/>
      <c r="I56" s="432"/>
      <c r="J56" s="433"/>
      <c r="K56" s="309"/>
      <c r="L56"/>
      <c r="M56" s="37"/>
      <c r="N56" s="37"/>
      <c r="O56" s="37"/>
      <c r="P56" s="37"/>
      <c r="Q56" s="37"/>
      <c r="R56" s="37"/>
      <c r="S56" s="37"/>
      <c r="T56" s="37"/>
      <c r="U56" s="37"/>
      <c r="V56" s="37"/>
      <c r="W56" s="37"/>
      <c r="X56" s="37"/>
      <c r="Y56" s="37"/>
      <c r="Z56" s="37"/>
      <c r="AA56" s="37"/>
      <c r="AB56" s="37"/>
      <c r="AC56" s="37"/>
      <c r="AD56" s="37"/>
      <c r="AE56" s="37"/>
      <c r="AF56" s="37"/>
      <c r="AG56" s="37"/>
    </row>
    <row r="57" spans="1:33" ht="15" hidden="1">
      <c r="A57" s="13"/>
      <c r="B57"/>
      <c r="C57" s="879" t="s">
        <v>779</v>
      </c>
      <c r="D57" s="879"/>
      <c r="E57" s="879"/>
      <c r="F57" s="879"/>
      <c r="G57" s="883"/>
      <c r="H57" s="744"/>
      <c r="I57" s="432"/>
      <c r="J57" s="433"/>
      <c r="K57" s="309"/>
      <c r="L57"/>
      <c r="M57" s="37"/>
      <c r="N57" s="36">
        <f>IF(AND(SteamBoilers="Yes",SteamBoilerConductivityController=""),"Question C4 (steam boiler conductivity controller) is missing or invalid.","")</f>
      </c>
      <c r="O57" s="37"/>
      <c r="P57" s="37"/>
      <c r="Q57" s="37"/>
      <c r="R57" s="37"/>
      <c r="S57" s="37"/>
      <c r="T57" s="37"/>
      <c r="U57" s="37"/>
      <c r="V57" s="37"/>
      <c r="W57" s="37"/>
      <c r="X57" s="37"/>
      <c r="Y57" s="37"/>
      <c r="Z57" s="37"/>
      <c r="AA57" s="37"/>
      <c r="AB57" s="37"/>
      <c r="AC57" s="37"/>
      <c r="AD57" s="37"/>
      <c r="AE57" s="37"/>
      <c r="AF57" s="37"/>
      <c r="AG57" s="37"/>
    </row>
    <row r="58" spans="1:33" ht="15">
      <c r="A58" s="13"/>
      <c r="B58"/>
      <c r="C58" s="432"/>
      <c r="D58" s="770"/>
      <c r="E58" s="433"/>
      <c r="F58" s="432"/>
      <c r="G58" s="433"/>
      <c r="H58" s="432"/>
      <c r="I58" s="432"/>
      <c r="J58" s="433"/>
      <c r="K58" s="309"/>
      <c r="L58"/>
      <c r="M58" s="37"/>
      <c r="N58" s="37"/>
      <c r="O58" s="37"/>
      <c r="P58" s="37"/>
      <c r="Q58" s="37"/>
      <c r="R58" s="37"/>
      <c r="S58" s="37"/>
      <c r="T58" s="37"/>
      <c r="U58" s="37"/>
      <c r="V58" s="37"/>
      <c r="W58" s="37"/>
      <c r="X58" s="37"/>
      <c r="Y58" s="37"/>
      <c r="Z58" s="37"/>
      <c r="AA58" s="37"/>
      <c r="AB58" s="37"/>
      <c r="AC58" s="37"/>
      <c r="AD58" s="37"/>
      <c r="AE58" s="37"/>
      <c r="AF58" s="37"/>
      <c r="AG58" s="37"/>
    </row>
    <row r="59" spans="1:33" ht="31.5" customHeight="1">
      <c r="A59" s="13"/>
      <c r="B59"/>
      <c r="C59" s="432"/>
      <c r="D59" s="770"/>
      <c r="E59" s="433"/>
      <c r="F59" s="432"/>
      <c r="G59" s="437"/>
      <c r="H59" s="432"/>
      <c r="I59" s="432"/>
      <c r="J59" s="433"/>
      <c r="K59" s="309"/>
      <c r="L59"/>
      <c r="M59" s="37"/>
      <c r="N59" s="37"/>
      <c r="O59" s="37"/>
      <c r="P59" s="37"/>
      <c r="Q59" s="37"/>
      <c r="R59" s="37"/>
      <c r="S59" s="37"/>
      <c r="T59" s="37"/>
      <c r="U59" s="37"/>
      <c r="V59" s="37"/>
      <c r="W59" s="37"/>
      <c r="X59" s="37"/>
      <c r="Y59" s="37"/>
      <c r="Z59" s="37"/>
      <c r="AA59" s="37"/>
      <c r="AB59" s="37"/>
      <c r="AC59" s="37"/>
      <c r="AD59" s="37"/>
      <c r="AE59" s="37"/>
      <c r="AF59" s="37"/>
      <c r="AG59" s="37"/>
    </row>
    <row r="60" spans="1:33" ht="18.75" hidden="1">
      <c r="A60" s="13"/>
      <c r="B60"/>
      <c r="C60" s="417" t="s">
        <v>38</v>
      </c>
      <c r="D60" s="769"/>
      <c r="E60" s="417"/>
      <c r="F60" s="432"/>
      <c r="G60" s="432"/>
      <c r="H60" s="432"/>
      <c r="I60" s="432"/>
      <c r="J60" s="432"/>
      <c r="K60" s="309"/>
      <c r="L60"/>
      <c r="M60" s="37"/>
      <c r="N60" s="37"/>
      <c r="O60" s="37"/>
      <c r="P60" s="37"/>
      <c r="Q60" s="37"/>
      <c r="R60" s="37"/>
      <c r="S60" s="37"/>
      <c r="T60" s="37"/>
      <c r="U60" s="37"/>
      <c r="V60" s="37"/>
      <c r="W60" s="37"/>
      <c r="X60" s="37"/>
      <c r="Y60" s="37"/>
      <c r="Z60" s="37"/>
      <c r="AA60" s="37"/>
      <c r="AB60" s="37"/>
      <c r="AC60" s="37"/>
      <c r="AD60" s="37"/>
      <c r="AE60" s="37"/>
      <c r="AF60" s="37"/>
      <c r="AG60" s="37"/>
    </row>
    <row r="61" spans="1:33" ht="33.75" customHeight="1" hidden="1">
      <c r="A61" s="13"/>
      <c r="B61"/>
      <c r="C61" s="962" t="str">
        <f>"Water use from your hotel's HVAC and mechanical equipment is approximately "&amp;TEXT(E66,"#,##0")&amp;" gallons per year. The table below provides your estimated water use by equipment type."</f>
        <v>Water use from your hotel's HVAC and mechanical equipment is approximately Not Estimated gallons per year. The table below provides your estimated water use by equipment type.</v>
      </c>
      <c r="D61" s="962"/>
      <c r="E61" s="962"/>
      <c r="F61" s="962"/>
      <c r="G61" s="962"/>
      <c r="H61" s="962"/>
      <c r="I61" s="962"/>
      <c r="J61" s="962"/>
      <c r="K61" s="962"/>
      <c r="L61" s="448"/>
      <c r="M61" s="37"/>
      <c r="N61" s="37"/>
      <c r="O61" s="37"/>
      <c r="P61" s="37"/>
      <c r="Q61" s="37"/>
      <c r="R61" s="37"/>
      <c r="S61" s="37"/>
      <c r="T61" s="37"/>
      <c r="U61" s="37"/>
      <c r="V61" s="37"/>
      <c r="W61" s="37"/>
      <c r="X61" s="37"/>
      <c r="Y61" s="37"/>
      <c r="Z61" s="37"/>
      <c r="AA61" s="37"/>
      <c r="AB61" s="37"/>
      <c r="AC61" s="37"/>
      <c r="AD61" s="37"/>
      <c r="AE61" s="37"/>
      <c r="AF61" s="37"/>
      <c r="AG61" s="37"/>
    </row>
    <row r="62" spans="1:33" ht="26.25" hidden="1">
      <c r="A62" s="13"/>
      <c r="B62"/>
      <c r="C62" s="23"/>
      <c r="D62" s="529"/>
      <c r="E62" s="26" t="s">
        <v>333</v>
      </c>
      <c r="F62" s="432"/>
      <c r="G62" s="433"/>
      <c r="H62" s="433"/>
      <c r="I62" s="432"/>
      <c r="J62" s="433"/>
      <c r="K62" s="309"/>
      <c r="L62"/>
      <c r="M62" s="37"/>
      <c r="N62" s="37"/>
      <c r="O62" s="716" t="s">
        <v>196</v>
      </c>
      <c r="P62" s="37"/>
      <c r="Q62" s="37"/>
      <c r="R62" s="37"/>
      <c r="S62" s="37"/>
      <c r="T62" s="37"/>
      <c r="U62" s="37"/>
      <c r="V62" s="37"/>
      <c r="W62" s="37"/>
      <c r="X62" s="37"/>
      <c r="Y62" s="37"/>
      <c r="Z62" s="37"/>
      <c r="AA62" s="37"/>
      <c r="AB62" s="37"/>
      <c r="AC62" s="37"/>
      <c r="AD62" s="37"/>
      <c r="AE62" s="37"/>
      <c r="AF62" s="37"/>
      <c r="AG62" s="37"/>
    </row>
    <row r="63" spans="1:33" ht="15" hidden="1">
      <c r="A63" s="13"/>
      <c r="B63"/>
      <c r="D63" s="16" t="s">
        <v>334</v>
      </c>
      <c r="E63" s="442" t="str">
        <f>IF(CoolingTower="Yes",IF(AND(CoolingTowerMakeUp="Yes",ISNUMBER(CoolingTowerMakeUpVolume),CoolingTowerMakeUpVolume&gt;0),CoolingTowerMakeUpVolume,IF($O$35=0,"Not Estimated",ROUNDDOWN(CoolingTowerCapacity*($G$87+($G$87/($O$35-1)))*24*365*$G$88,-3))),"N/A")</f>
        <v>N/A</v>
      </c>
      <c r="F63" s="309"/>
      <c r="G63" s="432"/>
      <c r="H63" s="432"/>
      <c r="I63" s="432"/>
      <c r="J63" s="432"/>
      <c r="K63" s="309"/>
      <c r="L63"/>
      <c r="M63" s="37"/>
      <c r="N63" s="37"/>
      <c r="O63" s="268">
        <f>IF(AND(ISNUMBER(E63),O35&lt;$G$89),E63-($G$89*((E63-(E63/O35))/($G$89-1))),0)</f>
        <v>0</v>
      </c>
      <c r="P63" s="37"/>
      <c r="Q63" s="37"/>
      <c r="R63" s="37"/>
      <c r="S63" s="37"/>
      <c r="T63" s="37"/>
      <c r="U63" s="37"/>
      <c r="V63" s="37"/>
      <c r="W63" s="37"/>
      <c r="X63" s="37"/>
      <c r="Y63" s="37"/>
      <c r="Z63" s="37"/>
      <c r="AA63" s="37"/>
      <c r="AB63" s="37"/>
      <c r="AC63" s="37"/>
      <c r="AD63" s="37"/>
      <c r="AE63" s="37"/>
      <c r="AF63" s="37"/>
      <c r="AG63" s="37"/>
    </row>
    <row r="64" spans="1:33" ht="15" hidden="1">
      <c r="A64" s="13"/>
      <c r="B64"/>
      <c r="D64" s="16" t="s">
        <v>335</v>
      </c>
      <c r="E64" s="24" t="str">
        <f>IF(SinglePassCooling="Yes",ROUNDDOWN(SUMPRODUCT(F43:F45,G43:G45,H43:H45,I43:I45,J43:J45),-3),"N/A")</f>
        <v>N/A</v>
      </c>
      <c r="F64" s="309"/>
      <c r="G64" s="433"/>
      <c r="H64" s="433"/>
      <c r="I64" s="432"/>
      <c r="J64" s="433"/>
      <c r="K64" s="309"/>
      <c r="L64"/>
      <c r="M64" s="37"/>
      <c r="N64" s="37"/>
      <c r="O64" s="37"/>
      <c r="P64" s="37"/>
      <c r="Q64" s="37"/>
      <c r="R64" s="37"/>
      <c r="S64" s="37"/>
      <c r="T64" s="37"/>
      <c r="U64" s="37"/>
      <c r="V64" s="37"/>
      <c r="W64" s="37"/>
      <c r="X64" s="37"/>
      <c r="Y64" s="37"/>
      <c r="Z64" s="37"/>
      <c r="AA64" s="37"/>
      <c r="AB64" s="37"/>
      <c r="AC64" s="37"/>
      <c r="AD64" s="37"/>
      <c r="AE64" s="37"/>
      <c r="AF64" s="37"/>
      <c r="AG64" s="37"/>
    </row>
    <row r="65" spans="1:33" ht="15" hidden="1">
      <c r="A65" s="13"/>
      <c r="B65"/>
      <c r="D65" s="16" t="s">
        <v>336</v>
      </c>
      <c r="E65" s="438" t="str">
        <f>IF(SteamBoilers="Yes",IF(AND(SteamBoilerMakeUp="Yes",SteamBoilerMakeUpVolume&gt;0),SteamBoilerMakeUpVolume,"Not Estimated"),"N/A")</f>
        <v>N/A</v>
      </c>
      <c r="F65" s="309"/>
      <c r="G65" s="433"/>
      <c r="H65" s="433"/>
      <c r="I65" s="432"/>
      <c r="J65" s="433"/>
      <c r="K65" s="309"/>
      <c r="L65"/>
      <c r="M65" s="37"/>
      <c r="N65" s="37"/>
      <c r="O65" s="37"/>
      <c r="P65" s="37"/>
      <c r="Q65" s="37"/>
      <c r="R65" s="37"/>
      <c r="S65" s="37"/>
      <c r="T65" s="37"/>
      <c r="U65" s="37"/>
      <c r="V65" s="37"/>
      <c r="W65" s="37"/>
      <c r="X65" s="37"/>
      <c r="Y65" s="37"/>
      <c r="Z65" s="37"/>
      <c r="AA65" s="37"/>
      <c r="AB65" s="37"/>
      <c r="AC65" s="37"/>
      <c r="AD65" s="37"/>
      <c r="AE65" s="37"/>
      <c r="AF65" s="37"/>
      <c r="AG65" s="37"/>
    </row>
    <row r="66" spans="1:33" ht="15" hidden="1">
      <c r="A66" s="13"/>
      <c r="B66"/>
      <c r="D66" s="16" t="s">
        <v>338</v>
      </c>
      <c r="E66" s="461" t="str">
        <f>IF(OR(ISNUMBER(E63),ISNUMBER(E64),ISNUMBER(E65)),SUM(E63:E65),"Not Estimated")</f>
        <v>Not Estimated</v>
      </c>
      <c r="F66" s="309"/>
      <c r="G66" s="433"/>
      <c r="H66" s="433"/>
      <c r="I66" s="432"/>
      <c r="J66" s="433"/>
      <c r="K66" s="309"/>
      <c r="L66"/>
      <c r="M66" s="37"/>
      <c r="N66" s="37"/>
      <c r="O66" s="37"/>
      <c r="P66" s="37"/>
      <c r="Q66" s="37"/>
      <c r="R66" s="37"/>
      <c r="S66" s="37"/>
      <c r="T66" s="37"/>
      <c r="U66" s="37"/>
      <c r="V66" s="37"/>
      <c r="W66" s="37"/>
      <c r="X66" s="37"/>
      <c r="Y66" s="37"/>
      <c r="Z66" s="37"/>
      <c r="AA66" s="37"/>
      <c r="AB66" s="37"/>
      <c r="AC66" s="37"/>
      <c r="AD66" s="37"/>
      <c r="AE66" s="37"/>
      <c r="AF66" s="37"/>
      <c r="AG66" s="37"/>
    </row>
    <row r="67" spans="1:33" ht="15" hidden="1">
      <c r="A67" s="13"/>
      <c r="B67"/>
      <c r="C67" s="1003"/>
      <c r="D67" s="1003"/>
      <c r="E67" s="1003"/>
      <c r="F67" s="1003"/>
      <c r="G67" s="1003"/>
      <c r="H67" s="1003"/>
      <c r="I67" s="1003"/>
      <c r="J67" s="1003"/>
      <c r="K67" s="1003"/>
      <c r="L67"/>
      <c r="M67" s="37"/>
      <c r="N67" s="37"/>
      <c r="O67" s="37"/>
      <c r="P67" s="37"/>
      <c r="Q67" s="37"/>
      <c r="R67" s="37"/>
      <c r="S67" s="37"/>
      <c r="T67" s="37"/>
      <c r="U67" s="37"/>
      <c r="V67" s="37"/>
      <c r="W67" s="37"/>
      <c r="X67" s="37"/>
      <c r="Y67" s="37"/>
      <c r="Z67" s="37"/>
      <c r="AA67" s="37"/>
      <c r="AB67" s="37"/>
      <c r="AC67" s="37"/>
      <c r="AD67" s="37"/>
      <c r="AE67" s="37"/>
      <c r="AF67" s="37"/>
      <c r="AG67" s="37"/>
    </row>
    <row r="68" spans="1:33" ht="18.75" hidden="1">
      <c r="A68" s="13"/>
      <c r="B68"/>
      <c r="C68" s="937" t="s">
        <v>64</v>
      </c>
      <c r="D68" s="937"/>
      <c r="E68" s="937"/>
      <c r="F68" s="937"/>
      <c r="G68" s="937"/>
      <c r="H68" s="937"/>
      <c r="I68"/>
      <c r="J68"/>
      <c r="K68"/>
      <c r="L68"/>
      <c r="M68" s="37"/>
      <c r="N68" s="37"/>
      <c r="O68" s="37"/>
      <c r="P68" s="37"/>
      <c r="Q68" s="37"/>
      <c r="R68" s="37"/>
      <c r="S68" s="37"/>
      <c r="T68" s="37"/>
      <c r="U68" s="37"/>
      <c r="V68" s="37"/>
      <c r="W68" s="37"/>
      <c r="X68" s="37"/>
      <c r="Y68" s="37"/>
      <c r="Z68" s="37"/>
      <c r="AA68" s="37"/>
      <c r="AB68" s="37"/>
      <c r="AC68" s="37"/>
      <c r="AD68" s="37"/>
      <c r="AE68" s="37"/>
      <c r="AF68" s="37"/>
      <c r="AG68" s="37"/>
    </row>
    <row r="69" spans="1:33" ht="55.5" customHeight="1" hidden="1">
      <c r="A69" s="13"/>
      <c r="B69"/>
      <c r="C69" s="784" t="s">
        <v>760</v>
      </c>
      <c r="D69" s="1004" t="s">
        <v>730</v>
      </c>
      <c r="E69" s="1004"/>
      <c r="F69" s="1004"/>
      <c r="G69" s="1004"/>
      <c r="H69" s="1004"/>
      <c r="I69" s="1004"/>
      <c r="J69" s="1004"/>
      <c r="K69" s="1004"/>
      <c r="L69"/>
      <c r="M69" s="37"/>
      <c r="N69" s="37"/>
      <c r="O69" s="37"/>
      <c r="P69" s="37"/>
      <c r="Q69" s="37"/>
      <c r="R69" s="37"/>
      <c r="S69" s="37"/>
      <c r="T69" s="37"/>
      <c r="U69" s="37"/>
      <c r="V69" s="37"/>
      <c r="W69" s="37"/>
      <c r="X69" s="37"/>
      <c r="Y69" s="37"/>
      <c r="Z69" s="37"/>
      <c r="AA69" s="37"/>
      <c r="AB69" s="37"/>
      <c r="AC69" s="37"/>
      <c r="AD69" s="37"/>
      <c r="AE69" s="37"/>
      <c r="AF69" s="37"/>
      <c r="AG69" s="37"/>
    </row>
    <row r="70" spans="1:33" s="629" customFormat="1" ht="55.5" customHeight="1" hidden="1">
      <c r="A70" s="58"/>
      <c r="B70" s="419"/>
      <c r="C70" s="784" t="s">
        <v>760</v>
      </c>
      <c r="D70" s="1004" t="str">
        <f>"Consider working with a cooling tower water treatment vendor to improve your cycles of concentration. "&amp;"By increasing your cycles of concentration to "&amp;$G$89&amp;", you could reduce your cooling tower water use by approximately "&amp;IF(ISNUMBER($E63),TEXT(($O63/$E63)*100,"0"),"0")&amp;" percent or "&amp;TEXT(ROUNDDOWN($O63,-3),"#,##0")&amp;" gallons per year, saving you about $"&amp;TEXT(ROUNDDOWN($O63*(ConvertedWaterRate+ConvertedWastewaterRate),-1),"#,##0")&amp;" in water costs annually."</f>
        <v>Consider working with a cooling tower water treatment vendor to improve your cycles of concentration. By increasing your cycles of concentration to 6, you could reduce your cooling tower water use by approximately 0 percent or 0 gallons per year, saving you about $0 in water costs annually.</v>
      </c>
      <c r="E70" s="1004"/>
      <c r="F70" s="1004"/>
      <c r="G70" s="1004"/>
      <c r="H70" s="1004"/>
      <c r="I70" s="1004"/>
      <c r="J70" s="1004"/>
      <c r="K70" s="1004"/>
      <c r="L70" s="419"/>
      <c r="M70" s="59"/>
      <c r="N70" s="59"/>
      <c r="O70" s="59"/>
      <c r="P70" s="59"/>
      <c r="Q70" s="59"/>
      <c r="R70" s="59"/>
      <c r="S70" s="59"/>
      <c r="T70" s="59"/>
      <c r="U70" s="59"/>
      <c r="V70" s="59"/>
      <c r="W70" s="59"/>
      <c r="X70" s="59"/>
      <c r="Y70" s="59"/>
      <c r="Z70" s="59"/>
      <c r="AA70" s="59"/>
      <c r="AB70" s="59"/>
      <c r="AC70" s="59"/>
      <c r="AD70" s="59"/>
      <c r="AE70" s="59"/>
      <c r="AF70" s="59"/>
      <c r="AG70" s="59"/>
    </row>
    <row r="71" spans="1:33" s="629" customFormat="1" ht="50.25" customHeight="1" hidden="1">
      <c r="A71" s="58"/>
      <c r="B71" s="419"/>
      <c r="C71" s="784" t="s">
        <v>760</v>
      </c>
      <c r="D71" s="1004" t="s">
        <v>739</v>
      </c>
      <c r="E71" s="1004"/>
      <c r="F71" s="1004"/>
      <c r="G71" s="1004"/>
      <c r="H71" s="1004"/>
      <c r="I71" s="1004"/>
      <c r="J71" s="1004"/>
      <c r="K71" s="1004"/>
      <c r="L71" s="419"/>
      <c r="M71" s="59"/>
      <c r="N71" s="59"/>
      <c r="O71" s="59"/>
      <c r="P71" s="59"/>
      <c r="Q71" s="59"/>
      <c r="R71" s="59"/>
      <c r="S71" s="59"/>
      <c r="T71" s="59"/>
      <c r="U71" s="59"/>
      <c r="V71" s="59"/>
      <c r="W71" s="59"/>
      <c r="X71" s="59"/>
      <c r="Y71" s="59"/>
      <c r="Z71" s="59"/>
      <c r="AA71" s="59"/>
      <c r="AB71" s="59"/>
      <c r="AC71" s="59"/>
      <c r="AD71" s="59"/>
      <c r="AE71" s="59"/>
      <c r="AF71" s="59"/>
      <c r="AG71" s="59"/>
    </row>
    <row r="72" spans="1:33" s="390" customFormat="1" ht="54.75" customHeight="1" hidden="1">
      <c r="A72" s="50"/>
      <c r="B72" s="418"/>
      <c r="C72" s="784" t="s">
        <v>760</v>
      </c>
      <c r="D72" s="1004" t="s">
        <v>731</v>
      </c>
      <c r="E72" s="1004"/>
      <c r="F72" s="1004"/>
      <c r="G72" s="1004"/>
      <c r="H72" s="1004"/>
      <c r="I72" s="1004"/>
      <c r="J72" s="1004"/>
      <c r="K72" s="1004"/>
      <c r="L72" s="418"/>
      <c r="M72" s="60"/>
      <c r="N72" s="60"/>
      <c r="O72" s="60"/>
      <c r="P72" s="60"/>
      <c r="Q72" s="60"/>
      <c r="R72" s="60"/>
      <c r="S72" s="60"/>
      <c r="T72" s="60"/>
      <c r="U72" s="60"/>
      <c r="V72" s="60"/>
      <c r="W72" s="60"/>
      <c r="X72" s="60"/>
      <c r="Y72" s="60"/>
      <c r="Z72" s="60"/>
      <c r="AA72" s="60"/>
      <c r="AB72" s="60"/>
      <c r="AC72" s="60"/>
      <c r="AD72" s="60"/>
      <c r="AE72" s="60"/>
      <c r="AF72" s="60"/>
      <c r="AG72" s="60"/>
    </row>
    <row r="73" spans="1:33" ht="44.25" customHeight="1" hidden="1">
      <c r="A73" s="13"/>
      <c r="B73"/>
      <c r="C73" s="784" t="s">
        <v>760</v>
      </c>
      <c r="D73" s="1004" t="s">
        <v>732</v>
      </c>
      <c r="E73" s="1004"/>
      <c r="F73" s="1004"/>
      <c r="G73" s="1004"/>
      <c r="H73" s="1004"/>
      <c r="I73" s="1004"/>
      <c r="J73" s="1004"/>
      <c r="K73" s="1004"/>
      <c r="L73"/>
      <c r="M73" s="37"/>
      <c r="N73" s="37"/>
      <c r="O73" s="37"/>
      <c r="P73" s="37"/>
      <c r="Q73" s="37"/>
      <c r="R73" s="37"/>
      <c r="S73" s="37"/>
      <c r="T73" s="37"/>
      <c r="U73" s="37"/>
      <c r="V73" s="37"/>
      <c r="W73" s="37"/>
      <c r="X73" s="37"/>
      <c r="Y73" s="37"/>
      <c r="Z73" s="37"/>
      <c r="AA73" s="37"/>
      <c r="AB73" s="37"/>
      <c r="AC73" s="37"/>
      <c r="AD73" s="37"/>
      <c r="AE73" s="37"/>
      <c r="AF73" s="37"/>
      <c r="AG73" s="37"/>
    </row>
    <row r="74" spans="1:33" s="629" customFormat="1" ht="36.75" customHeight="1" hidden="1">
      <c r="A74" s="58"/>
      <c r="B74" s="419"/>
      <c r="C74" s="784" t="s">
        <v>760</v>
      </c>
      <c r="D74" s="1004" t="s">
        <v>733</v>
      </c>
      <c r="E74" s="1004"/>
      <c r="F74" s="1004"/>
      <c r="G74" s="1004"/>
      <c r="H74" s="1004"/>
      <c r="I74" s="1004"/>
      <c r="J74" s="1004"/>
      <c r="K74" s="1004"/>
      <c r="L74" s="419"/>
      <c r="M74" s="59"/>
      <c r="N74" s="59"/>
      <c r="O74" s="59"/>
      <c r="P74" s="59"/>
      <c r="Q74" s="59"/>
      <c r="R74" s="59"/>
      <c r="S74" s="59"/>
      <c r="T74" s="59"/>
      <c r="U74" s="59"/>
      <c r="V74" s="59"/>
      <c r="W74" s="59"/>
      <c r="X74" s="59"/>
      <c r="Y74" s="59"/>
      <c r="Z74" s="59"/>
      <c r="AA74" s="59"/>
      <c r="AB74" s="59"/>
      <c r="AC74" s="59"/>
      <c r="AD74" s="59"/>
      <c r="AE74" s="59"/>
      <c r="AF74" s="59"/>
      <c r="AG74" s="59"/>
    </row>
    <row r="75" spans="1:33" s="629" customFormat="1" ht="69.75" customHeight="1" hidden="1">
      <c r="A75" s="58"/>
      <c r="B75" s="419"/>
      <c r="C75" s="784" t="s">
        <v>760</v>
      </c>
      <c r="D75" s="1004" t="s">
        <v>734</v>
      </c>
      <c r="E75" s="1004"/>
      <c r="F75" s="1004"/>
      <c r="G75" s="1004"/>
      <c r="H75" s="1004"/>
      <c r="I75" s="1004"/>
      <c r="J75" s="1004"/>
      <c r="K75" s="1004"/>
      <c r="L75" s="419"/>
      <c r="M75" s="59"/>
      <c r="N75" s="59"/>
      <c r="O75" s="59"/>
      <c r="P75" s="59"/>
      <c r="Q75" s="59"/>
      <c r="R75" s="59"/>
      <c r="S75" s="59"/>
      <c r="T75" s="59"/>
      <c r="U75" s="59"/>
      <c r="V75" s="59"/>
      <c r="W75" s="59"/>
      <c r="X75" s="59"/>
      <c r="Y75" s="59"/>
      <c r="Z75" s="59"/>
      <c r="AA75" s="59"/>
      <c r="AB75" s="59"/>
      <c r="AC75" s="59"/>
      <c r="AD75" s="59"/>
      <c r="AE75" s="59"/>
      <c r="AF75" s="59"/>
      <c r="AG75" s="59"/>
    </row>
    <row r="76" spans="1:33" s="390" customFormat="1" ht="69" customHeight="1" hidden="1">
      <c r="A76" s="50"/>
      <c r="B76" s="418"/>
      <c r="C76" s="784" t="s">
        <v>760</v>
      </c>
      <c r="D76" s="1004" t="s">
        <v>735</v>
      </c>
      <c r="E76" s="1004"/>
      <c r="F76" s="1004"/>
      <c r="G76" s="1004"/>
      <c r="H76" s="1004"/>
      <c r="I76" s="1004"/>
      <c r="J76" s="1004"/>
      <c r="K76" s="1004"/>
      <c r="L76" s="418"/>
      <c r="M76" s="60"/>
      <c r="N76" s="60"/>
      <c r="O76" s="60"/>
      <c r="P76" s="60"/>
      <c r="Q76" s="60"/>
      <c r="R76" s="60"/>
      <c r="S76" s="60"/>
      <c r="T76" s="60"/>
      <c r="U76" s="60"/>
      <c r="V76" s="60"/>
      <c r="W76" s="60"/>
      <c r="X76" s="60"/>
      <c r="Y76" s="60"/>
      <c r="Z76" s="60"/>
      <c r="AA76" s="60"/>
      <c r="AB76" s="60"/>
      <c r="AC76" s="60"/>
      <c r="AD76" s="60"/>
      <c r="AE76" s="60"/>
      <c r="AF76" s="60"/>
      <c r="AG76" s="60"/>
    </row>
    <row r="77" spans="1:33" s="629" customFormat="1" ht="51" customHeight="1" hidden="1">
      <c r="A77" s="58"/>
      <c r="B77" s="419"/>
      <c r="C77" s="784" t="s">
        <v>760</v>
      </c>
      <c r="D77" s="1004" t="str">
        <f>"Your hotel could save approximately "&amp;TEXT(E64,"#,##0")&amp;" gallons of water by eliminating single-pass cooling. "&amp;"Single-pass cooling can be eliminated by modifying equipment to recirculate cooling water or by replacing single-pass water-cooled equipment with air-cooled models. "&amp;"If considering air-cooled equipment as a replacement, purchase energy efficient models."</f>
        <v>Your hotel could save approximately N/A gallons of water by eliminating single-pass cooling. Single-pass cooling can be eliminated by modifying equipment to recirculate cooling water or by replacing single-pass water-cooled equipment with air-cooled models. If considering air-cooled equipment as a replacement, purchase energy efficient models.</v>
      </c>
      <c r="E77" s="1004"/>
      <c r="F77" s="1004"/>
      <c r="G77" s="1004"/>
      <c r="H77" s="1004"/>
      <c r="I77" s="1004"/>
      <c r="J77" s="1004"/>
      <c r="K77" s="1004"/>
      <c r="L77" s="419"/>
      <c r="M77" s="59"/>
      <c r="N77" s="59"/>
      <c r="O77" s="59"/>
      <c r="P77" s="59"/>
      <c r="Q77" s="59"/>
      <c r="R77" s="59"/>
      <c r="S77" s="59"/>
      <c r="T77" s="59"/>
      <c r="U77" s="59"/>
      <c r="V77" s="59"/>
      <c r="W77" s="59"/>
      <c r="X77" s="59"/>
      <c r="Y77" s="59"/>
      <c r="Z77" s="59"/>
      <c r="AA77" s="59"/>
      <c r="AB77" s="59"/>
      <c r="AC77" s="59"/>
      <c r="AD77" s="59"/>
      <c r="AE77" s="59"/>
      <c r="AF77" s="59"/>
      <c r="AG77" s="59"/>
    </row>
    <row r="78" spans="1:33" s="629" customFormat="1" ht="45" customHeight="1" hidden="1">
      <c r="A78" s="58"/>
      <c r="B78" s="419"/>
      <c r="C78" s="784" t="s">
        <v>760</v>
      </c>
      <c r="D78" s="1004" t="s">
        <v>736</v>
      </c>
      <c r="E78" s="1004"/>
      <c r="F78" s="1004"/>
      <c r="G78" s="1004"/>
      <c r="H78" s="1004"/>
      <c r="I78" s="1004"/>
      <c r="J78" s="1004"/>
      <c r="K78" s="1004"/>
      <c r="L78" s="419"/>
      <c r="M78" s="59"/>
      <c r="N78" s="59"/>
      <c r="O78" s="59"/>
      <c r="P78" s="59"/>
      <c r="Q78" s="59"/>
      <c r="R78" s="59"/>
      <c r="S78" s="59"/>
      <c r="T78" s="59"/>
      <c r="U78" s="59"/>
      <c r="V78" s="59"/>
      <c r="W78" s="59"/>
      <c r="X78" s="59"/>
      <c r="Y78" s="59"/>
      <c r="Z78" s="59"/>
      <c r="AA78" s="59"/>
      <c r="AB78" s="59"/>
      <c r="AC78" s="59"/>
      <c r="AD78" s="59"/>
      <c r="AE78" s="59"/>
      <c r="AF78" s="59"/>
      <c r="AG78" s="59"/>
    </row>
    <row r="79" spans="1:33" s="629" customFormat="1" ht="48.75" customHeight="1" hidden="1">
      <c r="A79" s="58"/>
      <c r="B79" s="570"/>
      <c r="C79" s="784" t="s">
        <v>760</v>
      </c>
      <c r="D79" s="1004" t="s">
        <v>737</v>
      </c>
      <c r="E79" s="1004"/>
      <c r="F79" s="1004"/>
      <c r="G79" s="1004"/>
      <c r="H79" s="1004"/>
      <c r="I79" s="1004"/>
      <c r="J79" s="1004"/>
      <c r="K79" s="1004"/>
      <c r="L79" s="570"/>
      <c r="M79" s="59"/>
      <c r="N79" s="59"/>
      <c r="O79" s="59"/>
      <c r="P79" s="59"/>
      <c r="Q79" s="59"/>
      <c r="R79" s="59"/>
      <c r="S79" s="59"/>
      <c r="T79" s="59"/>
      <c r="U79" s="59"/>
      <c r="V79" s="59"/>
      <c r="W79" s="59"/>
      <c r="X79" s="59"/>
      <c r="Y79" s="59"/>
      <c r="Z79" s="59"/>
      <c r="AA79" s="59"/>
      <c r="AB79" s="59"/>
      <c r="AC79" s="59"/>
      <c r="AD79" s="59"/>
      <c r="AE79" s="59"/>
      <c r="AF79" s="59"/>
      <c r="AG79" s="59"/>
    </row>
    <row r="80" spans="1:33" s="629" customFormat="1" ht="57" customHeight="1" hidden="1">
      <c r="A80" s="58"/>
      <c r="B80" s="605"/>
      <c r="C80" s="784" t="s">
        <v>760</v>
      </c>
      <c r="D80" s="1004" t="s">
        <v>738</v>
      </c>
      <c r="E80" s="1004"/>
      <c r="F80" s="1004"/>
      <c r="G80" s="1004"/>
      <c r="H80" s="1004"/>
      <c r="I80" s="1004"/>
      <c r="J80" s="1004"/>
      <c r="K80" s="1004"/>
      <c r="L80" s="605"/>
      <c r="M80" s="59"/>
      <c r="N80" s="59"/>
      <c r="O80" s="59"/>
      <c r="P80" s="59"/>
      <c r="Q80" s="59"/>
      <c r="R80" s="59"/>
      <c r="S80" s="59"/>
      <c r="T80" s="59"/>
      <c r="U80" s="59"/>
      <c r="V80" s="59"/>
      <c r="W80" s="59"/>
      <c r="X80" s="59"/>
      <c r="Y80" s="59"/>
      <c r="Z80" s="59"/>
      <c r="AA80" s="59"/>
      <c r="AB80" s="59"/>
      <c r="AC80" s="59"/>
      <c r="AD80" s="59"/>
      <c r="AE80" s="59"/>
      <c r="AF80" s="59"/>
      <c r="AG80" s="59"/>
    </row>
    <row r="81" spans="1:33" s="767" customFormat="1" ht="31.5" customHeight="1" hidden="1">
      <c r="A81" s="58"/>
      <c r="B81" s="766"/>
      <c r="C81" s="785" t="s">
        <v>760</v>
      </c>
      <c r="D81" s="975" t="s">
        <v>762</v>
      </c>
      <c r="E81" s="975"/>
      <c r="F81" s="975"/>
      <c r="G81" s="975"/>
      <c r="H81" s="975"/>
      <c r="I81" s="975"/>
      <c r="J81" s="975"/>
      <c r="K81" s="975"/>
      <c r="L81" s="766"/>
      <c r="M81" s="59"/>
      <c r="N81" s="59"/>
      <c r="O81" s="59"/>
      <c r="P81" s="59"/>
      <c r="Q81" s="59"/>
      <c r="R81" s="59"/>
      <c r="S81" s="59"/>
      <c r="T81" s="59"/>
      <c r="U81" s="59"/>
      <c r="V81" s="59"/>
      <c r="W81" s="59"/>
      <c r="X81" s="59"/>
      <c r="Y81" s="59"/>
      <c r="Z81" s="59"/>
      <c r="AA81" s="59"/>
      <c r="AB81" s="59"/>
      <c r="AC81" s="59"/>
      <c r="AD81" s="59"/>
      <c r="AE81" s="59"/>
      <c r="AF81" s="59"/>
      <c r="AG81" s="59"/>
    </row>
    <row r="82" spans="1:33" s="390" customFormat="1" ht="36" customHeight="1" hidden="1">
      <c r="A82" s="50"/>
      <c r="B82" s="418"/>
      <c r="C82" s="785" t="s">
        <v>760</v>
      </c>
      <c r="D82" s="1013" t="s">
        <v>419</v>
      </c>
      <c r="E82" s="1013"/>
      <c r="F82" s="1013"/>
      <c r="G82" s="1013"/>
      <c r="H82" s="1013"/>
      <c r="I82" s="1014" t="s">
        <v>740</v>
      </c>
      <c r="J82" s="1014"/>
      <c r="K82" s="1014"/>
      <c r="M82" s="59"/>
      <c r="N82" s="60"/>
      <c r="O82" s="60"/>
      <c r="P82" s="60"/>
      <c r="Q82" s="60"/>
      <c r="R82" s="60"/>
      <c r="S82" s="60"/>
      <c r="T82" s="60"/>
      <c r="U82" s="60"/>
      <c r="V82" s="60"/>
      <c r="W82" s="60"/>
      <c r="X82" s="60"/>
      <c r="Y82" s="60"/>
      <c r="Z82" s="60"/>
      <c r="AA82" s="60"/>
      <c r="AB82" s="60"/>
      <c r="AC82" s="60"/>
      <c r="AD82" s="60"/>
      <c r="AE82" s="60"/>
      <c r="AF82" s="60"/>
      <c r="AG82" s="60"/>
    </row>
    <row r="83" spans="1:33" ht="15" hidden="1">
      <c r="A83" s="13"/>
      <c r="B83"/>
      <c r="C83" s="986"/>
      <c r="D83" s="986"/>
      <c r="E83" s="986"/>
      <c r="F83" s="986"/>
      <c r="G83" s="986"/>
      <c r="H83" s="40"/>
      <c r="I83" s="40"/>
      <c r="J83" s="309"/>
      <c r="K83" s="309"/>
      <c r="L83"/>
      <c r="M83" s="37"/>
      <c r="N83" s="37"/>
      <c r="O83" s="37"/>
      <c r="P83" s="37"/>
      <c r="Q83" s="37"/>
      <c r="R83" s="37"/>
      <c r="S83" s="37"/>
      <c r="T83" s="37"/>
      <c r="U83" s="37"/>
      <c r="V83" s="37"/>
      <c r="W83" s="37"/>
      <c r="X83" s="37"/>
      <c r="Y83" s="37"/>
      <c r="Z83" s="37"/>
      <c r="AA83" s="37"/>
      <c r="AB83" s="37"/>
      <c r="AC83" s="37"/>
      <c r="AD83" s="37"/>
      <c r="AE83" s="37"/>
      <c r="AF83" s="37"/>
      <c r="AG83" s="37"/>
    </row>
    <row r="84" spans="1:33" ht="15" hidden="1">
      <c r="A84" s="13"/>
      <c r="B84"/>
      <c r="C84"/>
      <c r="D84"/>
      <c r="E84" s="394"/>
      <c r="F84" s="9"/>
      <c r="G84" s="9"/>
      <c r="H84" s="9"/>
      <c r="I84" s="9"/>
      <c r="J84" s="9"/>
      <c r="K84" s="9"/>
      <c r="L84"/>
      <c r="M84" s="37"/>
      <c r="N84" s="37"/>
      <c r="O84" s="37"/>
      <c r="P84" s="37"/>
      <c r="Q84" s="37"/>
      <c r="R84" s="37"/>
      <c r="S84" s="37"/>
      <c r="T84" s="37"/>
      <c r="U84" s="37"/>
      <c r="V84" s="37"/>
      <c r="W84" s="37"/>
      <c r="X84" s="37"/>
      <c r="Y84" s="37"/>
      <c r="Z84" s="37"/>
      <c r="AA84" s="37"/>
      <c r="AB84" s="37"/>
      <c r="AC84" s="37"/>
      <c r="AD84" s="37"/>
      <c r="AE84" s="37"/>
      <c r="AF84" s="37"/>
      <c r="AG84" s="37"/>
    </row>
    <row r="85" spans="1:33" ht="18.75" hidden="1">
      <c r="A85" s="13"/>
      <c r="B85"/>
      <c r="C85" s="872" t="s">
        <v>767</v>
      </c>
      <c r="D85" s="872"/>
      <c r="E85" s="872"/>
      <c r="F85" s="872"/>
      <c r="G85"/>
      <c r="H85"/>
      <c r="I85"/>
      <c r="J85"/>
      <c r="K85"/>
      <c r="L85"/>
      <c r="M85" s="37"/>
      <c r="N85" s="37"/>
      <c r="O85" s="37"/>
      <c r="P85" s="37"/>
      <c r="Q85" s="37"/>
      <c r="R85" s="37"/>
      <c r="S85" s="37"/>
      <c r="T85" s="37"/>
      <c r="U85" s="37"/>
      <c r="V85" s="37"/>
      <c r="W85" s="37"/>
      <c r="X85" s="37"/>
      <c r="Y85" s="37"/>
      <c r="Z85" s="37"/>
      <c r="AA85" s="37"/>
      <c r="AB85" s="37"/>
      <c r="AC85" s="37"/>
      <c r="AD85" s="37"/>
      <c r="AE85" s="37"/>
      <c r="AF85" s="37"/>
      <c r="AG85" s="37"/>
    </row>
    <row r="86" spans="1:33" s="12" customFormat="1" ht="27" customHeight="1" hidden="1">
      <c r="A86" s="13"/>
      <c r="B86" s="410"/>
      <c r="C86" s="934" t="s">
        <v>801</v>
      </c>
      <c r="D86" s="934"/>
      <c r="E86" s="934"/>
      <c r="F86" s="934"/>
      <c r="G86" s="934"/>
      <c r="H86" s="934"/>
      <c r="I86" s="934"/>
      <c r="J86" s="934"/>
      <c r="K86" s="934"/>
      <c r="L86" s="3"/>
      <c r="M86" s="37"/>
      <c r="N86" s="13"/>
      <c r="O86" s="13"/>
      <c r="P86" s="13"/>
      <c r="Q86" s="13"/>
      <c r="R86" s="13"/>
      <c r="S86" s="13"/>
      <c r="T86" s="13"/>
      <c r="U86" s="13"/>
      <c r="V86" s="13"/>
      <c r="W86" s="13"/>
      <c r="X86" s="13"/>
      <c r="Y86" s="13"/>
      <c r="Z86" s="13"/>
      <c r="AA86" s="13"/>
      <c r="AB86" s="13"/>
      <c r="AC86" s="13"/>
      <c r="AD86" s="13"/>
      <c r="AE86" s="13"/>
      <c r="AF86" s="13"/>
      <c r="AG86" s="13"/>
    </row>
    <row r="87" spans="1:33" ht="15" hidden="1">
      <c r="A87" s="13"/>
      <c r="B87"/>
      <c r="C87" s="998" t="s">
        <v>339</v>
      </c>
      <c r="D87" s="998"/>
      <c r="E87" s="998"/>
      <c r="F87" s="999"/>
      <c r="G87" s="545">
        <v>1.8</v>
      </c>
      <c r="H87"/>
      <c r="I87"/>
      <c r="J87"/>
      <c r="K87"/>
      <c r="L87"/>
      <c r="M87" s="37"/>
      <c r="N87" s="37"/>
      <c r="O87" s="37"/>
      <c r="P87" s="37"/>
      <c r="Q87" s="37"/>
      <c r="R87" s="37"/>
      <c r="S87" s="37"/>
      <c r="T87" s="37"/>
      <c r="U87" s="37"/>
      <c r="V87" s="37"/>
      <c r="W87" s="37"/>
      <c r="X87" s="37"/>
      <c r="Y87" s="37"/>
      <c r="Z87" s="37"/>
      <c r="AA87" s="37"/>
      <c r="AB87" s="37"/>
      <c r="AC87" s="37"/>
      <c r="AD87" s="37"/>
      <c r="AE87" s="37"/>
      <c r="AF87" s="37"/>
      <c r="AG87" s="37"/>
    </row>
    <row r="88" spans="1:33" ht="15" hidden="1">
      <c r="A88" s="13"/>
      <c r="B88"/>
      <c r="C88" s="998" t="s">
        <v>458</v>
      </c>
      <c r="D88" s="998"/>
      <c r="E88" s="998"/>
      <c r="F88" s="999"/>
      <c r="G88" s="603">
        <v>0.3</v>
      </c>
      <c r="H88"/>
      <c r="I88"/>
      <c r="J88"/>
      <c r="K88"/>
      <c r="L88"/>
      <c r="M88" s="37"/>
      <c r="N88" s="37"/>
      <c r="O88" s="37"/>
      <c r="P88" s="37"/>
      <c r="Q88" s="37"/>
      <c r="R88" s="37"/>
      <c r="S88" s="37"/>
      <c r="T88" s="37"/>
      <c r="U88" s="37"/>
      <c r="V88" s="37"/>
      <c r="W88" s="37"/>
      <c r="X88" s="37"/>
      <c r="Y88" s="37"/>
      <c r="Z88" s="37"/>
      <c r="AA88" s="37"/>
      <c r="AB88" s="37"/>
      <c r="AC88" s="37"/>
      <c r="AD88" s="37"/>
      <c r="AE88" s="37"/>
      <c r="AF88" s="37"/>
      <c r="AG88" s="37"/>
    </row>
    <row r="89" spans="1:33" ht="15" hidden="1">
      <c r="A89" s="13"/>
      <c r="B89"/>
      <c r="C89" s="998" t="s">
        <v>745</v>
      </c>
      <c r="D89" s="998"/>
      <c r="E89" s="998"/>
      <c r="F89" s="999"/>
      <c r="G89" s="544">
        <v>6</v>
      </c>
      <c r="H89"/>
      <c r="I89"/>
      <c r="J89"/>
      <c r="K89"/>
      <c r="L89"/>
      <c r="M89" s="37"/>
      <c r="N89" s="37"/>
      <c r="O89" s="37"/>
      <c r="P89" s="37"/>
      <c r="Q89" s="37"/>
      <c r="R89" s="37"/>
      <c r="S89" s="37"/>
      <c r="T89" s="37"/>
      <c r="U89" s="37"/>
      <c r="V89" s="37"/>
      <c r="W89" s="37"/>
      <c r="X89" s="37"/>
      <c r="Y89" s="37"/>
      <c r="Z89" s="37"/>
      <c r="AA89" s="37"/>
      <c r="AB89" s="37"/>
      <c r="AC89" s="37"/>
      <c r="AD89" s="37"/>
      <c r="AE89" s="37"/>
      <c r="AF89" s="37"/>
      <c r="AG89" s="37"/>
    </row>
    <row r="90" spans="1:33" ht="15" hidden="1">
      <c r="A90" s="13"/>
      <c r="B90"/>
      <c r="C90"/>
      <c r="D90"/>
      <c r="E90"/>
      <c r="F90"/>
      <c r="G90"/>
      <c r="H90"/>
      <c r="I90"/>
      <c r="J90"/>
      <c r="K90"/>
      <c r="L90"/>
      <c r="M90" s="37"/>
      <c r="N90" s="37"/>
      <c r="O90" s="37"/>
      <c r="P90" s="37"/>
      <c r="Q90" s="37"/>
      <c r="R90" s="37"/>
      <c r="S90" s="37"/>
      <c r="T90" s="37"/>
      <c r="U90" s="37"/>
      <c r="V90" s="37"/>
      <c r="W90" s="37"/>
      <c r="X90" s="37"/>
      <c r="Y90" s="37"/>
      <c r="Z90" s="37"/>
      <c r="AA90" s="37"/>
      <c r="AB90" s="37"/>
      <c r="AC90" s="37"/>
      <c r="AD90" s="37"/>
      <c r="AE90" s="37"/>
      <c r="AF90" s="37"/>
      <c r="AG90" s="37"/>
    </row>
    <row r="91" spans="1:33" s="12" customFormat="1" ht="51" customHeight="1" hidden="1">
      <c r="A91" s="13"/>
      <c r="B91" s="39"/>
      <c r="E91" s="967" t="s">
        <v>741</v>
      </c>
      <c r="F91" s="967"/>
      <c r="G91" s="967"/>
      <c r="H91" s="967"/>
      <c r="I91" s="967"/>
      <c r="J91" s="967"/>
      <c r="K91" s="302"/>
      <c r="L91" s="39"/>
      <c r="M91" s="37"/>
      <c r="N91" s="13"/>
      <c r="O91" s="13"/>
      <c r="P91" s="13"/>
      <c r="Q91" s="13"/>
      <c r="R91" s="13"/>
      <c r="S91" s="13"/>
      <c r="T91" s="13"/>
      <c r="U91" s="13"/>
      <c r="V91" s="13"/>
      <c r="W91" s="13"/>
      <c r="X91" s="13"/>
      <c r="Y91" s="13"/>
      <c r="Z91" s="13"/>
      <c r="AA91" s="13"/>
      <c r="AB91" s="13"/>
      <c r="AC91" s="13"/>
      <c r="AD91" s="13"/>
      <c r="AE91" s="13"/>
      <c r="AF91" s="13"/>
      <c r="AG91" s="13"/>
    </row>
    <row r="92" spans="1:33" ht="15">
      <c r="A92" s="13"/>
      <c r="B92" s="654" t="s">
        <v>877</v>
      </c>
      <c r="C92" s="37"/>
      <c r="D92" s="37"/>
      <c r="E92" s="37"/>
      <c r="F92" s="37"/>
      <c r="G92" s="37"/>
      <c r="H92" s="37"/>
      <c r="I92" s="37"/>
      <c r="J92" s="37"/>
      <c r="K92" s="37"/>
      <c r="L92" s="37"/>
      <c r="M92" s="37"/>
      <c r="N92" s="37"/>
      <c r="O92" s="37"/>
      <c r="P92" s="37"/>
      <c r="Q92" s="37"/>
      <c r="R92" s="37"/>
      <c r="S92" s="37"/>
      <c r="T92" s="37"/>
      <c r="U92" s="37"/>
      <c r="V92" s="37"/>
      <c r="W92" s="37"/>
      <c r="X92" s="37"/>
      <c r="Y92" s="37"/>
      <c r="Z92" s="37"/>
      <c r="AA92" s="37"/>
      <c r="AB92" s="37"/>
      <c r="AC92" s="37"/>
      <c r="AD92" s="37"/>
      <c r="AE92" s="37"/>
      <c r="AF92" s="37"/>
      <c r="AG92" s="37"/>
    </row>
    <row r="93" spans="1:33" ht="15">
      <c r="A93" s="13"/>
      <c r="B93" s="37"/>
      <c r="C93" s="37"/>
      <c r="D93" s="37"/>
      <c r="E93" s="37"/>
      <c r="F93" s="37"/>
      <c r="G93" s="37"/>
      <c r="H93" s="37"/>
      <c r="I93" s="37"/>
      <c r="J93" s="37"/>
      <c r="K93" s="37"/>
      <c r="L93" s="37"/>
      <c r="M93" s="37"/>
      <c r="N93" s="37"/>
      <c r="O93" s="37"/>
      <c r="P93" s="37"/>
      <c r="Q93" s="37"/>
      <c r="R93" s="37"/>
      <c r="S93" s="37"/>
      <c r="T93" s="37"/>
      <c r="U93" s="37"/>
      <c r="V93" s="37"/>
      <c r="W93" s="37"/>
      <c r="X93" s="37"/>
      <c r="Y93" s="37"/>
      <c r="Z93" s="37"/>
      <c r="AA93" s="37"/>
      <c r="AB93" s="37"/>
      <c r="AC93" s="37"/>
      <c r="AD93" s="37"/>
      <c r="AE93" s="37"/>
      <c r="AF93" s="37"/>
      <c r="AG93" s="37"/>
    </row>
    <row r="94" spans="1:33" ht="15">
      <c r="A94" s="13"/>
      <c r="B94" s="37"/>
      <c r="C94" s="37"/>
      <c r="D94" s="37"/>
      <c r="E94" s="37"/>
      <c r="F94" s="37"/>
      <c r="G94" s="37"/>
      <c r="H94" s="37"/>
      <c r="I94" s="37"/>
      <c r="J94" s="37"/>
      <c r="K94" s="37"/>
      <c r="L94" s="37"/>
      <c r="M94" s="37"/>
      <c r="N94" s="37"/>
      <c r="O94" s="37"/>
      <c r="P94" s="37"/>
      <c r="Q94" s="37"/>
      <c r="R94" s="37"/>
      <c r="S94" s="37"/>
      <c r="T94" s="37"/>
      <c r="U94" s="37"/>
      <c r="V94" s="37"/>
      <c r="W94" s="37"/>
      <c r="X94" s="37"/>
      <c r="Y94" s="37"/>
      <c r="Z94" s="37"/>
      <c r="AA94" s="37"/>
      <c r="AB94" s="37"/>
      <c r="AC94" s="37"/>
      <c r="AD94" s="37"/>
      <c r="AE94" s="37"/>
      <c r="AF94" s="37"/>
      <c r="AG94" s="37"/>
    </row>
    <row r="95" spans="1:33" ht="15">
      <c r="A95" s="13"/>
      <c r="B95" s="37"/>
      <c r="C95" s="37"/>
      <c r="D95" s="37"/>
      <c r="E95" s="37"/>
      <c r="F95" s="37"/>
      <c r="G95" s="37"/>
      <c r="H95" s="37"/>
      <c r="I95" s="37"/>
      <c r="J95" s="37"/>
      <c r="K95" s="37"/>
      <c r="L95" s="37"/>
      <c r="M95" s="37"/>
      <c r="N95" s="37"/>
      <c r="O95" s="37"/>
      <c r="P95" s="37"/>
      <c r="Q95" s="37"/>
      <c r="R95" s="37"/>
      <c r="S95" s="37"/>
      <c r="T95" s="37"/>
      <c r="U95" s="37"/>
      <c r="V95" s="37"/>
      <c r="W95" s="37"/>
      <c r="X95" s="37"/>
      <c r="Y95" s="37"/>
      <c r="Z95" s="37"/>
      <c r="AA95" s="37"/>
      <c r="AB95" s="37"/>
      <c r="AC95" s="37"/>
      <c r="AD95" s="37"/>
      <c r="AE95" s="37"/>
      <c r="AF95" s="37"/>
      <c r="AG95" s="37"/>
    </row>
    <row r="96" spans="1:33" ht="15">
      <c r="A96" s="13"/>
      <c r="B96" s="37"/>
      <c r="C96" s="37"/>
      <c r="D96" s="37"/>
      <c r="E96" s="37"/>
      <c r="F96" s="37"/>
      <c r="G96" s="37"/>
      <c r="H96" s="37"/>
      <c r="I96" s="37"/>
      <c r="J96" s="37"/>
      <c r="K96" s="37"/>
      <c r="L96" s="37"/>
      <c r="M96" s="37"/>
      <c r="N96" s="37"/>
      <c r="O96" s="37"/>
      <c r="P96" s="37"/>
      <c r="Q96" s="37"/>
      <c r="R96" s="37"/>
      <c r="S96" s="37"/>
      <c r="T96" s="37"/>
      <c r="U96" s="37"/>
      <c r="V96" s="37"/>
      <c r="W96" s="37"/>
      <c r="X96" s="37"/>
      <c r="Y96" s="37"/>
      <c r="Z96" s="37"/>
      <c r="AA96" s="37"/>
      <c r="AB96" s="37"/>
      <c r="AC96" s="37"/>
      <c r="AD96" s="37"/>
      <c r="AE96" s="37"/>
      <c r="AF96" s="37"/>
      <c r="AG96" s="37"/>
    </row>
    <row r="97" spans="1:33" ht="15">
      <c r="A97" s="13"/>
      <c r="B97" s="37"/>
      <c r="C97" s="37"/>
      <c r="D97" s="37"/>
      <c r="E97" s="37"/>
      <c r="F97" s="37"/>
      <c r="G97" s="37"/>
      <c r="H97" s="37"/>
      <c r="I97" s="37"/>
      <c r="J97" s="37"/>
      <c r="K97" s="37"/>
      <c r="L97" s="37"/>
      <c r="M97" s="37"/>
      <c r="N97" s="37"/>
      <c r="O97" s="37"/>
      <c r="P97" s="37"/>
      <c r="Q97" s="37"/>
      <c r="R97" s="37"/>
      <c r="S97" s="37"/>
      <c r="T97" s="37"/>
      <c r="U97" s="37"/>
      <c r="V97" s="37"/>
      <c r="W97" s="37"/>
      <c r="X97" s="37"/>
      <c r="Y97" s="37"/>
      <c r="Z97" s="37"/>
      <c r="AA97" s="37"/>
      <c r="AB97" s="37"/>
      <c r="AC97" s="37"/>
      <c r="AD97" s="37"/>
      <c r="AE97" s="37"/>
      <c r="AF97" s="37"/>
      <c r="AG97" s="37"/>
    </row>
    <row r="98" spans="1:33" ht="15">
      <c r="A98" s="13"/>
      <c r="B98" s="37"/>
      <c r="C98" s="37"/>
      <c r="D98" s="37"/>
      <c r="E98" s="37"/>
      <c r="F98" s="37"/>
      <c r="G98" s="37"/>
      <c r="H98" s="37"/>
      <c r="I98" s="37"/>
      <c r="J98" s="37"/>
      <c r="K98" s="37"/>
      <c r="L98" s="37"/>
      <c r="M98" s="37"/>
      <c r="N98" s="37"/>
      <c r="O98" s="37"/>
      <c r="P98" s="37"/>
      <c r="Q98" s="37"/>
      <c r="R98" s="37"/>
      <c r="S98" s="37"/>
      <c r="T98" s="37"/>
      <c r="U98" s="37"/>
      <c r="V98" s="37"/>
      <c r="W98" s="37"/>
      <c r="X98" s="37"/>
      <c r="Y98" s="37"/>
      <c r="Z98" s="37"/>
      <c r="AA98" s="37"/>
      <c r="AB98" s="37"/>
      <c r="AC98" s="37"/>
      <c r="AD98" s="37"/>
      <c r="AE98" s="37"/>
      <c r="AF98" s="37"/>
      <c r="AG98" s="37"/>
    </row>
    <row r="99" spans="1:33" ht="15">
      <c r="A99" s="13"/>
      <c r="B99" s="37"/>
      <c r="C99" s="37"/>
      <c r="D99" s="37"/>
      <c r="E99" s="37"/>
      <c r="F99" s="37"/>
      <c r="G99" s="37"/>
      <c r="H99" s="37"/>
      <c r="I99" s="37"/>
      <c r="J99" s="37"/>
      <c r="K99" s="37"/>
      <c r="L99" s="37"/>
      <c r="M99" s="37"/>
      <c r="N99" s="37"/>
      <c r="O99" s="37"/>
      <c r="P99" s="37"/>
      <c r="Q99" s="37"/>
      <c r="R99" s="37"/>
      <c r="S99" s="37"/>
      <c r="T99" s="37"/>
      <c r="U99" s="37"/>
      <c r="V99" s="37"/>
      <c r="W99" s="37"/>
      <c r="X99" s="37"/>
      <c r="Y99" s="37"/>
      <c r="Z99" s="37"/>
      <c r="AA99" s="37"/>
      <c r="AB99" s="37"/>
      <c r="AC99" s="37"/>
      <c r="AD99" s="37"/>
      <c r="AE99" s="37"/>
      <c r="AF99" s="37"/>
      <c r="AG99" s="37"/>
    </row>
    <row r="100" spans="1:33" ht="15">
      <c r="A100" s="13"/>
      <c r="B100" s="37"/>
      <c r="C100" s="37"/>
      <c r="D100" s="37"/>
      <c r="E100" s="37"/>
      <c r="F100" s="37"/>
      <c r="G100" s="37"/>
      <c r="H100" s="37"/>
      <c r="I100" s="37"/>
      <c r="J100" s="37"/>
      <c r="K100" s="37"/>
      <c r="L100" s="37"/>
      <c r="M100" s="37"/>
      <c r="N100" s="37"/>
      <c r="O100" s="37"/>
      <c r="P100" s="37"/>
      <c r="Q100" s="37"/>
      <c r="R100" s="37"/>
      <c r="S100" s="37"/>
      <c r="T100" s="37"/>
      <c r="U100" s="37"/>
      <c r="V100" s="37"/>
      <c r="W100" s="37"/>
      <c r="X100" s="37"/>
      <c r="Y100" s="37"/>
      <c r="Z100" s="37"/>
      <c r="AA100" s="37"/>
      <c r="AB100" s="37"/>
      <c r="AC100" s="37"/>
      <c r="AD100" s="37"/>
      <c r="AE100" s="37"/>
      <c r="AF100" s="37"/>
      <c r="AG100" s="37"/>
    </row>
    <row r="101" spans="1:33" ht="15">
      <c r="A101" s="13"/>
      <c r="B101" s="37"/>
      <c r="C101" s="37"/>
      <c r="D101" s="37"/>
      <c r="E101" s="37"/>
      <c r="F101" s="37"/>
      <c r="G101" s="37"/>
      <c r="H101" s="37"/>
      <c r="I101" s="37"/>
      <c r="J101" s="37"/>
      <c r="K101" s="37"/>
      <c r="L101" s="37"/>
      <c r="M101" s="37"/>
      <c r="N101" s="37"/>
      <c r="O101" s="37"/>
      <c r="P101" s="37"/>
      <c r="Q101" s="37"/>
      <c r="R101" s="37"/>
      <c r="S101" s="37"/>
      <c r="T101" s="37"/>
      <c r="U101" s="37"/>
      <c r="V101" s="37"/>
      <c r="W101" s="37"/>
      <c r="X101" s="37"/>
      <c r="Y101" s="37"/>
      <c r="Z101" s="37"/>
      <c r="AA101" s="37"/>
      <c r="AB101" s="37"/>
      <c r="AC101" s="37"/>
      <c r="AD101" s="37"/>
      <c r="AE101" s="37"/>
      <c r="AF101" s="37"/>
      <c r="AG101" s="37"/>
    </row>
    <row r="102" spans="1:33" ht="15">
      <c r="A102" s="13"/>
      <c r="B102" s="37"/>
      <c r="C102" s="37"/>
      <c r="D102" s="37"/>
      <c r="E102" s="37"/>
      <c r="F102" s="37"/>
      <c r="G102" s="37"/>
      <c r="H102" s="37"/>
      <c r="I102" s="37"/>
      <c r="J102" s="37"/>
      <c r="K102" s="37"/>
      <c r="L102" s="37"/>
      <c r="M102" s="37"/>
      <c r="N102" s="37"/>
      <c r="O102" s="37"/>
      <c r="P102" s="37"/>
      <c r="Q102" s="37"/>
      <c r="R102" s="37"/>
      <c r="S102" s="37"/>
      <c r="T102" s="37"/>
      <c r="U102" s="37"/>
      <c r="V102" s="37"/>
      <c r="W102" s="37"/>
      <c r="X102" s="37"/>
      <c r="Y102" s="37"/>
      <c r="Z102" s="37"/>
      <c r="AA102" s="37"/>
      <c r="AB102" s="37"/>
      <c r="AC102" s="37"/>
      <c r="AD102" s="37"/>
      <c r="AE102" s="37"/>
      <c r="AF102" s="37"/>
      <c r="AG102" s="37"/>
    </row>
    <row r="103" spans="1:33" ht="15">
      <c r="A103" s="13"/>
      <c r="B103" s="37"/>
      <c r="C103" s="37"/>
      <c r="D103" s="37"/>
      <c r="E103" s="37"/>
      <c r="F103" s="37"/>
      <c r="G103" s="37"/>
      <c r="H103" s="37"/>
      <c r="I103" s="37"/>
      <c r="J103" s="37"/>
      <c r="K103" s="37"/>
      <c r="L103" s="37"/>
      <c r="M103" s="37"/>
      <c r="N103" s="37"/>
      <c r="O103" s="37"/>
      <c r="P103" s="37"/>
      <c r="Q103" s="37"/>
      <c r="R103" s="37"/>
      <c r="S103" s="37"/>
      <c r="T103" s="37"/>
      <c r="U103" s="37"/>
      <c r="V103" s="37"/>
      <c r="W103" s="37"/>
      <c r="X103" s="37"/>
      <c r="Y103" s="37"/>
      <c r="Z103" s="37"/>
      <c r="AA103" s="37"/>
      <c r="AB103" s="37"/>
      <c r="AC103" s="37"/>
      <c r="AD103" s="37"/>
      <c r="AE103" s="37"/>
      <c r="AF103" s="37"/>
      <c r="AG103" s="37"/>
    </row>
    <row r="104" spans="1:33" ht="15">
      <c r="A104" s="13"/>
      <c r="B104" s="37"/>
      <c r="C104" s="37"/>
      <c r="D104" s="37"/>
      <c r="E104" s="37"/>
      <c r="F104" s="37"/>
      <c r="G104" s="37"/>
      <c r="H104" s="37"/>
      <c r="I104" s="37"/>
      <c r="J104" s="37"/>
      <c r="K104" s="37"/>
      <c r="L104" s="37"/>
      <c r="M104" s="37"/>
      <c r="N104" s="37"/>
      <c r="O104" s="37"/>
      <c r="P104" s="37"/>
      <c r="Q104" s="37"/>
      <c r="R104" s="37"/>
      <c r="S104" s="37"/>
      <c r="T104" s="37"/>
      <c r="U104" s="37"/>
      <c r="V104" s="37"/>
      <c r="W104" s="37"/>
      <c r="X104" s="37"/>
      <c r="Y104" s="37"/>
      <c r="Z104" s="37"/>
      <c r="AA104" s="37"/>
      <c r="AB104" s="37"/>
      <c r="AC104" s="37"/>
      <c r="AD104" s="37"/>
      <c r="AE104" s="37"/>
      <c r="AF104" s="37"/>
      <c r="AG104" s="37"/>
    </row>
    <row r="105" spans="1:33" ht="15">
      <c r="A105" s="13"/>
      <c r="B105" s="37"/>
      <c r="C105" s="37"/>
      <c r="D105" s="37"/>
      <c r="E105" s="37"/>
      <c r="F105" s="37"/>
      <c r="G105" s="37"/>
      <c r="H105" s="37"/>
      <c r="I105" s="37"/>
      <c r="J105" s="37"/>
      <c r="K105" s="37"/>
      <c r="L105" s="37"/>
      <c r="M105" s="37"/>
      <c r="N105" s="37"/>
      <c r="O105" s="37"/>
      <c r="P105" s="37"/>
      <c r="Q105" s="37"/>
      <c r="R105" s="37"/>
      <c r="S105" s="37"/>
      <c r="T105" s="37"/>
      <c r="U105" s="37"/>
      <c r="V105" s="37"/>
      <c r="W105" s="37"/>
      <c r="X105" s="37"/>
      <c r="Y105" s="37"/>
      <c r="Z105" s="37"/>
      <c r="AA105" s="37"/>
      <c r="AB105" s="37"/>
      <c r="AC105" s="37"/>
      <c r="AD105" s="37"/>
      <c r="AE105" s="37"/>
      <c r="AF105" s="37"/>
      <c r="AG105" s="37"/>
    </row>
    <row r="106" spans="1:33" ht="15">
      <c r="A106" s="13"/>
      <c r="B106" s="37"/>
      <c r="C106" s="37"/>
      <c r="D106" s="37"/>
      <c r="E106" s="37"/>
      <c r="F106" s="37"/>
      <c r="G106" s="37"/>
      <c r="H106" s="37"/>
      <c r="I106" s="37"/>
      <c r="J106" s="37"/>
      <c r="K106" s="37"/>
      <c r="L106" s="37"/>
      <c r="M106" s="37"/>
      <c r="N106" s="37"/>
      <c r="O106" s="37"/>
      <c r="P106" s="37"/>
      <c r="Q106" s="37"/>
      <c r="R106" s="37"/>
      <c r="S106" s="37"/>
      <c r="T106" s="37"/>
      <c r="U106" s="37"/>
      <c r="V106" s="37"/>
      <c r="W106" s="37"/>
      <c r="X106" s="37"/>
      <c r="Y106" s="37"/>
      <c r="Z106" s="37"/>
      <c r="AA106" s="37"/>
      <c r="AB106" s="37"/>
      <c r="AC106" s="37"/>
      <c r="AD106" s="37"/>
      <c r="AE106" s="37"/>
      <c r="AF106" s="37"/>
      <c r="AG106" s="37"/>
    </row>
    <row r="107" spans="1:33" ht="15">
      <c r="A107" s="13"/>
      <c r="B107" s="37"/>
      <c r="C107" s="37"/>
      <c r="D107" s="37"/>
      <c r="E107" s="37"/>
      <c r="F107" s="37"/>
      <c r="G107" s="37"/>
      <c r="H107" s="37"/>
      <c r="I107" s="37"/>
      <c r="J107" s="37"/>
      <c r="K107" s="37"/>
      <c r="L107" s="37"/>
      <c r="M107" s="37"/>
      <c r="N107" s="37"/>
      <c r="O107" s="37"/>
      <c r="P107" s="37"/>
      <c r="Q107" s="37"/>
      <c r="R107" s="37"/>
      <c r="S107" s="37"/>
      <c r="T107" s="37"/>
      <c r="U107" s="37"/>
      <c r="V107" s="37"/>
      <c r="W107" s="37"/>
      <c r="X107" s="37"/>
      <c r="Y107" s="37"/>
      <c r="Z107" s="37"/>
      <c r="AA107" s="37"/>
      <c r="AB107" s="37"/>
      <c r="AC107" s="37"/>
      <c r="AD107" s="37"/>
      <c r="AE107" s="37"/>
      <c r="AF107" s="37"/>
      <c r="AG107" s="37"/>
    </row>
    <row r="108" spans="1:33" ht="15">
      <c r="A108" s="13"/>
      <c r="B108" s="37"/>
      <c r="C108" s="37"/>
      <c r="D108" s="37"/>
      <c r="E108" s="37"/>
      <c r="F108" s="37"/>
      <c r="G108" s="37"/>
      <c r="H108" s="37"/>
      <c r="I108" s="37"/>
      <c r="J108" s="37"/>
      <c r="K108" s="37"/>
      <c r="L108" s="37"/>
      <c r="M108" s="37"/>
      <c r="N108" s="37"/>
      <c r="O108" s="37"/>
      <c r="P108" s="37"/>
      <c r="Q108" s="37"/>
      <c r="R108" s="37"/>
      <c r="S108" s="37"/>
      <c r="T108" s="37"/>
      <c r="U108" s="37"/>
      <c r="V108" s="37"/>
      <c r="W108" s="37"/>
      <c r="X108" s="37"/>
      <c r="Y108" s="37"/>
      <c r="Z108" s="37"/>
      <c r="AA108" s="37"/>
      <c r="AB108" s="37"/>
      <c r="AC108" s="37"/>
      <c r="AD108" s="37"/>
      <c r="AE108" s="37"/>
      <c r="AF108" s="37"/>
      <c r="AG108" s="37"/>
    </row>
    <row r="109" spans="1:33" ht="15">
      <c r="A109" s="13"/>
      <c r="B109" s="37"/>
      <c r="C109" s="37"/>
      <c r="D109" s="37"/>
      <c r="E109" s="37"/>
      <c r="F109" s="37"/>
      <c r="G109" s="37"/>
      <c r="H109" s="37"/>
      <c r="I109" s="37"/>
      <c r="J109" s="37"/>
      <c r="K109" s="37"/>
      <c r="L109" s="37"/>
      <c r="M109" s="37"/>
      <c r="N109" s="37"/>
      <c r="O109" s="37"/>
      <c r="P109" s="37"/>
      <c r="Q109" s="37"/>
      <c r="R109" s="37"/>
      <c r="S109" s="37"/>
      <c r="T109" s="37"/>
      <c r="U109" s="37"/>
      <c r="V109" s="37"/>
      <c r="W109" s="37"/>
      <c r="X109" s="37"/>
      <c r="Y109" s="37"/>
      <c r="Z109" s="37"/>
      <c r="AA109" s="37"/>
      <c r="AB109" s="37"/>
      <c r="AC109" s="37"/>
      <c r="AD109" s="37"/>
      <c r="AE109" s="37"/>
      <c r="AF109" s="37"/>
      <c r="AG109" s="37"/>
    </row>
    <row r="110" spans="1:33" ht="15">
      <c r="A110" s="13"/>
      <c r="B110" s="37"/>
      <c r="C110" s="37"/>
      <c r="D110" s="37"/>
      <c r="E110" s="37"/>
      <c r="F110" s="37"/>
      <c r="G110" s="37"/>
      <c r="H110" s="37"/>
      <c r="I110" s="37"/>
      <c r="J110" s="37"/>
      <c r="K110" s="37"/>
      <c r="L110" s="37"/>
      <c r="M110" s="37"/>
      <c r="N110" s="37"/>
      <c r="O110" s="37"/>
      <c r="P110" s="37"/>
      <c r="Q110" s="37"/>
      <c r="R110" s="37"/>
      <c r="S110" s="37"/>
      <c r="T110" s="37"/>
      <c r="U110" s="37"/>
      <c r="V110" s="37"/>
      <c r="W110" s="37"/>
      <c r="X110" s="37"/>
      <c r="Y110" s="37"/>
      <c r="Z110" s="37"/>
      <c r="AA110" s="37"/>
      <c r="AB110" s="37"/>
      <c r="AC110" s="37"/>
      <c r="AD110" s="37"/>
      <c r="AE110" s="37"/>
      <c r="AF110" s="37"/>
      <c r="AG110" s="37"/>
    </row>
    <row r="111" spans="1:33" ht="15">
      <c r="A111" s="13"/>
      <c r="B111" s="37"/>
      <c r="C111" s="37"/>
      <c r="D111" s="37"/>
      <c r="E111" s="37"/>
      <c r="F111" s="37"/>
      <c r="G111" s="37"/>
      <c r="H111" s="37"/>
      <c r="I111" s="37"/>
      <c r="J111" s="37"/>
      <c r="K111" s="37"/>
      <c r="L111" s="37"/>
      <c r="M111" s="37"/>
      <c r="N111" s="37"/>
      <c r="O111" s="37"/>
      <c r="P111" s="37"/>
      <c r="Q111" s="37"/>
      <c r="R111" s="37"/>
      <c r="S111" s="37"/>
      <c r="T111" s="37"/>
      <c r="U111" s="37"/>
      <c r="V111" s="37"/>
      <c r="W111" s="37"/>
      <c r="X111" s="37"/>
      <c r="Y111" s="37"/>
      <c r="Z111" s="37"/>
      <c r="AA111" s="37"/>
      <c r="AB111" s="37"/>
      <c r="AC111" s="37"/>
      <c r="AD111" s="37"/>
      <c r="AE111" s="37"/>
      <c r="AF111" s="37"/>
      <c r="AG111" s="37"/>
    </row>
    <row r="112" spans="1:33" ht="15">
      <c r="A112" s="13"/>
      <c r="B112" s="37"/>
      <c r="C112" s="37"/>
      <c r="D112" s="37"/>
      <c r="E112" s="37"/>
      <c r="F112" s="37"/>
      <c r="G112" s="37"/>
      <c r="H112" s="37"/>
      <c r="I112" s="37"/>
      <c r="J112" s="37"/>
      <c r="K112" s="37"/>
      <c r="L112" s="37"/>
      <c r="M112" s="37"/>
      <c r="N112" s="37"/>
      <c r="O112" s="37"/>
      <c r="P112" s="37"/>
      <c r="Q112" s="37"/>
      <c r="R112" s="37"/>
      <c r="S112" s="37"/>
      <c r="T112" s="37"/>
      <c r="U112" s="37"/>
      <c r="V112" s="37"/>
      <c r="W112" s="37"/>
      <c r="X112" s="37"/>
      <c r="Y112" s="37"/>
      <c r="Z112" s="37"/>
      <c r="AA112" s="37"/>
      <c r="AB112" s="37"/>
      <c r="AC112" s="37"/>
      <c r="AD112" s="37"/>
      <c r="AE112" s="37"/>
      <c r="AF112" s="37"/>
      <c r="AG112" s="37"/>
    </row>
    <row r="113" spans="1:33" ht="15">
      <c r="A113" s="13"/>
      <c r="B113" s="37"/>
      <c r="C113" s="37"/>
      <c r="D113" s="37"/>
      <c r="E113" s="37"/>
      <c r="F113" s="37"/>
      <c r="G113" s="37"/>
      <c r="H113" s="37"/>
      <c r="I113" s="37"/>
      <c r="J113" s="37"/>
      <c r="K113" s="37"/>
      <c r="L113" s="37"/>
      <c r="M113" s="37"/>
      <c r="N113" s="37"/>
      <c r="O113" s="37"/>
      <c r="P113" s="37"/>
      <c r="Q113" s="37"/>
      <c r="R113" s="37"/>
      <c r="S113" s="37"/>
      <c r="T113" s="37"/>
      <c r="U113" s="37"/>
      <c r="V113" s="37"/>
      <c r="W113" s="37"/>
      <c r="X113" s="37"/>
      <c r="Y113" s="37"/>
      <c r="Z113" s="37"/>
      <c r="AA113" s="37"/>
      <c r="AB113" s="37"/>
      <c r="AC113" s="37"/>
      <c r="AD113" s="37"/>
      <c r="AE113" s="37"/>
      <c r="AF113" s="37"/>
      <c r="AG113" s="37"/>
    </row>
    <row r="114" spans="1:33" ht="15">
      <c r="A114" s="13"/>
      <c r="B114" s="37"/>
      <c r="C114" s="37"/>
      <c r="D114" s="37"/>
      <c r="E114" s="37"/>
      <c r="F114" s="37"/>
      <c r="G114" s="37"/>
      <c r="H114" s="37"/>
      <c r="I114" s="37"/>
      <c r="J114" s="37"/>
      <c r="K114" s="37"/>
      <c r="L114" s="37"/>
      <c r="M114" s="37"/>
      <c r="N114" s="37"/>
      <c r="O114" s="37"/>
      <c r="P114" s="37"/>
      <c r="Q114" s="37"/>
      <c r="R114" s="37"/>
      <c r="S114" s="37"/>
      <c r="T114" s="37"/>
      <c r="U114" s="37"/>
      <c r="V114" s="37"/>
      <c r="W114" s="37"/>
      <c r="X114" s="37"/>
      <c r="Y114" s="37"/>
      <c r="Z114" s="37"/>
      <c r="AA114" s="37"/>
      <c r="AB114" s="37"/>
      <c r="AC114" s="37"/>
      <c r="AD114" s="37"/>
      <c r="AE114" s="37"/>
      <c r="AF114" s="37"/>
      <c r="AG114" s="37"/>
    </row>
    <row r="115" spans="1:33" ht="15">
      <c r="A115" s="13"/>
      <c r="B115" s="37"/>
      <c r="C115" s="37"/>
      <c r="D115" s="37"/>
      <c r="E115" s="37"/>
      <c r="F115" s="37"/>
      <c r="G115" s="37"/>
      <c r="H115" s="37"/>
      <c r="I115" s="37"/>
      <c r="J115" s="37"/>
      <c r="K115" s="37"/>
      <c r="L115" s="37"/>
      <c r="M115" s="37"/>
      <c r="N115" s="37"/>
      <c r="O115" s="37"/>
      <c r="P115" s="37"/>
      <c r="Q115" s="37"/>
      <c r="R115" s="37"/>
      <c r="S115" s="37"/>
      <c r="T115" s="37"/>
      <c r="U115" s="37"/>
      <c r="V115" s="37"/>
      <c r="W115" s="37"/>
      <c r="X115" s="37"/>
      <c r="Y115" s="37"/>
      <c r="Z115" s="37"/>
      <c r="AA115" s="37"/>
      <c r="AB115" s="37"/>
      <c r="AC115" s="37"/>
      <c r="AD115" s="37"/>
      <c r="AE115" s="37"/>
      <c r="AF115" s="37"/>
      <c r="AG115" s="37"/>
    </row>
    <row r="116" spans="1:33" ht="15">
      <c r="A116" s="13"/>
      <c r="B116" s="37"/>
      <c r="C116" s="37"/>
      <c r="D116" s="37"/>
      <c r="E116" s="37"/>
      <c r="F116" s="37"/>
      <c r="G116" s="37"/>
      <c r="H116" s="37"/>
      <c r="I116" s="37"/>
      <c r="J116" s="37"/>
      <c r="K116" s="37"/>
      <c r="L116" s="37"/>
      <c r="M116" s="37"/>
      <c r="N116" s="37"/>
      <c r="O116" s="37"/>
      <c r="P116" s="37"/>
      <c r="Q116" s="37"/>
      <c r="R116" s="37"/>
      <c r="S116" s="37"/>
      <c r="T116" s="37"/>
      <c r="U116" s="37"/>
      <c r="V116" s="37"/>
      <c r="W116" s="37"/>
      <c r="X116" s="37"/>
      <c r="Y116" s="37"/>
      <c r="Z116" s="37"/>
      <c r="AA116" s="37"/>
      <c r="AB116" s="37"/>
      <c r="AC116" s="37"/>
      <c r="AD116" s="37"/>
      <c r="AE116" s="37"/>
      <c r="AF116" s="37"/>
      <c r="AG116" s="37"/>
    </row>
    <row r="117" spans="1:33" ht="15">
      <c r="A117" s="13"/>
      <c r="B117" s="37"/>
      <c r="C117" s="37"/>
      <c r="D117" s="37"/>
      <c r="E117" s="37"/>
      <c r="F117" s="37"/>
      <c r="G117" s="37"/>
      <c r="H117" s="37"/>
      <c r="I117" s="37"/>
      <c r="J117" s="37"/>
      <c r="K117" s="37"/>
      <c r="L117" s="37"/>
      <c r="M117" s="37"/>
      <c r="N117" s="37"/>
      <c r="O117" s="37"/>
      <c r="P117" s="37"/>
      <c r="Q117" s="37"/>
      <c r="R117" s="37"/>
      <c r="S117" s="37"/>
      <c r="T117" s="37"/>
      <c r="U117" s="37"/>
      <c r="V117" s="37"/>
      <c r="W117" s="37"/>
      <c r="X117" s="37"/>
      <c r="Y117" s="37"/>
      <c r="Z117" s="37"/>
      <c r="AA117" s="37"/>
      <c r="AB117" s="37"/>
      <c r="AC117" s="37"/>
      <c r="AD117" s="37"/>
      <c r="AE117" s="37"/>
      <c r="AF117" s="37"/>
      <c r="AG117" s="37"/>
    </row>
    <row r="118" spans="1:33" ht="15">
      <c r="A118" s="13"/>
      <c r="B118" s="37"/>
      <c r="C118" s="37"/>
      <c r="D118" s="37"/>
      <c r="E118" s="37"/>
      <c r="F118" s="37"/>
      <c r="G118" s="37"/>
      <c r="H118" s="37"/>
      <c r="I118" s="37"/>
      <c r="J118" s="37"/>
      <c r="K118" s="37"/>
      <c r="L118" s="37"/>
      <c r="M118" s="37"/>
      <c r="N118" s="37"/>
      <c r="O118" s="37"/>
      <c r="P118" s="37"/>
      <c r="Q118" s="37"/>
      <c r="R118" s="37"/>
      <c r="S118" s="37"/>
      <c r="T118" s="37"/>
      <c r="U118" s="37"/>
      <c r="V118" s="37"/>
      <c r="W118" s="37"/>
      <c r="X118" s="37"/>
      <c r="Y118" s="37"/>
      <c r="Z118" s="37"/>
      <c r="AA118" s="37"/>
      <c r="AB118" s="37"/>
      <c r="AC118" s="37"/>
      <c r="AD118" s="37"/>
      <c r="AE118" s="37"/>
      <c r="AF118" s="37"/>
      <c r="AG118" s="37"/>
    </row>
    <row r="119" spans="1:33" ht="15">
      <c r="A119" s="13"/>
      <c r="B119" s="37"/>
      <c r="C119" s="37"/>
      <c r="D119" s="37"/>
      <c r="E119" s="37"/>
      <c r="F119" s="37"/>
      <c r="G119" s="37"/>
      <c r="H119" s="37"/>
      <c r="I119" s="37"/>
      <c r="J119" s="37"/>
      <c r="K119" s="37"/>
      <c r="L119" s="37"/>
      <c r="M119" s="37"/>
      <c r="N119" s="37"/>
      <c r="O119" s="37"/>
      <c r="P119" s="37"/>
      <c r="Q119" s="37"/>
      <c r="R119" s="37"/>
      <c r="S119" s="37"/>
      <c r="T119" s="37"/>
      <c r="U119" s="37"/>
      <c r="V119" s="37"/>
      <c r="W119" s="37"/>
      <c r="X119" s="37"/>
      <c r="Y119" s="37"/>
      <c r="Z119" s="37"/>
      <c r="AA119" s="37"/>
      <c r="AB119" s="37"/>
      <c r="AC119" s="37"/>
      <c r="AD119" s="37"/>
      <c r="AE119" s="37"/>
      <c r="AF119" s="37"/>
      <c r="AG119" s="37"/>
    </row>
    <row r="120" spans="1:33" ht="15">
      <c r="A120" s="13"/>
      <c r="B120" s="37"/>
      <c r="C120" s="37"/>
      <c r="D120" s="37"/>
      <c r="E120" s="37"/>
      <c r="F120" s="37"/>
      <c r="G120" s="37"/>
      <c r="H120" s="37"/>
      <c r="I120" s="37"/>
      <c r="J120" s="37"/>
      <c r="K120" s="37"/>
      <c r="L120" s="37"/>
      <c r="M120" s="37"/>
      <c r="N120" s="37"/>
      <c r="O120" s="37"/>
      <c r="P120" s="37"/>
      <c r="Q120" s="37"/>
      <c r="R120" s="37"/>
      <c r="S120" s="37"/>
      <c r="T120" s="37"/>
      <c r="U120" s="37"/>
      <c r="V120" s="37"/>
      <c r="W120" s="37"/>
      <c r="X120" s="37"/>
      <c r="Y120" s="37"/>
      <c r="Z120" s="37"/>
      <c r="AA120" s="37"/>
      <c r="AB120" s="37"/>
      <c r="AC120" s="37"/>
      <c r="AD120" s="37"/>
      <c r="AE120" s="37"/>
      <c r="AF120" s="37"/>
      <c r="AG120" s="37"/>
    </row>
    <row r="121" spans="1:33" ht="15">
      <c r="A121" s="13"/>
      <c r="B121" s="37"/>
      <c r="C121" s="37"/>
      <c r="D121" s="37"/>
      <c r="E121" s="37"/>
      <c r="F121" s="37"/>
      <c r="G121" s="37"/>
      <c r="H121" s="37"/>
      <c r="I121" s="37"/>
      <c r="J121" s="37"/>
      <c r="K121" s="37"/>
      <c r="L121" s="37"/>
      <c r="M121" s="37"/>
      <c r="N121" s="37"/>
      <c r="O121" s="37"/>
      <c r="P121" s="37"/>
      <c r="Q121" s="37"/>
      <c r="R121" s="37"/>
      <c r="S121" s="37"/>
      <c r="T121" s="37"/>
      <c r="U121" s="37"/>
      <c r="V121" s="37"/>
      <c r="W121" s="37"/>
      <c r="X121" s="37"/>
      <c r="Y121" s="37"/>
      <c r="Z121" s="37"/>
      <c r="AA121" s="37"/>
      <c r="AB121" s="37"/>
      <c r="AC121" s="37"/>
      <c r="AD121" s="37"/>
      <c r="AE121" s="37"/>
      <c r="AF121" s="37"/>
      <c r="AG121" s="37"/>
    </row>
    <row r="122" spans="1:33" ht="15">
      <c r="A122" s="13"/>
      <c r="B122" s="37"/>
      <c r="C122" s="37"/>
      <c r="D122" s="37"/>
      <c r="E122" s="37"/>
      <c r="F122" s="37"/>
      <c r="G122" s="37"/>
      <c r="H122" s="37"/>
      <c r="I122" s="37"/>
      <c r="J122" s="37"/>
      <c r="K122" s="37"/>
      <c r="L122" s="37"/>
      <c r="M122" s="37"/>
      <c r="N122" s="37"/>
      <c r="O122" s="37"/>
      <c r="P122" s="37"/>
      <c r="Q122" s="37"/>
      <c r="R122" s="37"/>
      <c r="S122" s="37"/>
      <c r="T122" s="37"/>
      <c r="U122" s="37"/>
      <c r="V122" s="37"/>
      <c r="W122" s="37"/>
      <c r="X122" s="37"/>
      <c r="Y122" s="37"/>
      <c r="Z122" s="37"/>
      <c r="AA122" s="37"/>
      <c r="AB122" s="37"/>
      <c r="AC122" s="37"/>
      <c r="AD122" s="37"/>
      <c r="AE122" s="37"/>
      <c r="AF122" s="37"/>
      <c r="AG122" s="37"/>
    </row>
    <row r="123" spans="1:33" ht="15">
      <c r="A123" s="13"/>
      <c r="B123" s="37"/>
      <c r="C123" s="37"/>
      <c r="D123" s="37"/>
      <c r="E123" s="37"/>
      <c r="F123" s="37"/>
      <c r="G123" s="37"/>
      <c r="H123" s="37"/>
      <c r="I123" s="37"/>
      <c r="J123" s="37"/>
      <c r="K123" s="37"/>
      <c r="L123" s="37"/>
      <c r="M123" s="37"/>
      <c r="N123" s="37"/>
      <c r="O123" s="37"/>
      <c r="P123" s="37"/>
      <c r="Q123" s="37"/>
      <c r="R123" s="37"/>
      <c r="S123" s="37"/>
      <c r="T123" s="37"/>
      <c r="U123" s="37"/>
      <c r="V123" s="37"/>
      <c r="W123" s="37"/>
      <c r="X123" s="37"/>
      <c r="Y123" s="37"/>
      <c r="Z123" s="37"/>
      <c r="AA123" s="37"/>
      <c r="AB123" s="37"/>
      <c r="AC123" s="37"/>
      <c r="AD123" s="37"/>
      <c r="AE123" s="37"/>
      <c r="AF123" s="37"/>
      <c r="AG123" s="37"/>
    </row>
    <row r="124" spans="1:33" ht="15">
      <c r="A124" s="13"/>
      <c r="B124" s="37"/>
      <c r="C124" s="37"/>
      <c r="D124" s="37"/>
      <c r="E124" s="37"/>
      <c r="F124" s="37"/>
      <c r="G124" s="37"/>
      <c r="H124" s="37"/>
      <c r="I124" s="37"/>
      <c r="J124" s="37"/>
      <c r="K124" s="37"/>
      <c r="L124" s="37"/>
      <c r="M124" s="37"/>
      <c r="N124" s="37"/>
      <c r="O124" s="37"/>
      <c r="P124" s="37"/>
      <c r="Q124" s="37"/>
      <c r="R124" s="37"/>
      <c r="S124" s="37"/>
      <c r="T124" s="37"/>
      <c r="U124" s="37"/>
      <c r="V124" s="37"/>
      <c r="W124" s="37"/>
      <c r="X124" s="37"/>
      <c r="Y124" s="37"/>
      <c r="Z124" s="37"/>
      <c r="AA124" s="37"/>
      <c r="AB124" s="37"/>
      <c r="AC124" s="37"/>
      <c r="AD124" s="37"/>
      <c r="AE124" s="37"/>
      <c r="AF124" s="37"/>
      <c r="AG124" s="37"/>
    </row>
    <row r="125" spans="1:33" ht="15">
      <c r="A125" s="13"/>
      <c r="B125" s="37"/>
      <c r="C125" s="37"/>
      <c r="D125" s="37"/>
      <c r="E125" s="37"/>
      <c r="F125" s="37"/>
      <c r="G125" s="37"/>
      <c r="H125" s="37"/>
      <c r="I125" s="37"/>
      <c r="J125" s="37"/>
      <c r="K125" s="37"/>
      <c r="L125" s="37"/>
      <c r="M125" s="37"/>
      <c r="N125" s="37"/>
      <c r="O125" s="37"/>
      <c r="P125" s="37"/>
      <c r="Q125" s="37"/>
      <c r="R125" s="37"/>
      <c r="S125" s="37"/>
      <c r="T125" s="37"/>
      <c r="U125" s="37"/>
      <c r="V125" s="37"/>
      <c r="W125" s="37"/>
      <c r="X125" s="37"/>
      <c r="Y125" s="37"/>
      <c r="Z125" s="37"/>
      <c r="AA125" s="37"/>
      <c r="AB125" s="37"/>
      <c r="AC125" s="37"/>
      <c r="AD125" s="37"/>
      <c r="AE125" s="37"/>
      <c r="AF125" s="37"/>
      <c r="AG125" s="37"/>
    </row>
    <row r="126" spans="1:33" ht="15">
      <c r="A126" s="13"/>
      <c r="B126" s="37"/>
      <c r="C126" s="37"/>
      <c r="D126" s="37"/>
      <c r="E126" s="37"/>
      <c r="F126" s="37"/>
      <c r="G126" s="37"/>
      <c r="H126" s="37"/>
      <c r="I126" s="37"/>
      <c r="J126" s="37"/>
      <c r="K126" s="37"/>
      <c r="L126" s="37"/>
      <c r="M126" s="37"/>
      <c r="N126" s="37"/>
      <c r="O126" s="37"/>
      <c r="P126" s="37"/>
      <c r="Q126" s="37"/>
      <c r="R126" s="37"/>
      <c r="S126" s="37"/>
      <c r="T126" s="37"/>
      <c r="U126" s="37"/>
      <c r="V126" s="37"/>
      <c r="W126" s="37"/>
      <c r="X126" s="37"/>
      <c r="Y126" s="37"/>
      <c r="Z126" s="37"/>
      <c r="AA126" s="37"/>
      <c r="AB126" s="37"/>
      <c r="AC126" s="37"/>
      <c r="AD126" s="37"/>
      <c r="AE126" s="37"/>
      <c r="AF126" s="37"/>
      <c r="AG126" s="37"/>
    </row>
    <row r="127" spans="1:33" ht="15">
      <c r="A127" s="13"/>
      <c r="B127" s="37"/>
      <c r="C127" s="37"/>
      <c r="D127" s="37"/>
      <c r="E127" s="37"/>
      <c r="F127" s="37"/>
      <c r="G127" s="37"/>
      <c r="H127" s="37"/>
      <c r="I127" s="37"/>
      <c r="J127" s="37"/>
      <c r="K127" s="37"/>
      <c r="L127" s="37"/>
      <c r="M127" s="37"/>
      <c r="N127" s="37"/>
      <c r="O127" s="37"/>
      <c r="P127" s="37"/>
      <c r="Q127" s="37"/>
      <c r="R127" s="37"/>
      <c r="S127" s="37"/>
      <c r="T127" s="37"/>
      <c r="U127" s="37"/>
      <c r="V127" s="37"/>
      <c r="W127" s="37"/>
      <c r="X127" s="37"/>
      <c r="Y127" s="37"/>
      <c r="Z127" s="37"/>
      <c r="AA127" s="37"/>
      <c r="AB127" s="37"/>
      <c r="AC127" s="37"/>
      <c r="AD127" s="37"/>
      <c r="AE127" s="37"/>
      <c r="AF127" s="37"/>
      <c r="AG127" s="37"/>
    </row>
    <row r="128" spans="1:33" ht="15">
      <c r="A128" s="13"/>
      <c r="B128" s="37"/>
      <c r="C128" s="37"/>
      <c r="D128" s="37"/>
      <c r="E128" s="37"/>
      <c r="F128" s="37"/>
      <c r="G128" s="37"/>
      <c r="H128" s="37"/>
      <c r="I128" s="37"/>
      <c r="J128" s="37"/>
      <c r="K128" s="37"/>
      <c r="L128" s="37"/>
      <c r="M128" s="37"/>
      <c r="N128" s="37"/>
      <c r="O128" s="37"/>
      <c r="P128" s="37"/>
      <c r="Q128" s="37"/>
      <c r="R128" s="37"/>
      <c r="S128" s="37"/>
      <c r="T128" s="37"/>
      <c r="U128" s="37"/>
      <c r="V128" s="37"/>
      <c r="W128" s="37"/>
      <c r="X128" s="37"/>
      <c r="Y128" s="37"/>
      <c r="Z128" s="37"/>
      <c r="AA128" s="37"/>
      <c r="AB128" s="37"/>
      <c r="AC128" s="37"/>
      <c r="AD128" s="37"/>
      <c r="AE128" s="37"/>
      <c r="AF128" s="37"/>
      <c r="AG128" s="37"/>
    </row>
    <row r="129" spans="1:33" ht="15">
      <c r="A129" s="13"/>
      <c r="B129" s="37"/>
      <c r="C129" s="37"/>
      <c r="D129" s="37"/>
      <c r="E129" s="37"/>
      <c r="F129" s="37"/>
      <c r="G129" s="37"/>
      <c r="H129" s="37"/>
      <c r="I129" s="37"/>
      <c r="J129" s="37"/>
      <c r="K129" s="37"/>
      <c r="L129" s="37"/>
      <c r="M129" s="37"/>
      <c r="N129" s="37"/>
      <c r="O129" s="37"/>
      <c r="P129" s="37"/>
      <c r="Q129" s="37"/>
      <c r="R129" s="37"/>
      <c r="S129" s="37"/>
      <c r="T129" s="37"/>
      <c r="U129" s="37"/>
      <c r="V129" s="37"/>
      <c r="W129" s="37"/>
      <c r="X129" s="37"/>
      <c r="Y129" s="37"/>
      <c r="Z129" s="37"/>
      <c r="AA129" s="37"/>
      <c r="AB129" s="37"/>
      <c r="AC129" s="37"/>
      <c r="AD129" s="37"/>
      <c r="AE129" s="37"/>
      <c r="AF129" s="37"/>
      <c r="AG129" s="37"/>
    </row>
    <row r="130" spans="1:33" ht="15">
      <c r="A130" s="13"/>
      <c r="B130" s="37"/>
      <c r="C130" s="37"/>
      <c r="D130" s="37"/>
      <c r="E130" s="37"/>
      <c r="F130" s="37"/>
      <c r="G130" s="37"/>
      <c r="H130" s="37"/>
      <c r="I130" s="37"/>
      <c r="J130" s="37"/>
      <c r="K130" s="37"/>
      <c r="L130" s="37"/>
      <c r="M130" s="37"/>
      <c r="N130" s="37"/>
      <c r="O130" s="37"/>
      <c r="P130" s="37"/>
      <c r="Q130" s="37"/>
      <c r="R130" s="37"/>
      <c r="S130" s="37"/>
      <c r="T130" s="37"/>
      <c r="U130" s="37"/>
      <c r="V130" s="37"/>
      <c r="W130" s="37"/>
      <c r="X130" s="37"/>
      <c r="Y130" s="37"/>
      <c r="Z130" s="37"/>
      <c r="AA130" s="37"/>
      <c r="AB130" s="37"/>
      <c r="AC130" s="37"/>
      <c r="AD130" s="37"/>
      <c r="AE130" s="37"/>
      <c r="AF130" s="37"/>
      <c r="AG130" s="37"/>
    </row>
    <row r="131" spans="1:33" ht="15">
      <c r="A131" s="13"/>
      <c r="B131" s="37"/>
      <c r="C131" s="37"/>
      <c r="D131" s="37"/>
      <c r="E131" s="37"/>
      <c r="F131" s="37"/>
      <c r="G131" s="37"/>
      <c r="H131" s="37"/>
      <c r="I131" s="37"/>
      <c r="J131" s="37"/>
      <c r="K131" s="37"/>
      <c r="L131" s="37"/>
      <c r="M131" s="37"/>
      <c r="N131" s="37"/>
      <c r="O131" s="37"/>
      <c r="P131" s="37"/>
      <c r="Q131" s="37"/>
      <c r="R131" s="37"/>
      <c r="S131" s="37"/>
      <c r="T131" s="37"/>
      <c r="U131" s="37"/>
      <c r="V131" s="37"/>
      <c r="W131" s="37"/>
      <c r="X131" s="37"/>
      <c r="Y131" s="37"/>
      <c r="Z131" s="37"/>
      <c r="AA131" s="37"/>
      <c r="AB131" s="37"/>
      <c r="AC131" s="37"/>
      <c r="AD131" s="37"/>
      <c r="AE131" s="37"/>
      <c r="AF131" s="37"/>
      <c r="AG131" s="37"/>
    </row>
    <row r="132" spans="1:33" ht="15">
      <c r="A132" s="13"/>
      <c r="B132" s="37"/>
      <c r="C132" s="37"/>
      <c r="D132" s="37"/>
      <c r="E132" s="37"/>
      <c r="F132" s="37"/>
      <c r="G132" s="37"/>
      <c r="H132" s="37"/>
      <c r="I132" s="37"/>
      <c r="J132" s="37"/>
      <c r="K132" s="37"/>
      <c r="L132" s="37"/>
      <c r="M132" s="37"/>
      <c r="N132" s="37"/>
      <c r="O132" s="37"/>
      <c r="P132" s="37"/>
      <c r="Q132" s="37"/>
      <c r="R132" s="37"/>
      <c r="S132" s="37"/>
      <c r="T132" s="37"/>
      <c r="U132" s="37"/>
      <c r="V132" s="37"/>
      <c r="W132" s="37"/>
      <c r="X132" s="37"/>
      <c r="Y132" s="37"/>
      <c r="Z132" s="37"/>
      <c r="AA132" s="37"/>
      <c r="AB132" s="37"/>
      <c r="AC132" s="37"/>
      <c r="AD132" s="37"/>
      <c r="AE132" s="37"/>
      <c r="AF132" s="37"/>
      <c r="AG132" s="37"/>
    </row>
    <row r="133" spans="1:33" ht="15">
      <c r="A133" s="13"/>
      <c r="B133" s="37"/>
      <c r="C133" s="37"/>
      <c r="D133" s="37"/>
      <c r="E133" s="37"/>
      <c r="F133" s="37"/>
      <c r="G133" s="37"/>
      <c r="H133" s="37"/>
      <c r="I133" s="37"/>
      <c r="J133" s="37"/>
      <c r="K133" s="37"/>
      <c r="L133" s="37"/>
      <c r="M133" s="37"/>
      <c r="N133" s="37"/>
      <c r="O133" s="37"/>
      <c r="P133" s="37"/>
      <c r="Q133" s="37"/>
      <c r="R133" s="37"/>
      <c r="S133" s="37"/>
      <c r="T133" s="37"/>
      <c r="U133" s="37"/>
      <c r="V133" s="37"/>
      <c r="W133" s="37"/>
      <c r="X133" s="37"/>
      <c r="Y133" s="37"/>
      <c r="Z133" s="37"/>
      <c r="AA133" s="37"/>
      <c r="AB133" s="37"/>
      <c r="AC133" s="37"/>
      <c r="AD133" s="37"/>
      <c r="AE133" s="37"/>
      <c r="AF133" s="37"/>
      <c r="AG133" s="37"/>
    </row>
    <row r="134" spans="1:33" ht="15">
      <c r="A134" s="13"/>
      <c r="B134" s="37"/>
      <c r="C134" s="37"/>
      <c r="D134" s="37"/>
      <c r="E134" s="37"/>
      <c r="F134" s="37"/>
      <c r="G134" s="37"/>
      <c r="H134" s="37"/>
      <c r="I134" s="37"/>
      <c r="J134" s="37"/>
      <c r="K134" s="37"/>
      <c r="L134" s="37"/>
      <c r="M134" s="37"/>
      <c r="N134" s="37"/>
      <c r="O134" s="37"/>
      <c r="P134" s="37"/>
      <c r="Q134" s="37"/>
      <c r="R134" s="37"/>
      <c r="S134" s="37"/>
      <c r="T134" s="37"/>
      <c r="U134" s="37"/>
      <c r="V134" s="37"/>
      <c r="W134" s="37"/>
      <c r="X134" s="37"/>
      <c r="Y134" s="37"/>
      <c r="Z134" s="37"/>
      <c r="AA134" s="37"/>
      <c r="AB134" s="37"/>
      <c r="AC134" s="37"/>
      <c r="AD134" s="37"/>
      <c r="AE134" s="37"/>
      <c r="AF134" s="37"/>
      <c r="AG134" s="37"/>
    </row>
    <row r="135" spans="1:33" ht="15">
      <c r="A135" s="13"/>
      <c r="B135" s="37"/>
      <c r="C135" s="37"/>
      <c r="D135" s="37"/>
      <c r="E135" s="37"/>
      <c r="F135" s="37"/>
      <c r="G135" s="37"/>
      <c r="H135" s="37"/>
      <c r="I135" s="37"/>
      <c r="J135" s="37"/>
      <c r="K135" s="37"/>
      <c r="L135" s="37"/>
      <c r="M135" s="37"/>
      <c r="N135" s="37"/>
      <c r="O135" s="37"/>
      <c r="P135" s="37"/>
      <c r="Q135" s="37"/>
      <c r="R135" s="37"/>
      <c r="S135" s="37"/>
      <c r="T135" s="37"/>
      <c r="U135" s="37"/>
      <c r="V135" s="37"/>
      <c r="W135" s="37"/>
      <c r="X135" s="37"/>
      <c r="Y135" s="37"/>
      <c r="Z135" s="37"/>
      <c r="AA135" s="37"/>
      <c r="AB135" s="37"/>
      <c r="AC135" s="37"/>
      <c r="AD135" s="37"/>
      <c r="AE135" s="37"/>
      <c r="AF135" s="37"/>
      <c r="AG135" s="37"/>
    </row>
    <row r="136" spans="1:33" ht="15">
      <c r="A136" s="13"/>
      <c r="B136" s="37"/>
      <c r="C136" s="37"/>
      <c r="D136" s="37"/>
      <c r="E136" s="37"/>
      <c r="F136" s="37"/>
      <c r="G136" s="37"/>
      <c r="H136" s="37"/>
      <c r="I136" s="37"/>
      <c r="J136" s="37"/>
      <c r="K136" s="37"/>
      <c r="L136" s="37"/>
      <c r="M136" s="37"/>
      <c r="N136" s="37"/>
      <c r="O136" s="37"/>
      <c r="P136" s="37"/>
      <c r="Q136" s="37"/>
      <c r="R136" s="37"/>
      <c r="S136" s="37"/>
      <c r="T136" s="37"/>
      <c r="U136" s="37"/>
      <c r="V136" s="37"/>
      <c r="W136" s="37"/>
      <c r="X136" s="37"/>
      <c r="Y136" s="37"/>
      <c r="Z136" s="37"/>
      <c r="AA136" s="37"/>
      <c r="AB136" s="37"/>
      <c r="AC136" s="37"/>
      <c r="AD136" s="37"/>
      <c r="AE136" s="37"/>
      <c r="AF136" s="37"/>
      <c r="AG136" s="37"/>
    </row>
    <row r="137" spans="1:33" ht="15">
      <c r="A137" s="13"/>
      <c r="B137" s="37"/>
      <c r="C137" s="37"/>
      <c r="D137" s="37"/>
      <c r="E137" s="37"/>
      <c r="F137" s="37"/>
      <c r="G137" s="37"/>
      <c r="H137" s="37"/>
      <c r="I137" s="37"/>
      <c r="J137" s="37"/>
      <c r="K137" s="37"/>
      <c r="L137" s="37"/>
      <c r="M137" s="37"/>
      <c r="N137" s="37"/>
      <c r="O137" s="37"/>
      <c r="P137" s="37"/>
      <c r="Q137" s="37"/>
      <c r="R137" s="37"/>
      <c r="S137" s="37"/>
      <c r="T137" s="37"/>
      <c r="U137" s="37"/>
      <c r="V137" s="37"/>
      <c r="W137" s="37"/>
      <c r="X137" s="37"/>
      <c r="Y137" s="37"/>
      <c r="Z137" s="37"/>
      <c r="AA137" s="37"/>
      <c r="AB137" s="37"/>
      <c r="AC137" s="37"/>
      <c r="AD137" s="37"/>
      <c r="AE137" s="37"/>
      <c r="AF137" s="37"/>
      <c r="AG137" s="37"/>
    </row>
    <row r="138" spans="1:33" ht="15">
      <c r="A138" s="13"/>
      <c r="B138" s="37"/>
      <c r="C138" s="37"/>
      <c r="D138" s="37"/>
      <c r="E138" s="37"/>
      <c r="F138" s="37"/>
      <c r="G138" s="37"/>
      <c r="H138" s="37"/>
      <c r="I138" s="37"/>
      <c r="J138" s="37"/>
      <c r="K138" s="37"/>
      <c r="L138" s="37"/>
      <c r="M138" s="37"/>
      <c r="N138" s="37"/>
      <c r="O138" s="37"/>
      <c r="P138" s="37"/>
      <c r="Q138" s="37"/>
      <c r="R138" s="37"/>
      <c r="S138" s="37"/>
      <c r="T138" s="37"/>
      <c r="U138" s="37"/>
      <c r="V138" s="37"/>
      <c r="W138" s="37"/>
      <c r="X138" s="37"/>
      <c r="Y138" s="37"/>
      <c r="Z138" s="37"/>
      <c r="AA138" s="37"/>
      <c r="AB138" s="37"/>
      <c r="AC138" s="37"/>
      <c r="AD138" s="37"/>
      <c r="AE138" s="37"/>
      <c r="AF138" s="37"/>
      <c r="AG138" s="37"/>
    </row>
    <row r="139" spans="1:33" ht="15">
      <c r="A139" s="13"/>
      <c r="B139" s="37"/>
      <c r="C139" s="37"/>
      <c r="D139" s="37"/>
      <c r="E139" s="37"/>
      <c r="F139" s="37"/>
      <c r="G139" s="37"/>
      <c r="H139" s="37"/>
      <c r="I139" s="37"/>
      <c r="J139" s="37"/>
      <c r="K139" s="37"/>
      <c r="L139" s="37"/>
      <c r="M139" s="37"/>
      <c r="N139" s="37"/>
      <c r="O139" s="37"/>
      <c r="P139" s="37"/>
      <c r="Q139" s="37"/>
      <c r="R139" s="37"/>
      <c r="S139" s="37"/>
      <c r="T139" s="37"/>
      <c r="U139" s="37"/>
      <c r="V139" s="37"/>
      <c r="W139" s="37"/>
      <c r="X139" s="37"/>
      <c r="Y139" s="37"/>
      <c r="Z139" s="37"/>
      <c r="AA139" s="37"/>
      <c r="AB139" s="37"/>
      <c r="AC139" s="37"/>
      <c r="AD139" s="37"/>
      <c r="AE139" s="37"/>
      <c r="AF139" s="37"/>
      <c r="AG139" s="37"/>
    </row>
    <row r="140" spans="1:33" ht="15">
      <c r="A140" s="13"/>
      <c r="B140" s="37"/>
      <c r="C140" s="37"/>
      <c r="D140" s="37"/>
      <c r="E140" s="37"/>
      <c r="F140" s="37"/>
      <c r="G140" s="37"/>
      <c r="H140" s="37"/>
      <c r="I140" s="37"/>
      <c r="J140" s="37"/>
      <c r="K140" s="37"/>
      <c r="L140" s="37"/>
      <c r="M140" s="37"/>
      <c r="N140" s="37"/>
      <c r="O140" s="37"/>
      <c r="P140" s="37"/>
      <c r="Q140" s="37"/>
      <c r="R140" s="37"/>
      <c r="S140" s="37"/>
      <c r="T140" s="37"/>
      <c r="U140" s="37"/>
      <c r="V140" s="37"/>
      <c r="W140" s="37"/>
      <c r="X140" s="37"/>
      <c r="Y140" s="37"/>
      <c r="Z140" s="37"/>
      <c r="AA140" s="37"/>
      <c r="AB140" s="37"/>
      <c r="AC140" s="37"/>
      <c r="AD140" s="37"/>
      <c r="AE140" s="37"/>
      <c r="AF140" s="37"/>
      <c r="AG140" s="37"/>
    </row>
    <row r="141" spans="1:33" ht="15">
      <c r="A141" s="13"/>
      <c r="B141" s="37"/>
      <c r="C141" s="37"/>
      <c r="D141" s="37"/>
      <c r="E141" s="37"/>
      <c r="F141" s="37"/>
      <c r="G141" s="37"/>
      <c r="H141" s="37"/>
      <c r="I141" s="37"/>
      <c r="J141" s="37"/>
      <c r="K141" s="37"/>
      <c r="L141" s="37"/>
      <c r="M141" s="37"/>
      <c r="N141" s="37"/>
      <c r="O141" s="37"/>
      <c r="P141" s="37"/>
      <c r="Q141" s="37"/>
      <c r="R141" s="37"/>
      <c r="S141" s="37"/>
      <c r="T141" s="37"/>
      <c r="U141" s="37"/>
      <c r="V141" s="37"/>
      <c r="W141" s="37"/>
      <c r="X141" s="37"/>
      <c r="Y141" s="37"/>
      <c r="Z141" s="37"/>
      <c r="AA141" s="37"/>
      <c r="AB141" s="37"/>
      <c r="AC141" s="37"/>
      <c r="AD141" s="37"/>
      <c r="AE141" s="37"/>
      <c r="AF141" s="37"/>
      <c r="AG141" s="37"/>
    </row>
    <row r="142" spans="1:33" ht="15">
      <c r="A142" s="13"/>
      <c r="B142" s="37"/>
      <c r="C142" s="37"/>
      <c r="D142" s="37"/>
      <c r="E142" s="37"/>
      <c r="F142" s="37"/>
      <c r="G142" s="37"/>
      <c r="H142" s="37"/>
      <c r="I142" s="37"/>
      <c r="J142" s="37"/>
      <c r="K142" s="37"/>
      <c r="L142" s="37"/>
      <c r="M142" s="37"/>
      <c r="N142" s="37"/>
      <c r="O142" s="37"/>
      <c r="P142" s="37"/>
      <c r="Q142" s="37"/>
      <c r="R142" s="37"/>
      <c r="S142" s="37"/>
      <c r="T142" s="37"/>
      <c r="U142" s="37"/>
      <c r="V142" s="37"/>
      <c r="W142" s="37"/>
      <c r="X142" s="37"/>
      <c r="Y142" s="37"/>
      <c r="Z142" s="37"/>
      <c r="AA142" s="37"/>
      <c r="AB142" s="37"/>
      <c r="AC142" s="37"/>
      <c r="AD142" s="37"/>
      <c r="AE142" s="37"/>
      <c r="AF142" s="37"/>
      <c r="AG142" s="37"/>
    </row>
    <row r="143" spans="1:33" ht="15">
      <c r="A143" s="13"/>
      <c r="B143" s="37"/>
      <c r="C143" s="37"/>
      <c r="D143" s="37"/>
      <c r="E143" s="37"/>
      <c r="F143" s="37"/>
      <c r="G143" s="37"/>
      <c r="H143" s="37"/>
      <c r="I143" s="37"/>
      <c r="J143" s="37"/>
      <c r="K143" s="37"/>
      <c r="L143" s="37"/>
      <c r="M143" s="37"/>
      <c r="N143" s="37"/>
      <c r="O143" s="37"/>
      <c r="P143" s="37"/>
      <c r="Q143" s="37"/>
      <c r="R143" s="37"/>
      <c r="S143" s="37"/>
      <c r="T143" s="37"/>
      <c r="U143" s="37"/>
      <c r="V143" s="37"/>
      <c r="W143" s="37"/>
      <c r="X143" s="37"/>
      <c r="Y143" s="37"/>
      <c r="Z143" s="37"/>
      <c r="AA143" s="37"/>
      <c r="AB143" s="37"/>
      <c r="AC143" s="37"/>
      <c r="AD143" s="37"/>
      <c r="AE143" s="37"/>
      <c r="AF143" s="37"/>
      <c r="AG143" s="37"/>
    </row>
    <row r="144" spans="1:33" ht="15">
      <c r="A144" s="13"/>
      <c r="B144" s="37"/>
      <c r="C144" s="37"/>
      <c r="D144" s="37"/>
      <c r="E144" s="37"/>
      <c r="F144" s="37"/>
      <c r="G144" s="37"/>
      <c r="H144" s="37"/>
      <c r="I144" s="37"/>
      <c r="J144" s="37"/>
      <c r="K144" s="37"/>
      <c r="L144" s="37"/>
      <c r="M144" s="37"/>
      <c r="N144" s="37"/>
      <c r="O144" s="37"/>
      <c r="P144" s="37"/>
      <c r="Q144" s="37"/>
      <c r="R144" s="37"/>
      <c r="S144" s="37"/>
      <c r="T144" s="37"/>
      <c r="U144" s="37"/>
      <c r="V144" s="37"/>
      <c r="W144" s="37"/>
      <c r="X144" s="37"/>
      <c r="Y144" s="37"/>
      <c r="Z144" s="37"/>
      <c r="AA144" s="37"/>
      <c r="AB144" s="37"/>
      <c r="AC144" s="37"/>
      <c r="AD144" s="37"/>
      <c r="AE144" s="37"/>
      <c r="AF144" s="37"/>
      <c r="AG144" s="37"/>
    </row>
    <row r="145" spans="1:33" ht="15">
      <c r="A145" s="13"/>
      <c r="B145" s="37"/>
      <c r="C145" s="37"/>
      <c r="D145" s="37"/>
      <c r="E145" s="37"/>
      <c r="F145" s="37"/>
      <c r="G145" s="37"/>
      <c r="H145" s="37"/>
      <c r="I145" s="37"/>
      <c r="J145" s="37"/>
      <c r="K145" s="37"/>
      <c r="L145" s="37"/>
      <c r="M145" s="37"/>
      <c r="N145" s="37"/>
      <c r="O145" s="37"/>
      <c r="P145" s="37"/>
      <c r="Q145" s="37"/>
      <c r="R145" s="37"/>
      <c r="S145" s="37"/>
      <c r="T145" s="37"/>
      <c r="U145" s="37"/>
      <c r="V145" s="37"/>
      <c r="W145" s="37"/>
      <c r="X145" s="37"/>
      <c r="Y145" s="37"/>
      <c r="Z145" s="37"/>
      <c r="AA145" s="37"/>
      <c r="AB145" s="37"/>
      <c r="AC145" s="37"/>
      <c r="AD145" s="37"/>
      <c r="AE145" s="37"/>
      <c r="AF145" s="37"/>
      <c r="AG145" s="37"/>
    </row>
    <row r="146" spans="1:33" ht="15">
      <c r="A146" s="13"/>
      <c r="B146" s="37"/>
      <c r="C146" s="37"/>
      <c r="D146" s="37"/>
      <c r="E146" s="37"/>
      <c r="F146" s="37"/>
      <c r="G146" s="37"/>
      <c r="H146" s="37"/>
      <c r="I146" s="37"/>
      <c r="J146" s="37"/>
      <c r="K146" s="37"/>
      <c r="L146" s="37"/>
      <c r="M146" s="37"/>
      <c r="N146" s="37"/>
      <c r="O146" s="37"/>
      <c r="P146" s="37"/>
      <c r="Q146" s="37"/>
      <c r="R146" s="37"/>
      <c r="S146" s="37"/>
      <c r="T146" s="37"/>
      <c r="U146" s="37"/>
      <c r="V146" s="37"/>
      <c r="W146" s="37"/>
      <c r="X146" s="37"/>
      <c r="Y146" s="37"/>
      <c r="Z146" s="37"/>
      <c r="AA146" s="37"/>
      <c r="AB146" s="37"/>
      <c r="AC146" s="37"/>
      <c r="AD146" s="37"/>
      <c r="AE146" s="37"/>
      <c r="AF146" s="37"/>
      <c r="AG146" s="37"/>
    </row>
    <row r="147" spans="1:33" ht="15">
      <c r="A147" s="13"/>
      <c r="B147" s="37"/>
      <c r="C147" s="37"/>
      <c r="D147" s="37"/>
      <c r="E147" s="37"/>
      <c r="F147" s="37"/>
      <c r="G147" s="37"/>
      <c r="H147" s="37"/>
      <c r="I147" s="37"/>
      <c r="J147" s="37"/>
      <c r="K147" s="37"/>
      <c r="L147" s="37"/>
      <c r="M147" s="37"/>
      <c r="N147" s="37"/>
      <c r="O147" s="37"/>
      <c r="P147" s="37"/>
      <c r="Q147" s="37"/>
      <c r="R147" s="37"/>
      <c r="S147" s="37"/>
      <c r="T147" s="37"/>
      <c r="U147" s="37"/>
      <c r="V147" s="37"/>
      <c r="W147" s="37"/>
      <c r="X147" s="37"/>
      <c r="Y147" s="37"/>
      <c r="Z147" s="37"/>
      <c r="AA147" s="37"/>
      <c r="AB147" s="37"/>
      <c r="AC147" s="37"/>
      <c r="AD147" s="37"/>
      <c r="AE147" s="37"/>
      <c r="AF147" s="37"/>
      <c r="AG147" s="37"/>
    </row>
    <row r="148" spans="1:33" ht="15">
      <c r="A148" s="13"/>
      <c r="B148" s="37"/>
      <c r="C148" s="37"/>
      <c r="D148" s="37"/>
      <c r="E148" s="37"/>
      <c r="F148" s="37"/>
      <c r="G148" s="37"/>
      <c r="H148" s="37"/>
      <c r="I148" s="37"/>
      <c r="J148" s="37"/>
      <c r="K148" s="37"/>
      <c r="L148" s="37"/>
      <c r="M148" s="37"/>
      <c r="N148" s="37"/>
      <c r="O148" s="37"/>
      <c r="P148" s="37"/>
      <c r="Q148" s="37"/>
      <c r="R148" s="37"/>
      <c r="S148" s="37"/>
      <c r="T148" s="37"/>
      <c r="U148" s="37"/>
      <c r="V148" s="37"/>
      <c r="W148" s="37"/>
      <c r="X148" s="37"/>
      <c r="Y148" s="37"/>
      <c r="Z148" s="37"/>
      <c r="AA148" s="37"/>
      <c r="AB148" s="37"/>
      <c r="AC148" s="37"/>
      <c r="AD148" s="37"/>
      <c r="AE148" s="37"/>
      <c r="AF148" s="37"/>
      <c r="AG148" s="37"/>
    </row>
    <row r="149" spans="1:33" ht="15">
      <c r="A149" s="13"/>
      <c r="B149" s="37"/>
      <c r="C149" s="37"/>
      <c r="D149" s="37"/>
      <c r="E149" s="37"/>
      <c r="F149" s="37"/>
      <c r="G149" s="37"/>
      <c r="H149" s="37"/>
      <c r="I149" s="37"/>
      <c r="J149" s="37"/>
      <c r="K149" s="37"/>
      <c r="L149" s="37"/>
      <c r="M149" s="37"/>
      <c r="N149" s="37"/>
      <c r="O149" s="37"/>
      <c r="P149" s="37"/>
      <c r="Q149" s="37"/>
      <c r="R149" s="37"/>
      <c r="S149" s="37"/>
      <c r="T149" s="37"/>
      <c r="U149" s="37"/>
      <c r="V149" s="37"/>
      <c r="W149" s="37"/>
      <c r="X149" s="37"/>
      <c r="Y149" s="37"/>
      <c r="Z149" s="37"/>
      <c r="AA149" s="37"/>
      <c r="AB149" s="37"/>
      <c r="AC149" s="37"/>
      <c r="AD149" s="37"/>
      <c r="AE149" s="37"/>
      <c r="AF149" s="37"/>
      <c r="AG149" s="37"/>
    </row>
    <row r="150" spans="1:33" ht="15">
      <c r="A150" s="13"/>
      <c r="B150" s="37"/>
      <c r="C150" s="37"/>
      <c r="D150" s="37"/>
      <c r="E150" s="37"/>
      <c r="F150" s="37"/>
      <c r="G150" s="37"/>
      <c r="H150" s="37"/>
      <c r="I150" s="37"/>
      <c r="J150" s="37"/>
      <c r="K150" s="37"/>
      <c r="L150" s="37"/>
      <c r="M150" s="37"/>
      <c r="N150" s="37"/>
      <c r="O150" s="37"/>
      <c r="P150" s="37"/>
      <c r="Q150" s="37"/>
      <c r="R150" s="37"/>
      <c r="S150" s="37"/>
      <c r="T150" s="37"/>
      <c r="U150" s="37"/>
      <c r="V150" s="37"/>
      <c r="W150" s="37"/>
      <c r="X150" s="37"/>
      <c r="Y150" s="37"/>
      <c r="Z150" s="37"/>
      <c r="AA150" s="37"/>
      <c r="AB150" s="37"/>
      <c r="AC150" s="37"/>
      <c r="AD150" s="37"/>
      <c r="AE150" s="37"/>
      <c r="AF150" s="37"/>
      <c r="AG150" s="37"/>
    </row>
    <row r="151" spans="1:33" ht="15">
      <c r="A151" s="13"/>
      <c r="B151" s="37"/>
      <c r="C151" s="37"/>
      <c r="D151" s="37"/>
      <c r="E151" s="37"/>
      <c r="F151" s="37"/>
      <c r="G151" s="37"/>
      <c r="H151" s="37"/>
      <c r="I151" s="37"/>
      <c r="J151" s="37"/>
      <c r="K151" s="37"/>
      <c r="L151" s="37"/>
      <c r="M151" s="37"/>
      <c r="N151" s="37"/>
      <c r="O151" s="37"/>
      <c r="P151" s="37"/>
      <c r="Q151" s="37"/>
      <c r="R151" s="37"/>
      <c r="S151" s="37"/>
      <c r="T151" s="37"/>
      <c r="U151" s="37"/>
      <c r="V151" s="37"/>
      <c r="W151" s="37"/>
      <c r="X151" s="37"/>
      <c r="Y151" s="37"/>
      <c r="Z151" s="37"/>
      <c r="AA151" s="37"/>
      <c r="AB151" s="37"/>
      <c r="AC151" s="37"/>
      <c r="AD151" s="37"/>
      <c r="AE151" s="37"/>
      <c r="AF151" s="37"/>
      <c r="AG151" s="37"/>
    </row>
    <row r="152" spans="1:33" ht="15">
      <c r="A152" s="13"/>
      <c r="B152" s="37"/>
      <c r="C152" s="37"/>
      <c r="D152" s="37"/>
      <c r="E152" s="37"/>
      <c r="F152" s="37"/>
      <c r="G152" s="37"/>
      <c r="H152" s="37"/>
      <c r="I152" s="37"/>
      <c r="J152" s="37"/>
      <c r="K152" s="37"/>
      <c r="L152" s="37"/>
      <c r="M152" s="37"/>
      <c r="N152" s="37"/>
      <c r="O152" s="37"/>
      <c r="P152" s="37"/>
      <c r="Q152" s="37"/>
      <c r="R152" s="37"/>
      <c r="S152" s="37"/>
      <c r="T152" s="37"/>
      <c r="U152" s="37"/>
      <c r="V152" s="37"/>
      <c r="W152" s="37"/>
      <c r="X152" s="37"/>
      <c r="Y152" s="37"/>
      <c r="Z152" s="37"/>
      <c r="AA152" s="37"/>
      <c r="AB152" s="37"/>
      <c r="AC152" s="37"/>
      <c r="AD152" s="37"/>
      <c r="AE152" s="37"/>
      <c r="AF152" s="37"/>
      <c r="AG152" s="37"/>
    </row>
    <row r="153" spans="1:33" ht="15">
      <c r="A153" s="13"/>
      <c r="B153" s="37"/>
      <c r="C153" s="37"/>
      <c r="D153" s="37"/>
      <c r="E153" s="37"/>
      <c r="F153" s="37"/>
      <c r="G153" s="37"/>
      <c r="H153" s="37"/>
      <c r="I153" s="37"/>
      <c r="J153" s="37"/>
      <c r="K153" s="37"/>
      <c r="L153" s="37"/>
      <c r="M153" s="37"/>
      <c r="N153" s="37"/>
      <c r="O153" s="37"/>
      <c r="P153" s="37"/>
      <c r="Q153" s="37"/>
      <c r="R153" s="37"/>
      <c r="S153" s="37"/>
      <c r="T153" s="37"/>
      <c r="U153" s="37"/>
      <c r="V153" s="37"/>
      <c r="W153" s="37"/>
      <c r="X153" s="37"/>
      <c r="Y153" s="37"/>
      <c r="Z153" s="37"/>
      <c r="AA153" s="37"/>
      <c r="AB153" s="37"/>
      <c r="AC153" s="37"/>
      <c r="AD153" s="37"/>
      <c r="AE153" s="37"/>
      <c r="AF153" s="37"/>
      <c r="AG153" s="37"/>
    </row>
    <row r="154" spans="1:33" ht="15">
      <c r="A154" s="13"/>
      <c r="B154" s="37"/>
      <c r="C154" s="37"/>
      <c r="D154" s="37"/>
      <c r="E154" s="37"/>
      <c r="F154" s="37"/>
      <c r="G154" s="37"/>
      <c r="H154" s="37"/>
      <c r="I154" s="37"/>
      <c r="J154" s="37"/>
      <c r="K154" s="37"/>
      <c r="L154" s="37"/>
      <c r="M154" s="37"/>
      <c r="N154" s="37"/>
      <c r="O154" s="37"/>
      <c r="P154" s="37"/>
      <c r="Q154" s="37"/>
      <c r="R154" s="37"/>
      <c r="S154" s="37"/>
      <c r="T154" s="37"/>
      <c r="U154" s="37"/>
      <c r="V154" s="37"/>
      <c r="W154" s="37"/>
      <c r="X154" s="37"/>
      <c r="Y154" s="37"/>
      <c r="Z154" s="37"/>
      <c r="AA154" s="37"/>
      <c r="AB154" s="37"/>
      <c r="AC154" s="37"/>
      <c r="AD154" s="37"/>
      <c r="AE154" s="37"/>
      <c r="AF154" s="37"/>
      <c r="AG154" s="37"/>
    </row>
    <row r="155" spans="1:33" ht="15">
      <c r="A155" s="13"/>
      <c r="B155" s="37"/>
      <c r="C155" s="37"/>
      <c r="D155" s="37"/>
      <c r="E155" s="37"/>
      <c r="F155" s="37"/>
      <c r="G155" s="37"/>
      <c r="H155" s="37"/>
      <c r="I155" s="37"/>
      <c r="J155" s="37"/>
      <c r="K155" s="37"/>
      <c r="L155" s="37"/>
      <c r="M155" s="37"/>
      <c r="N155" s="37"/>
      <c r="O155" s="37"/>
      <c r="P155" s="37"/>
      <c r="Q155" s="37"/>
      <c r="R155" s="37"/>
      <c r="S155" s="37"/>
      <c r="T155" s="37"/>
      <c r="U155" s="37"/>
      <c r="V155" s="37"/>
      <c r="W155" s="37"/>
      <c r="X155" s="37"/>
      <c r="Y155" s="37"/>
      <c r="Z155" s="37"/>
      <c r="AA155" s="37"/>
      <c r="AB155" s="37"/>
      <c r="AC155" s="37"/>
      <c r="AD155" s="37"/>
      <c r="AE155" s="37"/>
      <c r="AF155" s="37"/>
      <c r="AG155" s="37"/>
    </row>
    <row r="156" spans="1:33" ht="15">
      <c r="A156" s="13"/>
      <c r="B156" s="37"/>
      <c r="C156" s="37"/>
      <c r="D156" s="37"/>
      <c r="E156" s="37"/>
      <c r="F156" s="37"/>
      <c r="G156" s="37"/>
      <c r="H156" s="37"/>
      <c r="I156" s="37"/>
      <c r="J156" s="37"/>
      <c r="K156" s="37"/>
      <c r="L156" s="37"/>
      <c r="M156" s="37"/>
      <c r="N156" s="37"/>
      <c r="O156" s="37"/>
      <c r="P156" s="37"/>
      <c r="Q156" s="37"/>
      <c r="R156" s="37"/>
      <c r="S156" s="37"/>
      <c r="T156" s="37"/>
      <c r="U156" s="37"/>
      <c r="V156" s="37"/>
      <c r="W156" s="37"/>
      <c r="X156" s="37"/>
      <c r="Y156" s="37"/>
      <c r="Z156" s="37"/>
      <c r="AA156" s="37"/>
      <c r="AB156" s="37"/>
      <c r="AC156" s="37"/>
      <c r="AD156" s="37"/>
      <c r="AE156" s="37"/>
      <c r="AF156" s="37"/>
      <c r="AG156" s="37"/>
    </row>
    <row r="157" spans="1:33" ht="15">
      <c r="A157" s="13"/>
      <c r="B157" s="37"/>
      <c r="C157" s="37"/>
      <c r="D157" s="37"/>
      <c r="E157" s="37"/>
      <c r="F157" s="37"/>
      <c r="G157" s="37"/>
      <c r="H157" s="37"/>
      <c r="I157" s="37"/>
      <c r="J157" s="37"/>
      <c r="K157" s="37"/>
      <c r="L157" s="37"/>
      <c r="M157" s="37"/>
      <c r="N157" s="37"/>
      <c r="O157" s="37"/>
      <c r="P157" s="37"/>
      <c r="Q157" s="37"/>
      <c r="R157" s="37"/>
      <c r="S157" s="37"/>
      <c r="T157" s="37"/>
      <c r="U157" s="37"/>
      <c r="V157" s="37"/>
      <c r="W157" s="37"/>
      <c r="X157" s="37"/>
      <c r="Y157" s="37"/>
      <c r="Z157" s="37"/>
      <c r="AA157" s="37"/>
      <c r="AB157" s="37"/>
      <c r="AC157" s="37"/>
      <c r="AD157" s="37"/>
      <c r="AE157" s="37"/>
      <c r="AF157" s="37"/>
      <c r="AG157" s="37"/>
    </row>
    <row r="158" spans="1:33" ht="15">
      <c r="A158" s="13"/>
      <c r="B158" s="37"/>
      <c r="C158" s="37"/>
      <c r="D158" s="37"/>
      <c r="E158" s="37"/>
      <c r="F158" s="37"/>
      <c r="G158" s="37"/>
      <c r="H158" s="37"/>
      <c r="I158" s="37"/>
      <c r="J158" s="37"/>
      <c r="K158" s="37"/>
      <c r="L158" s="37"/>
      <c r="M158" s="37"/>
      <c r="N158" s="37"/>
      <c r="O158" s="37"/>
      <c r="P158" s="37"/>
      <c r="Q158" s="37"/>
      <c r="R158" s="37"/>
      <c r="S158" s="37"/>
      <c r="T158" s="37"/>
      <c r="U158" s="37"/>
      <c r="V158" s="37"/>
      <c r="W158" s="37"/>
      <c r="X158" s="37"/>
      <c r="Y158" s="37"/>
      <c r="Z158" s="37"/>
      <c r="AA158" s="37"/>
      <c r="AB158" s="37"/>
      <c r="AC158" s="37"/>
      <c r="AD158" s="37"/>
      <c r="AE158" s="37"/>
      <c r="AF158" s="37"/>
      <c r="AG158" s="37"/>
    </row>
    <row r="159" spans="1:33" ht="15">
      <c r="A159" s="13"/>
      <c r="B159" s="37"/>
      <c r="C159" s="37"/>
      <c r="D159" s="37"/>
      <c r="E159" s="37"/>
      <c r="F159" s="37"/>
      <c r="G159" s="37"/>
      <c r="H159" s="37"/>
      <c r="I159" s="37"/>
      <c r="J159" s="37"/>
      <c r="K159" s="37"/>
      <c r="L159" s="37"/>
      <c r="M159" s="37"/>
      <c r="N159" s="37"/>
      <c r="O159" s="37"/>
      <c r="P159" s="37"/>
      <c r="Q159" s="37"/>
      <c r="R159" s="37"/>
      <c r="S159" s="37"/>
      <c r="T159" s="37"/>
      <c r="U159" s="37"/>
      <c r="V159" s="37"/>
      <c r="W159" s="37"/>
      <c r="X159" s="37"/>
      <c r="Y159" s="37"/>
      <c r="Z159" s="37"/>
      <c r="AA159" s="37"/>
      <c r="AB159" s="37"/>
      <c r="AC159" s="37"/>
      <c r="AD159" s="37"/>
      <c r="AE159" s="37"/>
      <c r="AF159" s="37"/>
      <c r="AG159" s="37"/>
    </row>
    <row r="160" spans="1:33" ht="15">
      <c r="A160" s="13"/>
      <c r="B160" s="37"/>
      <c r="C160" s="37"/>
      <c r="D160" s="37"/>
      <c r="E160" s="37"/>
      <c r="F160" s="37"/>
      <c r="G160" s="37"/>
      <c r="H160" s="37"/>
      <c r="I160" s="37"/>
      <c r="J160" s="37"/>
      <c r="K160" s="37"/>
      <c r="L160" s="37"/>
      <c r="M160" s="37"/>
      <c r="N160" s="37"/>
      <c r="O160" s="37"/>
      <c r="P160" s="37"/>
      <c r="Q160" s="37"/>
      <c r="R160" s="37"/>
      <c r="S160" s="37"/>
      <c r="T160" s="37"/>
      <c r="U160" s="37"/>
      <c r="V160" s="37"/>
      <c r="W160" s="37"/>
      <c r="X160" s="37"/>
      <c r="Y160" s="37"/>
      <c r="Z160" s="37"/>
      <c r="AA160" s="37"/>
      <c r="AB160" s="37"/>
      <c r="AC160" s="37"/>
      <c r="AD160" s="37"/>
      <c r="AE160" s="37"/>
      <c r="AF160" s="37"/>
      <c r="AG160" s="37"/>
    </row>
    <row r="161" spans="1:33" ht="15">
      <c r="A161" s="13"/>
      <c r="B161" s="37"/>
      <c r="C161" s="37"/>
      <c r="D161" s="37"/>
      <c r="E161" s="37"/>
      <c r="F161" s="37"/>
      <c r="G161" s="37"/>
      <c r="H161" s="37"/>
      <c r="I161" s="37"/>
      <c r="J161" s="37"/>
      <c r="K161" s="37"/>
      <c r="L161" s="37"/>
      <c r="M161" s="37"/>
      <c r="N161" s="37"/>
      <c r="O161" s="37"/>
      <c r="P161" s="37"/>
      <c r="Q161" s="37"/>
      <c r="R161" s="37"/>
      <c r="S161" s="37"/>
      <c r="T161" s="37"/>
      <c r="U161" s="37"/>
      <c r="V161" s="37"/>
      <c r="W161" s="37"/>
      <c r="X161" s="37"/>
      <c r="Y161" s="37"/>
      <c r="Z161" s="37"/>
      <c r="AA161" s="37"/>
      <c r="AB161" s="37"/>
      <c r="AC161" s="37"/>
      <c r="AD161" s="37"/>
      <c r="AE161" s="37"/>
      <c r="AF161" s="37"/>
      <c r="AG161" s="37"/>
    </row>
    <row r="162" spans="1:33" ht="15">
      <c r="A162" s="13"/>
      <c r="B162" s="37"/>
      <c r="C162" s="37"/>
      <c r="D162" s="37"/>
      <c r="E162" s="37"/>
      <c r="F162" s="37"/>
      <c r="G162" s="37"/>
      <c r="H162" s="37"/>
      <c r="I162" s="37"/>
      <c r="J162" s="37"/>
      <c r="K162" s="37"/>
      <c r="L162" s="37"/>
      <c r="M162" s="37"/>
      <c r="N162" s="37"/>
      <c r="O162" s="37"/>
      <c r="P162" s="37"/>
      <c r="Q162" s="37"/>
      <c r="R162" s="37"/>
      <c r="S162" s="37"/>
      <c r="T162" s="37"/>
      <c r="U162" s="37"/>
      <c r="V162" s="37"/>
      <c r="W162" s="37"/>
      <c r="X162" s="37"/>
      <c r="Y162" s="37"/>
      <c r="Z162" s="37"/>
      <c r="AA162" s="37"/>
      <c r="AB162" s="37"/>
      <c r="AC162" s="37"/>
      <c r="AD162" s="37"/>
      <c r="AE162" s="37"/>
      <c r="AF162" s="37"/>
      <c r="AG162" s="37"/>
    </row>
    <row r="163" spans="1:33" ht="15">
      <c r="A163" s="13"/>
      <c r="B163" s="37"/>
      <c r="C163" s="37"/>
      <c r="D163" s="37"/>
      <c r="E163" s="37"/>
      <c r="F163" s="37"/>
      <c r="G163" s="37"/>
      <c r="H163" s="37"/>
      <c r="I163" s="37"/>
      <c r="J163" s="37"/>
      <c r="K163" s="37"/>
      <c r="L163" s="37"/>
      <c r="M163" s="37"/>
      <c r="N163" s="37"/>
      <c r="O163" s="37"/>
      <c r="P163" s="37"/>
      <c r="Q163" s="37"/>
      <c r="R163" s="37"/>
      <c r="S163" s="37"/>
      <c r="T163" s="37"/>
      <c r="U163" s="37"/>
      <c r="V163" s="37"/>
      <c r="W163" s="37"/>
      <c r="X163" s="37"/>
      <c r="Y163" s="37"/>
      <c r="Z163" s="37"/>
      <c r="AA163" s="37"/>
      <c r="AB163" s="37"/>
      <c r="AC163" s="37"/>
      <c r="AD163" s="37"/>
      <c r="AE163" s="37"/>
      <c r="AF163" s="37"/>
      <c r="AG163" s="37"/>
    </row>
    <row r="164" spans="1:33" ht="15">
      <c r="A164" s="13"/>
      <c r="B164" s="37"/>
      <c r="C164" s="37"/>
      <c r="D164" s="37"/>
      <c r="E164" s="37"/>
      <c r="F164" s="37"/>
      <c r="G164" s="37"/>
      <c r="H164" s="37"/>
      <c r="I164" s="37"/>
      <c r="J164" s="37"/>
      <c r="K164" s="37"/>
      <c r="L164" s="37"/>
      <c r="M164" s="37"/>
      <c r="N164" s="37"/>
      <c r="O164" s="37"/>
      <c r="P164" s="37"/>
      <c r="Q164" s="37"/>
      <c r="R164" s="37"/>
      <c r="S164" s="37"/>
      <c r="T164" s="37"/>
      <c r="U164" s="37"/>
      <c r="V164" s="37"/>
      <c r="W164" s="37"/>
      <c r="X164" s="37"/>
      <c r="Y164" s="37"/>
      <c r="Z164" s="37"/>
      <c r="AA164" s="37"/>
      <c r="AB164" s="37"/>
      <c r="AC164" s="37"/>
      <c r="AD164" s="37"/>
      <c r="AE164" s="37"/>
      <c r="AF164" s="37"/>
      <c r="AG164" s="37"/>
    </row>
    <row r="165" spans="1:33" ht="15">
      <c r="A165" s="13"/>
      <c r="B165" s="37"/>
      <c r="C165" s="37"/>
      <c r="D165" s="37"/>
      <c r="E165" s="37"/>
      <c r="F165" s="37"/>
      <c r="G165" s="37"/>
      <c r="H165" s="37"/>
      <c r="I165" s="37"/>
      <c r="J165" s="37"/>
      <c r="K165" s="37"/>
      <c r="L165" s="37"/>
      <c r="M165" s="37"/>
      <c r="N165" s="37"/>
      <c r="O165" s="37"/>
      <c r="P165" s="37"/>
      <c r="Q165" s="37"/>
      <c r="R165" s="37"/>
      <c r="S165" s="37"/>
      <c r="T165" s="37"/>
      <c r="U165" s="37"/>
      <c r="V165" s="37"/>
      <c r="W165" s="37"/>
      <c r="X165" s="37"/>
      <c r="Y165" s="37"/>
      <c r="Z165" s="37"/>
      <c r="AA165" s="37"/>
      <c r="AB165" s="37"/>
      <c r="AC165" s="37"/>
      <c r="AD165" s="37"/>
      <c r="AE165" s="37"/>
      <c r="AF165" s="37"/>
      <c r="AG165" s="37"/>
    </row>
    <row r="166" spans="1:33" ht="15">
      <c r="A166" s="13"/>
      <c r="B166" s="37"/>
      <c r="C166" s="37"/>
      <c r="D166" s="37"/>
      <c r="E166" s="37"/>
      <c r="F166" s="37"/>
      <c r="G166" s="37"/>
      <c r="H166" s="37"/>
      <c r="I166" s="37"/>
      <c r="J166" s="37"/>
      <c r="K166" s="37"/>
      <c r="L166" s="37"/>
      <c r="M166" s="37"/>
      <c r="N166" s="37"/>
      <c r="O166" s="37"/>
      <c r="P166" s="37"/>
      <c r="Q166" s="37"/>
      <c r="R166" s="37"/>
      <c r="S166" s="37"/>
      <c r="T166" s="37"/>
      <c r="U166" s="37"/>
      <c r="V166" s="37"/>
      <c r="W166" s="37"/>
      <c r="X166" s="37"/>
      <c r="Y166" s="37"/>
      <c r="Z166" s="37"/>
      <c r="AA166" s="37"/>
      <c r="AB166" s="37"/>
      <c r="AC166" s="37"/>
      <c r="AD166" s="37"/>
      <c r="AE166" s="37"/>
      <c r="AF166" s="37"/>
      <c r="AG166" s="37"/>
    </row>
    <row r="167" spans="1:33" ht="15">
      <c r="A167" s="13"/>
      <c r="B167" s="37"/>
      <c r="C167" s="37"/>
      <c r="D167" s="37"/>
      <c r="E167" s="37"/>
      <c r="F167" s="37"/>
      <c r="G167" s="37"/>
      <c r="H167" s="37"/>
      <c r="I167" s="37"/>
      <c r="J167" s="37"/>
      <c r="K167" s="37"/>
      <c r="L167" s="37"/>
      <c r="M167" s="37"/>
      <c r="N167" s="37"/>
      <c r="O167" s="37"/>
      <c r="P167" s="37"/>
      <c r="Q167" s="37"/>
      <c r="R167" s="37"/>
      <c r="S167" s="37"/>
      <c r="T167" s="37"/>
      <c r="U167" s="37"/>
      <c r="V167" s="37"/>
      <c r="W167" s="37"/>
      <c r="X167" s="37"/>
      <c r="Y167" s="37"/>
      <c r="Z167" s="37"/>
      <c r="AA167" s="37"/>
      <c r="AB167" s="37"/>
      <c r="AC167" s="37"/>
      <c r="AD167" s="37"/>
      <c r="AE167" s="37"/>
      <c r="AF167" s="37"/>
      <c r="AG167" s="37"/>
    </row>
    <row r="168" spans="1:33" ht="15">
      <c r="A168" s="13"/>
      <c r="B168" s="37"/>
      <c r="C168" s="37"/>
      <c r="D168" s="37"/>
      <c r="E168" s="37"/>
      <c r="F168" s="37"/>
      <c r="G168" s="37"/>
      <c r="H168" s="37"/>
      <c r="I168" s="37"/>
      <c r="J168" s="37"/>
      <c r="K168" s="37"/>
      <c r="L168" s="37"/>
      <c r="M168" s="37"/>
      <c r="N168" s="37"/>
      <c r="O168" s="37"/>
      <c r="P168" s="37"/>
      <c r="Q168" s="37"/>
      <c r="R168" s="37"/>
      <c r="S168" s="37"/>
      <c r="T168" s="37"/>
      <c r="U168" s="37"/>
      <c r="V168" s="37"/>
      <c r="W168" s="37"/>
      <c r="X168" s="37"/>
      <c r="Y168" s="37"/>
      <c r="Z168" s="37"/>
      <c r="AA168" s="37"/>
      <c r="AB168" s="37"/>
      <c r="AC168" s="37"/>
      <c r="AD168" s="37"/>
      <c r="AE168" s="37"/>
      <c r="AF168" s="37"/>
      <c r="AG168" s="37"/>
    </row>
    <row r="169" spans="1:33" ht="15">
      <c r="A169" s="13"/>
      <c r="B169" s="37"/>
      <c r="C169" s="37"/>
      <c r="D169" s="37"/>
      <c r="E169" s="37"/>
      <c r="F169" s="37"/>
      <c r="G169" s="37"/>
      <c r="H169" s="37"/>
      <c r="I169" s="37"/>
      <c r="J169" s="37"/>
      <c r="K169" s="37"/>
      <c r="L169" s="37"/>
      <c r="M169" s="37"/>
      <c r="N169" s="37"/>
      <c r="O169" s="37"/>
      <c r="P169" s="37"/>
      <c r="Q169" s="37"/>
      <c r="R169" s="37"/>
      <c r="S169" s="37"/>
      <c r="T169" s="37"/>
      <c r="U169" s="37"/>
      <c r="V169" s="37"/>
      <c r="W169" s="37"/>
      <c r="X169" s="37"/>
      <c r="Y169" s="37"/>
      <c r="Z169" s="37"/>
      <c r="AA169" s="37"/>
      <c r="AB169" s="37"/>
      <c r="AC169" s="37"/>
      <c r="AD169" s="37"/>
      <c r="AE169" s="37"/>
      <c r="AF169" s="37"/>
      <c r="AG169" s="37"/>
    </row>
    <row r="170" spans="1:33" ht="15">
      <c r="A170" s="13"/>
      <c r="B170" s="37"/>
      <c r="C170" s="37"/>
      <c r="D170" s="37"/>
      <c r="E170" s="37"/>
      <c r="F170" s="37"/>
      <c r="G170" s="37"/>
      <c r="H170" s="37"/>
      <c r="I170" s="37"/>
      <c r="J170" s="37"/>
      <c r="K170" s="37"/>
      <c r="L170" s="37"/>
      <c r="M170" s="37"/>
      <c r="N170" s="37"/>
      <c r="O170" s="37"/>
      <c r="P170" s="37"/>
      <c r="Q170" s="37"/>
      <c r="R170" s="37"/>
      <c r="S170" s="37"/>
      <c r="T170" s="37"/>
      <c r="U170" s="37"/>
      <c r="V170" s="37"/>
      <c r="W170" s="37"/>
      <c r="X170" s="37"/>
      <c r="Y170" s="37"/>
      <c r="Z170" s="37"/>
      <c r="AA170" s="37"/>
      <c r="AB170" s="37"/>
      <c r="AC170" s="37"/>
      <c r="AD170" s="37"/>
      <c r="AE170" s="37"/>
      <c r="AF170" s="37"/>
      <c r="AG170" s="37"/>
    </row>
    <row r="171" spans="1:33" ht="15">
      <c r="A171" s="13"/>
      <c r="B171" s="37"/>
      <c r="C171" s="37"/>
      <c r="D171" s="37"/>
      <c r="E171" s="37"/>
      <c r="F171" s="37"/>
      <c r="G171" s="37"/>
      <c r="H171" s="37"/>
      <c r="I171" s="37"/>
      <c r="J171" s="37"/>
      <c r="K171" s="37"/>
      <c r="L171" s="37"/>
      <c r="M171" s="37"/>
      <c r="N171" s="37"/>
      <c r="O171" s="37"/>
      <c r="P171" s="37"/>
      <c r="Q171" s="37"/>
      <c r="R171" s="37"/>
      <c r="S171" s="37"/>
      <c r="T171" s="37"/>
      <c r="U171" s="37"/>
      <c r="V171" s="37"/>
      <c r="W171" s="37"/>
      <c r="X171" s="37"/>
      <c r="Y171" s="37"/>
      <c r="Z171" s="37"/>
      <c r="AA171" s="37"/>
      <c r="AB171" s="37"/>
      <c r="AC171" s="37"/>
      <c r="AD171" s="37"/>
      <c r="AE171" s="37"/>
      <c r="AF171" s="37"/>
      <c r="AG171" s="37"/>
    </row>
  </sheetData>
  <sheetProtection sheet="1" formatRows="0"/>
  <mergeCells count="81">
    <mergeCell ref="D74:K74"/>
    <mergeCell ref="D81:K81"/>
    <mergeCell ref="D82:H82"/>
    <mergeCell ref="I82:K82"/>
    <mergeCell ref="D75:K75"/>
    <mergeCell ref="D76:K76"/>
    <mergeCell ref="D77:K77"/>
    <mergeCell ref="D78:K78"/>
    <mergeCell ref="D79:K79"/>
    <mergeCell ref="D80:K80"/>
    <mergeCell ref="C88:F88"/>
    <mergeCell ref="C18:G18"/>
    <mergeCell ref="C14:G14"/>
    <mergeCell ref="C22:G22"/>
    <mergeCell ref="I16:K16"/>
    <mergeCell ref="I20:K20"/>
    <mergeCell ref="C37:G37"/>
    <mergeCell ref="D69:K69"/>
    <mergeCell ref="D70:K70"/>
    <mergeCell ref="D71:K71"/>
    <mergeCell ref="H22:I22"/>
    <mergeCell ref="C28:G28"/>
    <mergeCell ref="C16:G16"/>
    <mergeCell ref="C9:G9"/>
    <mergeCell ref="C8:G8"/>
    <mergeCell ref="C10:G10"/>
    <mergeCell ref="C17:G17"/>
    <mergeCell ref="C21:G21"/>
    <mergeCell ref="C23:G23"/>
    <mergeCell ref="B2:E2"/>
    <mergeCell ref="C20:G20"/>
    <mergeCell ref="C15:G15"/>
    <mergeCell ref="C19:G19"/>
    <mergeCell ref="C7:G7"/>
    <mergeCell ref="C6:G6"/>
    <mergeCell ref="C12:G12"/>
    <mergeCell ref="B3:K3"/>
    <mergeCell ref="B4:K4"/>
    <mergeCell ref="B5:K5"/>
    <mergeCell ref="C67:K67"/>
    <mergeCell ref="C56:G56"/>
    <mergeCell ref="C68:H68"/>
    <mergeCell ref="D72:K72"/>
    <mergeCell ref="D73:K73"/>
    <mergeCell ref="C53:G53"/>
    <mergeCell ref="C83:G83"/>
    <mergeCell ref="C48:G48"/>
    <mergeCell ref="C47:G47"/>
    <mergeCell ref="C50:G50"/>
    <mergeCell ref="C52:G52"/>
    <mergeCell ref="C87:F87"/>
    <mergeCell ref="C86:K86"/>
    <mergeCell ref="C55:G55"/>
    <mergeCell ref="C61:K61"/>
    <mergeCell ref="C57:G57"/>
    <mergeCell ref="C51:G51"/>
    <mergeCell ref="C26:G26"/>
    <mergeCell ref="C27:G27"/>
    <mergeCell ref="E91:J91"/>
    <mergeCell ref="C85:F85"/>
    <mergeCell ref="C89:F89"/>
    <mergeCell ref="C54:G54"/>
    <mergeCell ref="C36:G36"/>
    <mergeCell ref="C49:G49"/>
    <mergeCell ref="G41:J41"/>
    <mergeCell ref="I30:L33"/>
    <mergeCell ref="E41:E42"/>
    <mergeCell ref="F41:F42"/>
    <mergeCell ref="C39:G39"/>
    <mergeCell ref="C40:H40"/>
    <mergeCell ref="C31:G31"/>
    <mergeCell ref="C33:G33"/>
    <mergeCell ref="C38:G38"/>
    <mergeCell ref="C35:G35"/>
    <mergeCell ref="C34:J34"/>
    <mergeCell ref="C32:G32"/>
    <mergeCell ref="C29:G29"/>
    <mergeCell ref="C24:G24"/>
    <mergeCell ref="C25:G25"/>
    <mergeCell ref="C13:G13"/>
    <mergeCell ref="C30:G30"/>
  </mergeCells>
  <dataValidations count="21">
    <dataValidation type="list" allowBlank="1" showInputMessage="1" showErrorMessage="1" sqref="H49 H28 H14 H18 H9 H51 H24">
      <formula1>"Yes,No"</formula1>
    </dataValidation>
    <dataValidation type="list" allowBlank="1" showInputMessage="1" showErrorMessage="1" prompt="A condensate recovery system captures and returns condenste to the boiler for reuse." sqref="H55">
      <formula1>"Yes,No"</formula1>
    </dataValidation>
    <dataValidation type="list" allowBlank="1" showInputMessage="1" showErrorMessage="1" prompt="A conductivity controller initiates boiler discharge (blowdown) only when the total dissolved solids concentration in the boiler have built up to a certain concentration that would put your system at risk of scaling or corrosion." sqref="H57">
      <formula1>"Yes,No"</formula1>
    </dataValidation>
    <dataValidation type="whole" operator="lessThanOrEqual" allowBlank="1" showInputMessage="1" showErrorMessage="1" sqref="J60 K44:K46 J62:J66">
      <formula1>7</formula1>
    </dataValidation>
    <dataValidation type="decimal" operator="lessThanOrEqual" allowBlank="1" showInputMessage="1" showErrorMessage="1" sqref="I60 I62:I66">
      <formula1>24</formula1>
    </dataValidation>
    <dataValidation type="decimal" operator="lessThanOrEqual" allowBlank="1" showInputMessage="1" showErrorMessage="1" sqref="G60:H60 G62:H66">
      <formula1>60</formula1>
    </dataValidation>
    <dataValidation allowBlank="1" showInputMessage="1" showErrorMessage="1" prompt="If unknown, use a stopwatch and bucket to assess how much water flows into the bucket in a minute." sqref="I40"/>
    <dataValidation type="list" allowBlank="1" showInputMessage="1" showErrorMessage="1" prompt="Types of equipment that may use single-pass cooling include point-of-use chillers, other refrigeration systems, air conditioners, condensers, and air compressors." sqref="H38">
      <formula1>"Yes,No"</formula1>
    </dataValidation>
    <dataValidation type="decimal" operator="greaterThan" allowBlank="1" showInputMessage="1" showErrorMessage="1" prompt="If unknown, use a stopwatch and bucket to assess how much water flows into the bucket in a minute." error="The flow rate must be greater than 0 gallons per minute." sqref="F43:F46">
      <formula1>0</formula1>
    </dataValidation>
    <dataValidation type="list" allowBlank="1" showInputMessage="1" showErrorMessage="1" sqref="H22">
      <formula1>"Manually not based on conductivity,Manually based on conductivity,Timer-based control,Automatic control based on conductivity"</formula1>
    </dataValidation>
    <dataValidation type="decimal" allowBlank="1" showInputMessage="1" showErrorMessage="1" prompt="If you have multiple cooling towers servicing your building, add the tonnage ratings together to get the total tonnage of cooling provided to your building." error="Your cooling tower capacity, in tons, must fall between 0 and 25,000." sqref="H12">
      <formula1>0</formula1>
      <formula2>25000</formula2>
    </dataValidation>
    <dataValidation type="decimal" operator="greaterThanOrEqual" allowBlank="1" showInputMessage="1" showErrorMessage="1" error="You conductivity or TDS must be a value greater than or equal to 0." sqref="H30 H32">
      <formula1>0</formula1>
    </dataValidation>
    <dataValidation type="decimal" allowBlank="1" showInputMessage="1" showErrorMessage="1" error="The number of minutes per hour must be between 0 and 60." sqref="G43:G46">
      <formula1>0</formula1>
      <formula2>60</formula2>
    </dataValidation>
    <dataValidation type="decimal" allowBlank="1" showInputMessage="1" showErrorMessage="1" error="The number of hours per day must be between 0 and 24." sqref="H43:H46">
      <formula1>0</formula1>
      <formula2>24</formula2>
    </dataValidation>
    <dataValidation type="decimal" allowBlank="1" showInputMessage="1" showErrorMessage="1" error="The number of days per week must be between 0 and 7." sqref="I43:I46">
      <formula1>0</formula1>
      <formula2>7</formula2>
    </dataValidation>
    <dataValidation type="decimal" allowBlank="1" showInputMessage="1" showErrorMessage="1" error="The number of weeks per year must be between 0 and 52." sqref="J43:J46">
      <formula1>0</formula1>
      <formula2>52</formula2>
    </dataValidation>
    <dataValidation type="decimal" operator="greaterThan" allowBlank="1" showInputMessage="1" showErrorMessage="1" error="The evaporation rate (gal/hr) per ton of cooling must be a value greater than 0." sqref="G87">
      <formula1>0</formula1>
    </dataValidation>
    <dataValidation type="decimal" allowBlank="1" showInputMessage="1" showErrorMessage="1" sqref="G88">
      <formula1>0</formula1>
      <formula2>1</formula2>
    </dataValidation>
    <dataValidation type="decimal" operator="greaterThanOrEqual" allowBlank="1" showInputMessage="1" showErrorMessage="1" error="The target Cycles of Concentration (CoC) must be a value greater than or equal to 1." sqref="G89">
      <formula1>1</formula1>
    </dataValidation>
    <dataValidation type="decimal" allowBlank="1" showInputMessage="1" showErrorMessage="1" error="If known, your cycles of concentration must be a number between 1 and 25." sqref="H26">
      <formula1>1</formula1>
      <formula2>25</formula2>
    </dataValidation>
    <dataValidation type="decimal" operator="greaterThanOrEqual" allowBlank="1" showInputMessage="1" showErrorMessage="1" error="The number of gallons of make-up water used in your boiler system annually must be a value greater than or equal to 0." sqref="H53">
      <formula1>0</formula1>
    </dataValidation>
  </dataValidations>
  <hyperlinks>
    <hyperlink ref="C11" r:id="rId1" display="Cooling Tower BMPs"/>
    <hyperlink ref="I82" r:id="rId2" display="Mechanical Systems BMPs."/>
    <hyperlink ref="I82:K82" r:id="rId3" display="WaterSense at Work Section 6: Mechanical Systems"/>
  </hyperlinks>
  <printOptions horizontalCentered="1"/>
  <pageMargins left="0.25" right="0.25" top="0.75" bottom="0.5" header="0.25" footer="0.25"/>
  <pageSetup fitToHeight="3" fitToWidth="1" horizontalDpi="1200" verticalDpi="1200" orientation="landscape" scale="71" r:id="rId6"/>
  <headerFooter alignWithMargins="0">
    <oddHeader>&amp;C&amp;18&amp;F</oddHeader>
    <oddFooter>&amp;C&amp;P of &amp;N</oddFooter>
  </headerFooter>
  <drawing r:id="rId5"/>
  <legacyDrawing r:id="rId4"/>
</worksheet>
</file>

<file path=xl/worksheets/sheet13.xml><?xml version="1.0" encoding="utf-8"?>
<worksheet xmlns="http://schemas.openxmlformats.org/spreadsheetml/2006/main" xmlns:r="http://schemas.openxmlformats.org/officeDocument/2006/relationships">
  <sheetPr codeName="Irrigation">
    <pageSetUpPr fitToPage="1"/>
  </sheetPr>
  <dimension ref="A1:AN112"/>
  <sheetViews>
    <sheetView showGridLines="0" zoomScalePageLayoutView="0" workbookViewId="0" topLeftCell="A1">
      <pane xSplit="1" ySplit="2" topLeftCell="B3" activePane="bottomRight" state="frozen"/>
      <selection pane="topLeft" activeCell="B2" sqref="B2:D2"/>
      <selection pane="topRight" activeCell="B2" sqref="B2:D2"/>
      <selection pane="bottomLeft" activeCell="B2" sqref="B2:D2"/>
      <selection pane="bottomRight" activeCell="G6" sqref="G6"/>
    </sheetView>
  </sheetViews>
  <sheetFormatPr defaultColWidth="9.140625" defaultRowHeight="15"/>
  <cols>
    <col min="1" max="1" width="4.7109375" style="12" customWidth="1"/>
    <col min="2" max="2" width="4.7109375" style="410" customWidth="1"/>
    <col min="3" max="3" width="7.00390625" style="1" customWidth="1"/>
    <col min="4" max="4" width="13.57421875" style="1" customWidth="1"/>
    <col min="5" max="5" width="24.7109375" style="1" customWidth="1"/>
    <col min="6" max="6" width="20.7109375" style="1" customWidth="1"/>
    <col min="7" max="7" width="15.7109375" style="1" customWidth="1"/>
    <col min="8" max="8" width="29.7109375" style="1" customWidth="1"/>
    <col min="9" max="9" width="36.00390625" style="1" customWidth="1"/>
    <col min="10" max="10" width="16.140625" style="1" customWidth="1"/>
    <col min="11" max="11" width="4.7109375" style="12" customWidth="1"/>
    <col min="12" max="12" width="11.28125" style="1" customWidth="1"/>
    <col min="13" max="16384" width="9.140625" style="1" customWidth="1"/>
  </cols>
  <sheetData>
    <row r="1" spans="1:40" s="12" customFormat="1" ht="42" customHeight="1">
      <c r="A1" s="13"/>
      <c r="B1" s="409"/>
      <c r="C1" s="13"/>
      <c r="D1" s="797" t="s">
        <v>783</v>
      </c>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row>
    <row r="2" spans="1:40" ht="18.75">
      <c r="A2" s="13"/>
      <c r="B2" s="935" t="s">
        <v>17</v>
      </c>
      <c r="C2" s="935"/>
      <c r="D2" s="935"/>
      <c r="E2" s="935"/>
      <c r="F2" s="303"/>
      <c r="K2" s="13"/>
      <c r="L2" s="37"/>
      <c r="M2" s="37"/>
      <c r="N2" s="37"/>
      <c r="O2" s="37"/>
      <c r="P2" s="37"/>
      <c r="Q2" s="37"/>
      <c r="R2" s="37"/>
      <c r="S2" s="37"/>
      <c r="T2" s="37"/>
      <c r="U2" s="37"/>
      <c r="V2" s="37"/>
      <c r="W2" s="37"/>
      <c r="X2" s="37"/>
      <c r="Y2" s="37"/>
      <c r="Z2" s="37"/>
      <c r="AA2" s="37"/>
      <c r="AB2" s="37"/>
      <c r="AC2" s="37"/>
      <c r="AD2" s="37"/>
      <c r="AE2" s="37"/>
      <c r="AF2" s="37"/>
      <c r="AG2" s="37"/>
      <c r="AH2" s="37"/>
      <c r="AI2" s="37"/>
      <c r="AJ2" s="37"/>
      <c r="AK2" s="37"/>
      <c r="AL2" s="37"/>
      <c r="AM2" s="37"/>
      <c r="AN2" s="37"/>
    </row>
    <row r="3" spans="1:40" s="802" customFormat="1" ht="63.75" customHeight="1">
      <c r="A3" s="50"/>
      <c r="B3" s="950" t="s">
        <v>880</v>
      </c>
      <c r="C3" s="951"/>
      <c r="D3" s="951"/>
      <c r="E3" s="951"/>
      <c r="F3" s="951"/>
      <c r="G3" s="951"/>
      <c r="H3" s="951"/>
      <c r="I3" s="951"/>
      <c r="J3" s="815"/>
      <c r="K3" s="50"/>
      <c r="L3" s="60"/>
      <c r="M3" s="60"/>
      <c r="N3" s="60"/>
      <c r="O3" s="60"/>
      <c r="P3" s="60"/>
      <c r="Q3" s="60"/>
      <c r="R3" s="60"/>
      <c r="S3" s="60"/>
      <c r="T3" s="60"/>
      <c r="U3" s="60"/>
      <c r="V3" s="60"/>
      <c r="W3" s="60"/>
      <c r="X3" s="60"/>
      <c r="Y3" s="60"/>
      <c r="Z3" s="60"/>
      <c r="AA3" s="60"/>
      <c r="AB3" s="60"/>
      <c r="AC3" s="60"/>
      <c r="AD3" s="60"/>
      <c r="AE3" s="60"/>
      <c r="AF3" s="60"/>
      <c r="AG3" s="60"/>
      <c r="AH3" s="60"/>
      <c r="AI3" s="60"/>
      <c r="AJ3" s="60"/>
      <c r="AK3" s="60"/>
      <c r="AL3" s="60"/>
      <c r="AM3" s="60"/>
      <c r="AN3" s="60"/>
    </row>
    <row r="4" spans="1:40" ht="18.75">
      <c r="A4" s="13"/>
      <c r="C4" s="937" t="s">
        <v>18</v>
      </c>
      <c r="D4" s="937"/>
      <c r="E4" s="937"/>
      <c r="F4" s="937"/>
      <c r="K4" s="13"/>
      <c r="L4" s="37"/>
      <c r="M4" s="36"/>
      <c r="N4" s="37"/>
      <c r="O4" s="37"/>
      <c r="P4" s="37"/>
      <c r="Q4" s="37"/>
      <c r="R4" s="37"/>
      <c r="S4" s="37"/>
      <c r="T4" s="37"/>
      <c r="U4" s="37"/>
      <c r="V4" s="37"/>
      <c r="W4" s="37"/>
      <c r="X4" s="37"/>
      <c r="Y4" s="37"/>
      <c r="Z4" s="37"/>
      <c r="AA4" s="37"/>
      <c r="AB4" s="37"/>
      <c r="AC4" s="37"/>
      <c r="AD4" s="37"/>
      <c r="AE4" s="37"/>
      <c r="AF4" s="37"/>
      <c r="AG4" s="37"/>
      <c r="AH4" s="37"/>
      <c r="AI4" s="37"/>
      <c r="AJ4" s="37"/>
      <c r="AK4" s="37"/>
      <c r="AL4" s="37"/>
      <c r="AM4" s="37"/>
      <c r="AN4" s="37"/>
    </row>
    <row r="5" spans="1:40" ht="15">
      <c r="A5" s="14"/>
      <c r="B5" s="411"/>
      <c r="C5" s="1015"/>
      <c r="D5" s="1015"/>
      <c r="E5" s="1015"/>
      <c r="F5" s="1015"/>
      <c r="K5" s="14"/>
      <c r="L5" s="37"/>
      <c r="M5" s="37"/>
      <c r="N5" s="37"/>
      <c r="O5" s="37"/>
      <c r="P5" s="37"/>
      <c r="Q5" s="37"/>
      <c r="R5" s="37"/>
      <c r="S5" s="37"/>
      <c r="T5" s="37"/>
      <c r="U5" s="37"/>
      <c r="V5" s="37"/>
      <c r="W5" s="37"/>
      <c r="X5" s="37"/>
      <c r="Y5" s="37"/>
      <c r="Z5" s="37"/>
      <c r="AA5" s="37"/>
      <c r="AB5" s="37"/>
      <c r="AC5" s="37"/>
      <c r="AD5" s="37"/>
      <c r="AE5" s="37"/>
      <c r="AF5" s="37"/>
      <c r="AG5" s="37"/>
      <c r="AH5" s="37"/>
      <c r="AI5" s="37"/>
      <c r="AJ5" s="37"/>
      <c r="AK5" s="37"/>
      <c r="AL5" s="37"/>
      <c r="AM5" s="37"/>
      <c r="AN5" s="37"/>
    </row>
    <row r="6" spans="1:40" ht="15">
      <c r="A6" s="13"/>
      <c r="C6" s="878" t="s">
        <v>51</v>
      </c>
      <c r="D6" s="878"/>
      <c r="E6" s="878"/>
      <c r="F6" s="878"/>
      <c r="G6" s="744"/>
      <c r="K6" s="13"/>
      <c r="L6" s="36" t="str">
        <f>IF(G6&lt;&gt;"Yes","No results to display.","")</f>
        <v>No results to display.</v>
      </c>
      <c r="M6" s="37"/>
      <c r="N6" s="37"/>
      <c r="O6" s="37"/>
      <c r="P6" s="37"/>
      <c r="Q6" s="37"/>
      <c r="R6" s="37"/>
      <c r="S6" s="37"/>
      <c r="T6" s="37"/>
      <c r="U6" s="37"/>
      <c r="V6" s="37"/>
      <c r="W6" s="37"/>
      <c r="X6" s="37"/>
      <c r="Y6" s="37"/>
      <c r="Z6" s="37"/>
      <c r="AA6" s="37"/>
      <c r="AB6" s="37"/>
      <c r="AC6" s="37"/>
      <c r="AD6" s="37"/>
      <c r="AE6" s="37"/>
      <c r="AF6" s="37"/>
      <c r="AG6" s="37"/>
      <c r="AH6" s="37"/>
      <c r="AI6" s="37"/>
      <c r="AJ6" s="37"/>
      <c r="AK6" s="37"/>
      <c r="AL6" s="37"/>
      <c r="AM6" s="37"/>
      <c r="AN6" s="37"/>
    </row>
    <row r="7" spans="1:40" ht="12" customHeight="1">
      <c r="A7" s="13"/>
      <c r="C7" s="878"/>
      <c r="D7" s="878"/>
      <c r="E7" s="878"/>
      <c r="F7" s="878"/>
      <c r="G7" s="11"/>
      <c r="K7" s="13"/>
      <c r="L7" s="37"/>
      <c r="M7" s="37"/>
      <c r="N7" s="37"/>
      <c r="O7" s="37"/>
      <c r="P7" s="37"/>
      <c r="Q7" s="37"/>
      <c r="R7" s="37"/>
      <c r="S7" s="37"/>
      <c r="T7" s="37"/>
      <c r="U7" s="37"/>
      <c r="V7" s="37"/>
      <c r="W7" s="37"/>
      <c r="X7" s="37"/>
      <c r="Y7" s="37"/>
      <c r="Z7" s="37"/>
      <c r="AA7" s="37"/>
      <c r="AB7" s="37"/>
      <c r="AC7" s="37"/>
      <c r="AD7" s="37"/>
      <c r="AE7" s="37"/>
      <c r="AF7" s="37"/>
      <c r="AG7" s="37"/>
      <c r="AH7" s="37"/>
      <c r="AI7" s="37"/>
      <c r="AJ7" s="37"/>
      <c r="AK7" s="37"/>
      <c r="AL7" s="37"/>
      <c r="AM7" s="37"/>
      <c r="AN7" s="37"/>
    </row>
    <row r="8" spans="1:40" ht="15" hidden="1">
      <c r="A8" s="13"/>
      <c r="C8" s="878" t="s">
        <v>340</v>
      </c>
      <c r="D8" s="878"/>
      <c r="E8" s="878"/>
      <c r="F8" s="878"/>
      <c r="G8" s="744"/>
      <c r="K8" s="13"/>
      <c r="L8" s="36" t="str">
        <f>IF(G8="","You must answer question 2.","")</f>
        <v>You must answer question 2.</v>
      </c>
      <c r="M8" s="37"/>
      <c r="N8" s="37"/>
      <c r="O8" s="37"/>
      <c r="P8" s="37"/>
      <c r="Q8" s="37"/>
      <c r="R8" s="37"/>
      <c r="S8" s="37"/>
      <c r="T8" s="37"/>
      <c r="U8" s="37"/>
      <c r="V8" s="37"/>
      <c r="W8" s="37"/>
      <c r="X8" s="37"/>
      <c r="Y8" s="37"/>
      <c r="Z8" s="37"/>
      <c r="AA8" s="37"/>
      <c r="AB8" s="37"/>
      <c r="AC8" s="37"/>
      <c r="AD8" s="37"/>
      <c r="AE8" s="37"/>
      <c r="AF8" s="37"/>
      <c r="AG8" s="37"/>
      <c r="AH8" s="37"/>
      <c r="AI8" s="37"/>
      <c r="AJ8" s="37"/>
      <c r="AK8" s="37"/>
      <c r="AL8" s="37"/>
      <c r="AM8" s="37"/>
      <c r="AN8" s="37"/>
    </row>
    <row r="9" spans="1:40" ht="12" customHeight="1" hidden="1">
      <c r="A9" s="13"/>
      <c r="C9" s="878"/>
      <c r="D9" s="878"/>
      <c r="E9" s="878"/>
      <c r="F9" s="878"/>
      <c r="G9" s="11"/>
      <c r="K9" s="13"/>
      <c r="L9" s="37"/>
      <c r="M9" s="266"/>
      <c r="N9" s="37"/>
      <c r="O9" s="37"/>
      <c r="P9" s="37"/>
      <c r="Q9" s="37"/>
      <c r="R9" s="37"/>
      <c r="S9" s="37"/>
      <c r="T9" s="37"/>
      <c r="U9" s="37"/>
      <c r="V9" s="37"/>
      <c r="W9" s="37"/>
      <c r="X9" s="37"/>
      <c r="Y9" s="37"/>
      <c r="Z9" s="37"/>
      <c r="AA9" s="37"/>
      <c r="AB9" s="37"/>
      <c r="AC9" s="37"/>
      <c r="AD9" s="37"/>
      <c r="AE9" s="37"/>
      <c r="AF9" s="37"/>
      <c r="AG9" s="37"/>
      <c r="AH9" s="37"/>
      <c r="AI9" s="37"/>
      <c r="AJ9" s="37"/>
      <c r="AK9" s="37"/>
      <c r="AL9" s="37"/>
      <c r="AM9" s="37"/>
      <c r="AN9" s="37"/>
    </row>
    <row r="10" spans="1:40" ht="15" customHeight="1" hidden="1">
      <c r="A10" s="13"/>
      <c r="C10" s="962" t="s">
        <v>362</v>
      </c>
      <c r="D10" s="962"/>
      <c r="E10" s="962"/>
      <c r="F10" s="962"/>
      <c r="G10" s="750"/>
      <c r="K10" s="13"/>
      <c r="L10" s="36">
        <f>IF(AND(IrrigationMeteredSeparately="Yes",ISNUMBER(G10)=FALSE),"You must answer question 2b.","")</f>
      </c>
      <c r="M10" s="37"/>
      <c r="N10" s="37"/>
      <c r="O10" s="37"/>
      <c r="P10" s="37"/>
      <c r="Q10" s="37"/>
      <c r="R10" s="37"/>
      <c r="S10" s="37"/>
      <c r="T10" s="37"/>
      <c r="U10" s="37"/>
      <c r="V10" s="37"/>
      <c r="W10" s="37"/>
      <c r="X10" s="37"/>
      <c r="Y10" s="37"/>
      <c r="Z10" s="37"/>
      <c r="AA10" s="37"/>
      <c r="AB10" s="37"/>
      <c r="AC10" s="37"/>
      <c r="AD10" s="37"/>
      <c r="AE10" s="37"/>
      <c r="AF10" s="37"/>
      <c r="AG10" s="37"/>
      <c r="AH10" s="37"/>
      <c r="AI10" s="37"/>
      <c r="AJ10" s="37"/>
      <c r="AK10" s="37"/>
      <c r="AL10" s="37"/>
      <c r="AM10" s="37"/>
      <c r="AN10" s="37"/>
    </row>
    <row r="11" spans="1:40" ht="18" customHeight="1" hidden="1">
      <c r="A11" s="13"/>
      <c r="C11" s="962"/>
      <c r="D11" s="962"/>
      <c r="E11" s="962"/>
      <c r="F11" s="962"/>
      <c r="G11" s="11"/>
      <c r="K11" s="13"/>
      <c r="L11" s="36"/>
      <c r="M11" s="723" t="s">
        <v>195</v>
      </c>
      <c r="N11" s="37"/>
      <c r="O11" s="37"/>
      <c r="P11" s="37"/>
      <c r="Q11" s="37"/>
      <c r="R11" s="37"/>
      <c r="S11" s="37"/>
      <c r="T11" s="37"/>
      <c r="U11" s="37"/>
      <c r="V11" s="37"/>
      <c r="W11" s="37"/>
      <c r="X11" s="37"/>
      <c r="Y11" s="37"/>
      <c r="Z11" s="37"/>
      <c r="AA11" s="37"/>
      <c r="AB11" s="37"/>
      <c r="AC11" s="37"/>
      <c r="AD11" s="37"/>
      <c r="AE11" s="37"/>
      <c r="AF11" s="37"/>
      <c r="AG11" s="37"/>
      <c r="AH11" s="37"/>
      <c r="AI11" s="37"/>
      <c r="AJ11" s="37"/>
      <c r="AK11" s="37"/>
      <c r="AL11" s="37"/>
      <c r="AM11" s="37"/>
      <c r="AN11" s="37"/>
    </row>
    <row r="12" spans="1:40" ht="15" hidden="1">
      <c r="A12" s="13"/>
      <c r="C12" s="878" t="s">
        <v>361</v>
      </c>
      <c r="D12" s="878"/>
      <c r="E12" s="878"/>
      <c r="F12" s="878"/>
      <c r="G12" s="750"/>
      <c r="K12" s="13"/>
      <c r="L12" s="36" t="str">
        <f>IF(ISNUMBER(G12)=FALSE,"You must answer question 3.","")</f>
        <v>You must answer question 3.</v>
      </c>
      <c r="M12" s="268">
        <f>ROUNDDOWN(LandscapeArea*Defaults!DefaultIrrigationWaterUse*Conversions!SquareFeetToAcres*Conversions!AcreFeetToGallons,-3)</f>
        <v>0</v>
      </c>
      <c r="N12" s="37"/>
      <c r="O12" s="37"/>
      <c r="P12" s="37"/>
      <c r="Q12" s="37"/>
      <c r="R12" s="37"/>
      <c r="S12" s="37"/>
      <c r="T12" s="37"/>
      <c r="U12" s="37"/>
      <c r="V12" s="37"/>
      <c r="W12" s="37"/>
      <c r="X12" s="37"/>
      <c r="Y12" s="37"/>
      <c r="Z12" s="37"/>
      <c r="AA12" s="37"/>
      <c r="AB12" s="37"/>
      <c r="AC12" s="37"/>
      <c r="AD12" s="37"/>
      <c r="AE12" s="37"/>
      <c r="AF12" s="37"/>
      <c r="AG12" s="37"/>
      <c r="AH12" s="37"/>
      <c r="AI12" s="37"/>
      <c r="AJ12" s="37"/>
      <c r="AK12" s="37"/>
      <c r="AL12" s="37"/>
      <c r="AM12" s="37"/>
      <c r="AN12" s="37"/>
    </row>
    <row r="13" spans="1:40" ht="12" customHeight="1" hidden="1">
      <c r="A13" s="13"/>
      <c r="C13" s="878"/>
      <c r="D13" s="878"/>
      <c r="E13" s="878"/>
      <c r="F13" s="878"/>
      <c r="G13" s="11"/>
      <c r="K13" s="13"/>
      <c r="L13" s="37"/>
      <c r="M13" s="37"/>
      <c r="N13" s="37"/>
      <c r="O13" s="37"/>
      <c r="P13" s="37"/>
      <c r="Q13" s="37"/>
      <c r="R13" s="37"/>
      <c r="S13" s="37"/>
      <c r="T13" s="37"/>
      <c r="U13" s="37"/>
      <c r="V13" s="37"/>
      <c r="W13" s="37"/>
      <c r="X13" s="37"/>
      <c r="Y13" s="37"/>
      <c r="Z13" s="37"/>
      <c r="AA13" s="37"/>
      <c r="AB13" s="37"/>
      <c r="AC13" s="37"/>
      <c r="AD13" s="37"/>
      <c r="AE13" s="37"/>
      <c r="AF13" s="37"/>
      <c r="AG13" s="37"/>
      <c r="AH13" s="37"/>
      <c r="AI13" s="37"/>
      <c r="AJ13" s="37"/>
      <c r="AK13" s="37"/>
      <c r="AL13" s="37"/>
      <c r="AM13" s="37"/>
      <c r="AN13" s="37"/>
    </row>
    <row r="14" spans="1:40" ht="15" hidden="1">
      <c r="A14" s="13"/>
      <c r="C14" s="962" t="s">
        <v>826</v>
      </c>
      <c r="D14" s="1019"/>
      <c r="E14" s="1019"/>
      <c r="F14" s="1019"/>
      <c r="G14" s="1005"/>
      <c r="H14" s="1006"/>
      <c r="K14" s="13"/>
      <c r="L14" s="36" t="str">
        <f>IF(G14="","You must answer question 4.","")</f>
        <v>You must answer question 4.</v>
      </c>
      <c r="M14" s="37"/>
      <c r="N14" s="37"/>
      <c r="O14" s="37"/>
      <c r="P14" s="37"/>
      <c r="Q14" s="37"/>
      <c r="R14" s="37"/>
      <c r="S14" s="37"/>
      <c r="T14" s="37"/>
      <c r="U14" s="37"/>
      <c r="V14" s="37"/>
      <c r="W14" s="37"/>
      <c r="X14" s="37"/>
      <c r="Y14" s="37"/>
      <c r="Z14" s="37"/>
      <c r="AA14" s="37"/>
      <c r="AB14" s="37"/>
      <c r="AC14" s="37"/>
      <c r="AD14" s="37"/>
      <c r="AE14" s="37"/>
      <c r="AF14" s="37"/>
      <c r="AG14" s="37"/>
      <c r="AH14" s="37"/>
      <c r="AI14" s="37"/>
      <c r="AJ14" s="37"/>
      <c r="AK14" s="37"/>
      <c r="AL14" s="37"/>
      <c r="AM14" s="37"/>
      <c r="AN14" s="37"/>
    </row>
    <row r="15" spans="1:40" ht="15" hidden="1">
      <c r="A15" s="13"/>
      <c r="C15" s="1019"/>
      <c r="D15" s="1019"/>
      <c r="E15" s="1019"/>
      <c r="F15" s="1019"/>
      <c r="K15" s="13"/>
      <c r="L15" s="36"/>
      <c r="M15" s="37"/>
      <c r="N15" s="37"/>
      <c r="O15" s="37"/>
      <c r="P15" s="37"/>
      <c r="Q15" s="37"/>
      <c r="R15" s="37"/>
      <c r="S15" s="37"/>
      <c r="T15" s="37"/>
      <c r="U15" s="37"/>
      <c r="V15" s="37"/>
      <c r="W15" s="37"/>
      <c r="X15" s="37"/>
      <c r="Y15" s="37"/>
      <c r="Z15" s="37"/>
      <c r="AA15" s="37"/>
      <c r="AB15" s="37"/>
      <c r="AC15" s="37"/>
      <c r="AD15" s="37"/>
      <c r="AE15" s="37"/>
      <c r="AF15" s="37"/>
      <c r="AG15" s="37"/>
      <c r="AH15" s="37"/>
      <c r="AI15" s="37"/>
      <c r="AJ15" s="37"/>
      <c r="AK15" s="37"/>
      <c r="AL15" s="37"/>
      <c r="AM15" s="37"/>
      <c r="AN15" s="37"/>
    </row>
    <row r="16" spans="1:40" ht="31.5" customHeight="1" hidden="1">
      <c r="A16" s="13"/>
      <c r="K16" s="13"/>
      <c r="L16" s="37"/>
      <c r="M16" s="37"/>
      <c r="N16" s="37"/>
      <c r="O16" s="37"/>
      <c r="P16" s="37"/>
      <c r="Q16" s="37"/>
      <c r="R16" s="37"/>
      <c r="S16" s="37"/>
      <c r="T16" s="37"/>
      <c r="U16" s="37"/>
      <c r="V16" s="37"/>
      <c r="W16" s="37"/>
      <c r="X16" s="37"/>
      <c r="Y16" s="37"/>
      <c r="Z16" s="37"/>
      <c r="AA16" s="37"/>
      <c r="AB16" s="37"/>
      <c r="AC16" s="37"/>
      <c r="AD16" s="37"/>
      <c r="AE16" s="37"/>
      <c r="AF16" s="37"/>
      <c r="AG16" s="37"/>
      <c r="AH16" s="37"/>
      <c r="AI16" s="37"/>
      <c r="AJ16" s="37"/>
      <c r="AK16" s="37"/>
      <c r="AL16" s="37"/>
      <c r="AM16" s="37"/>
      <c r="AN16" s="37"/>
    </row>
    <row r="17" spans="1:40" ht="18.75" hidden="1">
      <c r="A17" s="13"/>
      <c r="C17" s="935" t="s">
        <v>63</v>
      </c>
      <c r="D17" s="935"/>
      <c r="E17" s="935"/>
      <c r="F17" s="935"/>
      <c r="G17" s="935"/>
      <c r="K17" s="13"/>
      <c r="L17" s="37"/>
      <c r="M17" s="37"/>
      <c r="N17" s="37"/>
      <c r="O17" s="37"/>
      <c r="P17" s="37"/>
      <c r="Q17" s="37"/>
      <c r="R17" s="37"/>
      <c r="S17" s="37"/>
      <c r="T17" s="37"/>
      <c r="U17" s="37"/>
      <c r="V17" s="37"/>
      <c r="W17" s="37"/>
      <c r="X17" s="37"/>
      <c r="Y17" s="37"/>
      <c r="Z17" s="37"/>
      <c r="AA17" s="37"/>
      <c r="AB17" s="37"/>
      <c r="AC17" s="37"/>
      <c r="AD17" s="37"/>
      <c r="AE17" s="37"/>
      <c r="AF17" s="37"/>
      <c r="AG17" s="37"/>
      <c r="AH17" s="37"/>
      <c r="AI17" s="37"/>
      <c r="AJ17" s="37"/>
      <c r="AK17" s="37"/>
      <c r="AL17" s="37"/>
      <c r="AM17" s="37"/>
      <c r="AN17" s="37"/>
    </row>
    <row r="18" spans="1:40" ht="48" customHeight="1" hidden="1">
      <c r="A18" s="13"/>
      <c r="C18" s="792" t="s">
        <v>760</v>
      </c>
      <c r="D18" s="1018" t="s">
        <v>807</v>
      </c>
      <c r="E18" s="1018"/>
      <c r="F18" s="1018"/>
      <c r="G18" s="1018"/>
      <c r="H18" s="1018"/>
      <c r="I18" s="1018"/>
      <c r="K18" s="13"/>
      <c r="L18" s="37"/>
      <c r="M18" s="37"/>
      <c r="N18" s="37"/>
      <c r="O18" s="37"/>
      <c r="P18" s="37"/>
      <c r="Q18" s="37"/>
      <c r="R18" s="37"/>
      <c r="S18" s="37"/>
      <c r="T18" s="37"/>
      <c r="U18" s="37"/>
      <c r="V18" s="37"/>
      <c r="W18" s="37"/>
      <c r="X18" s="37"/>
      <c r="Y18" s="37"/>
      <c r="Z18" s="37"/>
      <c r="AA18" s="37"/>
      <c r="AB18" s="37"/>
      <c r="AC18" s="37"/>
      <c r="AD18" s="37"/>
      <c r="AE18" s="37"/>
      <c r="AF18" s="37"/>
      <c r="AG18" s="37"/>
      <c r="AH18" s="37"/>
      <c r="AI18" s="37"/>
      <c r="AJ18" s="37"/>
      <c r="AK18" s="37"/>
      <c r="AL18" s="37"/>
      <c r="AM18" s="37"/>
      <c r="AN18" s="37"/>
    </row>
    <row r="19" spans="1:40" ht="24.75" customHeight="1" hidden="1">
      <c r="A19" s="13"/>
      <c r="C19" s="782"/>
      <c r="D19" s="874" t="s">
        <v>680</v>
      </c>
      <c r="E19" s="874"/>
      <c r="F19" s="874"/>
      <c r="G19" s="778"/>
      <c r="I19" s="532"/>
      <c r="K19" s="13"/>
      <c r="L19" s="37"/>
      <c r="M19" s="37"/>
      <c r="N19" s="37"/>
      <c r="O19" s="37"/>
      <c r="P19" s="37"/>
      <c r="Q19" s="37"/>
      <c r="R19" s="37"/>
      <c r="S19" s="37"/>
      <c r="T19" s="37"/>
      <c r="U19" s="37"/>
      <c r="V19" s="37"/>
      <c r="W19" s="37"/>
      <c r="X19" s="37"/>
      <c r="Y19" s="37"/>
      <c r="Z19" s="37"/>
      <c r="AA19" s="37"/>
      <c r="AB19" s="37"/>
      <c r="AC19" s="37"/>
      <c r="AD19" s="37"/>
      <c r="AE19" s="37"/>
      <c r="AF19" s="37"/>
      <c r="AG19" s="37"/>
      <c r="AH19" s="37"/>
      <c r="AI19" s="37"/>
      <c r="AJ19" s="37"/>
      <c r="AK19" s="37"/>
      <c r="AL19" s="37"/>
      <c r="AM19" s="37"/>
      <c r="AN19" s="37"/>
    </row>
    <row r="20" spans="1:40" s="5" customFormat="1" ht="59.25" customHeight="1" hidden="1">
      <c r="A20" s="58"/>
      <c r="B20" s="410"/>
      <c r="C20" s="792" t="s">
        <v>760</v>
      </c>
      <c r="D20" s="1018" t="s">
        <v>852</v>
      </c>
      <c r="E20" s="1018"/>
      <c r="F20" s="1018"/>
      <c r="G20" s="1018"/>
      <c r="H20" s="1018"/>
      <c r="I20" s="1018"/>
      <c r="K20" s="58"/>
      <c r="L20" s="59"/>
      <c r="M20" s="59"/>
      <c r="N20" s="59"/>
      <c r="O20" s="59"/>
      <c r="P20" s="59"/>
      <c r="Q20" s="59"/>
      <c r="R20" s="59"/>
      <c r="S20" s="59"/>
      <c r="T20" s="59"/>
      <c r="U20" s="59"/>
      <c r="V20" s="59"/>
      <c r="W20" s="59"/>
      <c r="X20" s="59"/>
      <c r="Y20" s="59"/>
      <c r="Z20" s="59"/>
      <c r="AA20" s="59"/>
      <c r="AB20" s="59"/>
      <c r="AC20" s="59"/>
      <c r="AD20" s="59"/>
      <c r="AE20" s="59"/>
      <c r="AF20" s="59"/>
      <c r="AG20" s="59"/>
      <c r="AH20" s="59"/>
      <c r="AI20" s="59"/>
      <c r="AJ20" s="59"/>
      <c r="AK20" s="59"/>
      <c r="AL20" s="59"/>
      <c r="AM20" s="59"/>
      <c r="AN20" s="59"/>
    </row>
    <row r="21" spans="1:40" s="843" customFormat="1" ht="18.75" hidden="1">
      <c r="A21" s="58"/>
      <c r="B21" s="410"/>
      <c r="C21" s="792"/>
      <c r="D21" s="876" t="s">
        <v>853</v>
      </c>
      <c r="E21" s="1018"/>
      <c r="F21" s="1018"/>
      <c r="G21" s="1018"/>
      <c r="H21" s="1018"/>
      <c r="I21" s="1018"/>
      <c r="K21" s="58"/>
      <c r="L21" s="59"/>
      <c r="M21" s="59"/>
      <c r="N21" s="59"/>
      <c r="O21" s="59"/>
      <c r="P21" s="59"/>
      <c r="Q21" s="59"/>
      <c r="R21" s="59"/>
      <c r="S21" s="59"/>
      <c r="T21" s="59"/>
      <c r="U21" s="59"/>
      <c r="V21" s="59"/>
      <c r="W21" s="59"/>
      <c r="X21" s="59"/>
      <c r="Y21" s="59"/>
      <c r="Z21" s="59"/>
      <c r="AA21" s="59"/>
      <c r="AB21" s="59"/>
      <c r="AC21" s="59"/>
      <c r="AD21" s="59"/>
      <c r="AE21" s="59"/>
      <c r="AF21" s="59"/>
      <c r="AG21" s="59"/>
      <c r="AH21" s="59"/>
      <c r="AI21" s="59"/>
      <c r="AJ21" s="59"/>
      <c r="AK21" s="59"/>
      <c r="AL21" s="59"/>
      <c r="AM21" s="59"/>
      <c r="AN21" s="59"/>
    </row>
    <row r="22" spans="1:40" s="616" customFormat="1" ht="42.75" customHeight="1" hidden="1">
      <c r="A22" s="58"/>
      <c r="B22" s="410"/>
      <c r="C22" s="792" t="s">
        <v>760</v>
      </c>
      <c r="D22" s="1018" t="s">
        <v>747</v>
      </c>
      <c r="E22" s="1018"/>
      <c r="F22" s="1018"/>
      <c r="G22" s="1018"/>
      <c r="H22" s="1018"/>
      <c r="I22" s="1018"/>
      <c r="K22" s="58"/>
      <c r="L22" s="59"/>
      <c r="M22" s="59"/>
      <c r="N22" s="59"/>
      <c r="O22" s="59"/>
      <c r="P22" s="59"/>
      <c r="Q22" s="59"/>
      <c r="R22" s="59"/>
      <c r="S22" s="59"/>
      <c r="T22" s="59"/>
      <c r="U22" s="59"/>
      <c r="V22" s="59"/>
      <c r="W22" s="59"/>
      <c r="X22" s="59"/>
      <c r="Y22" s="59"/>
      <c r="Z22" s="59"/>
      <c r="AA22" s="59"/>
      <c r="AB22" s="59"/>
      <c r="AC22" s="59"/>
      <c r="AD22" s="59"/>
      <c r="AE22" s="59"/>
      <c r="AF22" s="59"/>
      <c r="AG22" s="59"/>
      <c r="AH22" s="59"/>
      <c r="AI22" s="59"/>
      <c r="AJ22" s="59"/>
      <c r="AK22" s="59"/>
      <c r="AL22" s="59"/>
      <c r="AM22" s="59"/>
      <c r="AN22" s="59"/>
    </row>
    <row r="23" spans="1:40" s="609" customFormat="1" ht="40.5" customHeight="1" hidden="1">
      <c r="A23" s="58"/>
      <c r="B23" s="410"/>
      <c r="C23" s="792" t="s">
        <v>760</v>
      </c>
      <c r="D23" s="1018" t="s">
        <v>748</v>
      </c>
      <c r="E23" s="1018"/>
      <c r="F23" s="1018"/>
      <c r="G23" s="1018"/>
      <c r="H23" s="1018"/>
      <c r="I23" s="1018"/>
      <c r="K23" s="58"/>
      <c r="L23" s="59"/>
      <c r="M23" s="59"/>
      <c r="N23" s="59"/>
      <c r="O23" s="59"/>
      <c r="P23" s="59"/>
      <c r="Q23" s="59"/>
      <c r="R23" s="59"/>
      <c r="S23" s="59"/>
      <c r="T23" s="59"/>
      <c r="U23" s="59"/>
      <c r="V23" s="59"/>
      <c r="W23" s="59"/>
      <c r="X23" s="59"/>
      <c r="Y23" s="59"/>
      <c r="Z23" s="59"/>
      <c r="AA23" s="59"/>
      <c r="AB23" s="59"/>
      <c r="AC23" s="59"/>
      <c r="AD23" s="59"/>
      <c r="AE23" s="59"/>
      <c r="AF23" s="59"/>
      <c r="AG23" s="59"/>
      <c r="AH23" s="59"/>
      <c r="AI23" s="59"/>
      <c r="AJ23" s="59"/>
      <c r="AK23" s="59"/>
      <c r="AL23" s="59"/>
      <c r="AM23" s="59"/>
      <c r="AN23" s="59"/>
    </row>
    <row r="24" spans="1:40" s="5" customFormat="1" ht="32.25" customHeight="1" hidden="1">
      <c r="A24" s="58"/>
      <c r="B24" s="410"/>
      <c r="C24" s="792" t="s">
        <v>760</v>
      </c>
      <c r="D24" s="1018" t="s">
        <v>749</v>
      </c>
      <c r="E24" s="1018"/>
      <c r="F24" s="1018"/>
      <c r="G24" s="1018"/>
      <c r="H24" s="1018"/>
      <c r="I24" s="1018"/>
      <c r="K24" s="58"/>
      <c r="L24" s="59"/>
      <c r="M24" s="59"/>
      <c r="N24" s="59"/>
      <c r="O24" s="59"/>
      <c r="P24" s="59"/>
      <c r="Q24" s="59"/>
      <c r="R24" s="59"/>
      <c r="S24" s="59"/>
      <c r="T24" s="59"/>
      <c r="U24" s="59"/>
      <c r="V24" s="59"/>
      <c r="W24" s="59"/>
      <c r="X24" s="59"/>
      <c r="Y24" s="59"/>
      <c r="Z24" s="59"/>
      <c r="AA24" s="59"/>
      <c r="AB24" s="59"/>
      <c r="AC24" s="59"/>
      <c r="AD24" s="59"/>
      <c r="AE24" s="59"/>
      <c r="AF24" s="59"/>
      <c r="AG24" s="59"/>
      <c r="AH24" s="59"/>
      <c r="AI24" s="59"/>
      <c r="AJ24" s="59"/>
      <c r="AK24" s="59"/>
      <c r="AL24" s="59"/>
      <c r="AM24" s="59"/>
      <c r="AN24" s="59"/>
    </row>
    <row r="25" spans="1:40" ht="23.25" customHeight="1" hidden="1">
      <c r="A25" s="13"/>
      <c r="C25" s="782"/>
      <c r="D25" s="874" t="s">
        <v>681</v>
      </c>
      <c r="E25" s="874"/>
      <c r="F25" s="874"/>
      <c r="G25" s="777"/>
      <c r="I25" s="533"/>
      <c r="K25" s="13"/>
      <c r="L25" s="37"/>
      <c r="M25" s="37"/>
      <c r="N25" s="37"/>
      <c r="O25" s="37"/>
      <c r="P25" s="37"/>
      <c r="Q25" s="37"/>
      <c r="R25" s="37"/>
      <c r="S25" s="37"/>
      <c r="T25" s="37"/>
      <c r="U25" s="37"/>
      <c r="V25" s="37"/>
      <c r="W25" s="37"/>
      <c r="X25" s="37"/>
      <c r="Y25" s="37"/>
      <c r="Z25" s="37"/>
      <c r="AA25" s="37"/>
      <c r="AB25" s="37"/>
      <c r="AC25" s="37"/>
      <c r="AD25" s="37"/>
      <c r="AE25" s="37"/>
      <c r="AF25" s="37"/>
      <c r="AG25" s="37"/>
      <c r="AH25" s="37"/>
      <c r="AI25" s="37"/>
      <c r="AJ25" s="37"/>
      <c r="AK25" s="37"/>
      <c r="AL25" s="37"/>
      <c r="AM25" s="37"/>
      <c r="AN25" s="37"/>
    </row>
    <row r="26" spans="1:40" s="430" customFormat="1" ht="32.25" customHeight="1" hidden="1">
      <c r="A26" s="58"/>
      <c r="B26" s="410"/>
      <c r="C26" s="792" t="s">
        <v>760</v>
      </c>
      <c r="D26" s="1018" t="s">
        <v>750</v>
      </c>
      <c r="E26" s="1018"/>
      <c r="F26" s="1018"/>
      <c r="G26" s="1018"/>
      <c r="H26" s="1018"/>
      <c r="I26" s="1018"/>
      <c r="K26" s="58"/>
      <c r="L26" s="59"/>
      <c r="M26" s="59"/>
      <c r="N26" s="59"/>
      <c r="O26" s="59"/>
      <c r="P26" s="59"/>
      <c r="Q26" s="59"/>
      <c r="R26" s="59"/>
      <c r="S26" s="59"/>
      <c r="T26" s="59"/>
      <c r="U26" s="59"/>
      <c r="V26" s="59"/>
      <c r="W26" s="59"/>
      <c r="X26" s="59"/>
      <c r="Y26" s="59"/>
      <c r="Z26" s="59"/>
      <c r="AA26" s="59"/>
      <c r="AB26" s="59"/>
      <c r="AC26" s="59"/>
      <c r="AD26" s="59"/>
      <c r="AE26" s="59"/>
      <c r="AF26" s="59"/>
      <c r="AG26" s="59"/>
      <c r="AH26" s="59"/>
      <c r="AI26" s="59"/>
      <c r="AJ26" s="59"/>
      <c r="AK26" s="59"/>
      <c r="AL26" s="59"/>
      <c r="AM26" s="59"/>
      <c r="AN26" s="59"/>
    </row>
    <row r="27" spans="1:40" s="609" customFormat="1" ht="18" customHeight="1" hidden="1">
      <c r="A27" s="58"/>
      <c r="B27" s="410"/>
      <c r="C27" s="783"/>
      <c r="D27" s="876" t="s">
        <v>681</v>
      </c>
      <c r="E27" s="876"/>
      <c r="F27" s="876"/>
      <c r="G27" s="779"/>
      <c r="H27" s="779"/>
      <c r="K27" s="58"/>
      <c r="L27" s="59"/>
      <c r="M27" s="59"/>
      <c r="N27" s="59"/>
      <c r="O27" s="59"/>
      <c r="P27" s="59"/>
      <c r="Q27" s="59"/>
      <c r="R27" s="59"/>
      <c r="S27" s="59"/>
      <c r="T27" s="59"/>
      <c r="U27" s="59"/>
      <c r="V27" s="59"/>
      <c r="W27" s="59"/>
      <c r="X27" s="59"/>
      <c r="Y27" s="59"/>
      <c r="Z27" s="59"/>
      <c r="AA27" s="59"/>
      <c r="AB27" s="59"/>
      <c r="AC27" s="59"/>
      <c r="AD27" s="59"/>
      <c r="AE27" s="59"/>
      <c r="AF27" s="59"/>
      <c r="AG27" s="59"/>
      <c r="AH27" s="59"/>
      <c r="AI27" s="59"/>
      <c r="AJ27" s="59"/>
      <c r="AK27" s="59"/>
      <c r="AL27" s="59"/>
      <c r="AM27" s="59"/>
      <c r="AN27" s="59"/>
    </row>
    <row r="28" spans="1:40" s="766" customFormat="1" ht="31.5" customHeight="1" hidden="1">
      <c r="A28" s="58"/>
      <c r="B28" s="410"/>
      <c r="C28" s="793" t="s">
        <v>760</v>
      </c>
      <c r="D28" s="975" t="s">
        <v>766</v>
      </c>
      <c r="E28" s="975"/>
      <c r="F28" s="975"/>
      <c r="G28" s="975"/>
      <c r="H28" s="975"/>
      <c r="I28" s="975"/>
      <c r="J28" s="765"/>
      <c r="K28" s="58"/>
      <c r="L28" s="59"/>
      <c r="M28" s="59"/>
      <c r="N28" s="59"/>
      <c r="O28" s="59"/>
      <c r="P28" s="59"/>
      <c r="Q28" s="59"/>
      <c r="R28" s="59"/>
      <c r="S28" s="59"/>
      <c r="T28" s="59"/>
      <c r="U28" s="59"/>
      <c r="V28" s="59"/>
      <c r="W28" s="59"/>
      <c r="X28" s="59"/>
      <c r="Y28" s="59"/>
      <c r="Z28" s="59"/>
      <c r="AA28" s="59"/>
      <c r="AB28" s="59"/>
      <c r="AC28" s="59"/>
      <c r="AD28" s="59"/>
      <c r="AE28" s="59"/>
      <c r="AF28" s="59"/>
      <c r="AG28" s="59"/>
      <c r="AH28" s="59"/>
      <c r="AI28" s="59"/>
      <c r="AJ28" s="59"/>
      <c r="AK28" s="59"/>
      <c r="AL28" s="59"/>
      <c r="AM28" s="59"/>
      <c r="AN28" s="59"/>
    </row>
    <row r="29" spans="1:40" s="53" customFormat="1" ht="37.5" customHeight="1" hidden="1">
      <c r="A29" s="50"/>
      <c r="B29" s="412"/>
      <c r="C29" s="793" t="s">
        <v>760</v>
      </c>
      <c r="D29" s="1013" t="s">
        <v>682</v>
      </c>
      <c r="E29" s="1013"/>
      <c r="F29" s="1013"/>
      <c r="G29" s="1013"/>
      <c r="H29" s="1020" t="s">
        <v>751</v>
      </c>
      <c r="I29" s="1020"/>
      <c r="J29" s="1020"/>
      <c r="K29" s="50"/>
      <c r="L29" s="60"/>
      <c r="M29" s="60"/>
      <c r="N29" s="60"/>
      <c r="O29" s="60"/>
      <c r="P29" s="60"/>
      <c r="Q29" s="60"/>
      <c r="R29" s="60"/>
      <c r="S29" s="60"/>
      <c r="T29" s="60"/>
      <c r="U29" s="60"/>
      <c r="V29" s="60"/>
      <c r="W29" s="60"/>
      <c r="X29" s="60"/>
      <c r="Y29" s="60"/>
      <c r="Z29" s="60"/>
      <c r="AA29" s="60"/>
      <c r="AB29" s="60"/>
      <c r="AC29" s="60"/>
      <c r="AD29" s="60"/>
      <c r="AE29" s="60"/>
      <c r="AF29" s="60"/>
      <c r="AG29" s="60"/>
      <c r="AH29" s="60"/>
      <c r="AI29" s="60"/>
      <c r="AJ29" s="60"/>
      <c r="AK29" s="60"/>
      <c r="AL29" s="60"/>
      <c r="AM29" s="60"/>
      <c r="AN29" s="60"/>
    </row>
    <row r="30" spans="1:40" ht="15" hidden="1">
      <c r="A30" s="13"/>
      <c r="K30" s="13"/>
      <c r="L30" s="37"/>
      <c r="M30" s="37"/>
      <c r="N30" s="37"/>
      <c r="O30" s="37"/>
      <c r="P30" s="37"/>
      <c r="Q30" s="37"/>
      <c r="R30" s="37"/>
      <c r="S30" s="37"/>
      <c r="T30" s="37"/>
      <c r="U30" s="37"/>
      <c r="V30" s="37"/>
      <c r="W30" s="37"/>
      <c r="X30" s="37"/>
      <c r="Y30" s="37"/>
      <c r="Z30" s="37"/>
      <c r="AA30" s="37"/>
      <c r="AB30" s="37"/>
      <c r="AC30" s="37"/>
      <c r="AD30" s="37"/>
      <c r="AE30" s="37"/>
      <c r="AF30" s="37"/>
      <c r="AG30" s="37"/>
      <c r="AH30" s="37"/>
      <c r="AI30" s="37"/>
      <c r="AJ30" s="37"/>
      <c r="AK30" s="37"/>
      <c r="AL30" s="37"/>
      <c r="AM30" s="37"/>
      <c r="AN30" s="37"/>
    </row>
    <row r="31" spans="1:34" s="12" customFormat="1" ht="34.5" customHeight="1" hidden="1">
      <c r="A31" s="13"/>
      <c r="B31" s="39"/>
      <c r="E31" s="967" t="s">
        <v>752</v>
      </c>
      <c r="F31" s="967"/>
      <c r="G31" s="967"/>
      <c r="H31" s="967"/>
      <c r="I31" s="967"/>
      <c r="J31" s="595"/>
      <c r="K31" s="13"/>
      <c r="L31" s="37"/>
      <c r="M31" s="37"/>
      <c r="N31" s="13"/>
      <c r="O31" s="13"/>
      <c r="P31" s="13"/>
      <c r="Q31" s="13"/>
      <c r="R31" s="13"/>
      <c r="S31" s="13"/>
      <c r="T31" s="13"/>
      <c r="U31" s="13"/>
      <c r="V31" s="13"/>
      <c r="W31" s="13"/>
      <c r="X31" s="13"/>
      <c r="Y31" s="13"/>
      <c r="Z31" s="13"/>
      <c r="AA31" s="13"/>
      <c r="AB31" s="13"/>
      <c r="AC31" s="13"/>
      <c r="AD31" s="13"/>
      <c r="AE31" s="13"/>
      <c r="AF31" s="13"/>
      <c r="AG31" s="13"/>
      <c r="AH31" s="13"/>
    </row>
    <row r="32" spans="1:34" s="12" customFormat="1" ht="19.5" customHeight="1" hidden="1">
      <c r="A32" s="13"/>
      <c r="B32" s="39"/>
      <c r="E32" s="1016" t="s">
        <v>751</v>
      </c>
      <c r="F32" s="1017"/>
      <c r="G32" s="1017"/>
      <c r="H32" s="1017"/>
      <c r="I32" s="1017"/>
      <c r="J32" s="595"/>
      <c r="K32" s="13"/>
      <c r="L32" s="37"/>
      <c r="M32" s="37"/>
      <c r="N32" s="13"/>
      <c r="O32" s="13"/>
      <c r="P32" s="13"/>
      <c r="Q32" s="13"/>
      <c r="R32" s="13"/>
      <c r="S32" s="13"/>
      <c r="T32" s="13"/>
      <c r="U32" s="13"/>
      <c r="V32" s="13"/>
      <c r="W32" s="13"/>
      <c r="X32" s="13"/>
      <c r="Y32" s="13"/>
      <c r="Z32" s="13"/>
      <c r="AA32" s="13"/>
      <c r="AB32" s="13"/>
      <c r="AC32" s="13"/>
      <c r="AD32" s="13"/>
      <c r="AE32" s="13"/>
      <c r="AF32" s="13"/>
      <c r="AG32" s="13"/>
      <c r="AH32" s="13"/>
    </row>
    <row r="33" spans="1:11" s="37" customFormat="1" ht="15">
      <c r="A33" s="13"/>
      <c r="B33" s="654" t="s">
        <v>877</v>
      </c>
      <c r="K33" s="13"/>
    </row>
    <row r="34" spans="1:11" s="37" customFormat="1" ht="15">
      <c r="A34" s="13"/>
      <c r="B34" s="409"/>
      <c r="K34" s="13"/>
    </row>
    <row r="35" spans="1:11" s="37" customFormat="1" ht="15">
      <c r="A35" s="13"/>
      <c r="B35" s="409"/>
      <c r="K35" s="13"/>
    </row>
    <row r="36" spans="1:11" s="37" customFormat="1" ht="15">
      <c r="A36" s="13"/>
      <c r="B36" s="409"/>
      <c r="K36" s="13"/>
    </row>
    <row r="37" spans="1:11" s="37" customFormat="1" ht="15">
      <c r="A37" s="13"/>
      <c r="B37" s="409"/>
      <c r="K37" s="13"/>
    </row>
    <row r="38" spans="1:11" s="37" customFormat="1" ht="15">
      <c r="A38" s="13"/>
      <c r="B38" s="409"/>
      <c r="K38" s="13"/>
    </row>
    <row r="39" spans="1:11" s="37" customFormat="1" ht="15">
      <c r="A39" s="13"/>
      <c r="B39" s="409"/>
      <c r="K39" s="13"/>
    </row>
    <row r="40" spans="1:11" s="37" customFormat="1" ht="15">
      <c r="A40" s="13"/>
      <c r="B40" s="409"/>
      <c r="K40" s="13"/>
    </row>
    <row r="41" spans="1:11" s="37" customFormat="1" ht="15">
      <c r="A41" s="13"/>
      <c r="B41" s="409"/>
      <c r="K41" s="13"/>
    </row>
    <row r="42" spans="1:11" s="37" customFormat="1" ht="15">
      <c r="A42" s="13"/>
      <c r="B42" s="409"/>
      <c r="K42" s="13"/>
    </row>
    <row r="43" spans="1:11" s="37" customFormat="1" ht="15">
      <c r="A43" s="13"/>
      <c r="B43" s="409"/>
      <c r="K43" s="13"/>
    </row>
    <row r="44" spans="1:11" s="37" customFormat="1" ht="15">
      <c r="A44" s="13"/>
      <c r="B44" s="409"/>
      <c r="K44" s="13"/>
    </row>
    <row r="45" spans="1:11" s="37" customFormat="1" ht="15">
      <c r="A45" s="13"/>
      <c r="B45" s="409"/>
      <c r="K45" s="13"/>
    </row>
    <row r="46" spans="1:11" s="37" customFormat="1" ht="15">
      <c r="A46" s="13"/>
      <c r="B46" s="409"/>
      <c r="K46" s="13"/>
    </row>
    <row r="47" spans="1:11" s="37" customFormat="1" ht="15">
      <c r="A47" s="13"/>
      <c r="B47" s="409"/>
      <c r="K47" s="13"/>
    </row>
    <row r="48" spans="1:11" s="37" customFormat="1" ht="15">
      <c r="A48" s="13"/>
      <c r="B48" s="409"/>
      <c r="K48" s="13"/>
    </row>
    <row r="49" spans="1:11" s="37" customFormat="1" ht="15">
      <c r="A49" s="13"/>
      <c r="B49" s="409"/>
      <c r="K49" s="13"/>
    </row>
    <row r="50" spans="1:11" s="37" customFormat="1" ht="15">
      <c r="A50" s="13"/>
      <c r="B50" s="409"/>
      <c r="K50" s="13"/>
    </row>
    <row r="51" spans="1:11" s="37" customFormat="1" ht="15">
      <c r="A51" s="13"/>
      <c r="B51" s="409"/>
      <c r="K51" s="13"/>
    </row>
    <row r="52" spans="1:11" s="37" customFormat="1" ht="15">
      <c r="A52" s="13"/>
      <c r="B52" s="409"/>
      <c r="K52" s="13"/>
    </row>
    <row r="53" spans="1:11" s="37" customFormat="1" ht="15">
      <c r="A53" s="13"/>
      <c r="B53" s="409"/>
      <c r="K53" s="13"/>
    </row>
    <row r="54" spans="1:11" s="37" customFormat="1" ht="15">
      <c r="A54" s="13"/>
      <c r="B54" s="409"/>
      <c r="K54" s="13"/>
    </row>
    <row r="55" spans="1:11" s="37" customFormat="1" ht="15">
      <c r="A55" s="13"/>
      <c r="B55" s="409"/>
      <c r="K55" s="13"/>
    </row>
    <row r="56" spans="1:11" s="37" customFormat="1" ht="15">
      <c r="A56" s="13"/>
      <c r="B56" s="409"/>
      <c r="K56" s="13"/>
    </row>
    <row r="57" spans="1:11" s="37" customFormat="1" ht="15">
      <c r="A57" s="13"/>
      <c r="B57" s="409"/>
      <c r="K57" s="13"/>
    </row>
    <row r="58" spans="1:11" s="37" customFormat="1" ht="15">
      <c r="A58" s="13"/>
      <c r="B58" s="409"/>
      <c r="K58" s="13"/>
    </row>
    <row r="59" spans="1:11" s="37" customFormat="1" ht="15">
      <c r="A59" s="13"/>
      <c r="B59" s="409"/>
      <c r="K59" s="13"/>
    </row>
    <row r="60" spans="1:11" s="37" customFormat="1" ht="15">
      <c r="A60" s="13"/>
      <c r="B60" s="409"/>
      <c r="K60" s="13"/>
    </row>
    <row r="61" spans="1:11" s="37" customFormat="1" ht="15">
      <c r="A61" s="13"/>
      <c r="B61" s="409"/>
      <c r="K61" s="13"/>
    </row>
    <row r="62" spans="1:11" s="37" customFormat="1" ht="15">
      <c r="A62" s="13"/>
      <c r="B62" s="409"/>
      <c r="K62" s="13"/>
    </row>
    <row r="63" spans="1:11" s="37" customFormat="1" ht="15">
      <c r="A63" s="13"/>
      <c r="B63" s="409"/>
      <c r="K63" s="13"/>
    </row>
    <row r="64" spans="1:11" s="37" customFormat="1" ht="15">
      <c r="A64" s="13"/>
      <c r="B64" s="409"/>
      <c r="K64" s="13"/>
    </row>
    <row r="65" spans="1:11" s="37" customFormat="1" ht="15">
      <c r="A65" s="13"/>
      <c r="B65" s="409"/>
      <c r="K65" s="13"/>
    </row>
    <row r="66" spans="1:11" s="37" customFormat="1" ht="15">
      <c r="A66" s="13"/>
      <c r="B66" s="409"/>
      <c r="K66" s="13"/>
    </row>
    <row r="67" spans="1:11" s="37" customFormat="1" ht="15">
      <c r="A67" s="13"/>
      <c r="B67" s="409"/>
      <c r="K67" s="13"/>
    </row>
    <row r="68" spans="1:11" s="37" customFormat="1" ht="15">
      <c r="A68" s="13"/>
      <c r="B68" s="409"/>
      <c r="K68" s="13"/>
    </row>
    <row r="69" spans="1:11" s="37" customFormat="1" ht="15">
      <c r="A69" s="13"/>
      <c r="B69" s="409"/>
      <c r="K69" s="13"/>
    </row>
    <row r="70" spans="1:11" s="37" customFormat="1" ht="15">
      <c r="A70" s="13"/>
      <c r="B70" s="409"/>
      <c r="K70" s="13"/>
    </row>
    <row r="71" spans="1:11" s="37" customFormat="1" ht="15">
      <c r="A71" s="13"/>
      <c r="B71" s="409"/>
      <c r="K71" s="13"/>
    </row>
    <row r="72" spans="1:11" s="37" customFormat="1" ht="15">
      <c r="A72" s="13"/>
      <c r="B72" s="409"/>
      <c r="K72" s="13"/>
    </row>
    <row r="73" spans="1:11" s="37" customFormat="1" ht="15">
      <c r="A73" s="13"/>
      <c r="B73" s="409"/>
      <c r="K73" s="13"/>
    </row>
    <row r="74" spans="1:11" s="37" customFormat="1" ht="15">
      <c r="A74" s="13"/>
      <c r="B74" s="409"/>
      <c r="K74" s="13"/>
    </row>
    <row r="75" spans="1:11" s="37" customFormat="1" ht="15">
      <c r="A75" s="13"/>
      <c r="B75" s="409"/>
      <c r="K75" s="13"/>
    </row>
    <row r="76" spans="1:11" s="37" customFormat="1" ht="15">
      <c r="A76" s="13"/>
      <c r="B76" s="409"/>
      <c r="K76" s="13"/>
    </row>
    <row r="77" spans="1:11" s="37" customFormat="1" ht="15">
      <c r="A77" s="13"/>
      <c r="B77" s="409"/>
      <c r="K77" s="13"/>
    </row>
    <row r="78" spans="1:11" s="37" customFormat="1" ht="15">
      <c r="A78" s="13"/>
      <c r="B78" s="409"/>
      <c r="K78" s="13"/>
    </row>
    <row r="79" spans="1:11" s="37" customFormat="1" ht="15">
      <c r="A79" s="13"/>
      <c r="B79" s="409"/>
      <c r="K79" s="13"/>
    </row>
    <row r="80" spans="1:11" s="37" customFormat="1" ht="15">
      <c r="A80" s="13"/>
      <c r="B80" s="409"/>
      <c r="K80" s="13"/>
    </row>
    <row r="81" spans="1:11" s="37" customFormat="1" ht="15">
      <c r="A81" s="13"/>
      <c r="B81" s="409"/>
      <c r="K81" s="13"/>
    </row>
    <row r="82" spans="1:11" s="37" customFormat="1" ht="15">
      <c r="A82" s="13"/>
      <c r="B82" s="409"/>
      <c r="K82" s="13"/>
    </row>
    <row r="83" spans="1:11" s="37" customFormat="1" ht="15">
      <c r="A83" s="13"/>
      <c r="B83" s="409"/>
      <c r="K83" s="13"/>
    </row>
    <row r="84" spans="1:11" s="37" customFormat="1" ht="15">
      <c r="A84" s="13"/>
      <c r="B84" s="409"/>
      <c r="K84" s="13"/>
    </row>
    <row r="85" spans="1:11" s="37" customFormat="1" ht="15">
      <c r="A85" s="13"/>
      <c r="B85" s="409"/>
      <c r="K85" s="13"/>
    </row>
    <row r="86" spans="1:11" s="37" customFormat="1" ht="15">
      <c r="A86" s="13"/>
      <c r="B86" s="409"/>
      <c r="K86" s="13"/>
    </row>
    <row r="87" spans="1:11" s="37" customFormat="1" ht="15">
      <c r="A87" s="13"/>
      <c r="B87" s="409"/>
      <c r="K87" s="13"/>
    </row>
    <row r="88" spans="1:11" s="37" customFormat="1" ht="15">
      <c r="A88" s="13"/>
      <c r="B88" s="409"/>
      <c r="K88" s="13"/>
    </row>
    <row r="89" spans="1:11" s="37" customFormat="1" ht="15">
      <c r="A89" s="13"/>
      <c r="B89" s="409"/>
      <c r="K89" s="13"/>
    </row>
    <row r="90" spans="1:11" s="37" customFormat="1" ht="15">
      <c r="A90" s="13"/>
      <c r="B90" s="409"/>
      <c r="K90" s="13"/>
    </row>
    <row r="91" spans="1:11" s="37" customFormat="1" ht="15">
      <c r="A91" s="13"/>
      <c r="B91" s="409"/>
      <c r="K91" s="13"/>
    </row>
    <row r="92" spans="1:11" s="37" customFormat="1" ht="15">
      <c r="A92" s="13"/>
      <c r="B92" s="409"/>
      <c r="K92" s="13"/>
    </row>
    <row r="93" spans="1:11" s="37" customFormat="1" ht="15">
      <c r="A93" s="13"/>
      <c r="B93" s="409"/>
      <c r="K93" s="13"/>
    </row>
    <row r="94" spans="1:11" s="37" customFormat="1" ht="15">
      <c r="A94" s="13"/>
      <c r="B94" s="409"/>
      <c r="K94" s="13"/>
    </row>
    <row r="95" spans="1:11" s="37" customFormat="1" ht="15">
      <c r="A95" s="13"/>
      <c r="B95" s="409"/>
      <c r="K95" s="13"/>
    </row>
    <row r="96" spans="1:11" s="37" customFormat="1" ht="15">
      <c r="A96" s="13"/>
      <c r="B96" s="409"/>
      <c r="K96" s="13"/>
    </row>
    <row r="97" spans="1:11" s="37" customFormat="1" ht="15">
      <c r="A97" s="13"/>
      <c r="B97" s="409"/>
      <c r="K97" s="13"/>
    </row>
    <row r="98" spans="1:11" s="37" customFormat="1" ht="15">
      <c r="A98" s="13"/>
      <c r="B98" s="409"/>
      <c r="K98" s="13"/>
    </row>
    <row r="99" spans="1:11" s="37" customFormat="1" ht="15">
      <c r="A99" s="13"/>
      <c r="B99" s="409"/>
      <c r="K99" s="13"/>
    </row>
    <row r="100" spans="1:11" s="37" customFormat="1" ht="15">
      <c r="A100" s="13"/>
      <c r="B100" s="409"/>
      <c r="K100" s="13"/>
    </row>
    <row r="101" spans="1:11" s="37" customFormat="1" ht="15">
      <c r="A101" s="13"/>
      <c r="B101" s="409"/>
      <c r="K101" s="13"/>
    </row>
    <row r="102" spans="1:11" s="37" customFormat="1" ht="15">
      <c r="A102" s="13"/>
      <c r="B102" s="409"/>
      <c r="K102" s="13"/>
    </row>
    <row r="103" spans="1:11" s="37" customFormat="1" ht="15">
      <c r="A103" s="13"/>
      <c r="B103" s="409"/>
      <c r="K103" s="13"/>
    </row>
    <row r="104" spans="1:11" s="37" customFormat="1" ht="15">
      <c r="A104" s="13"/>
      <c r="B104" s="409"/>
      <c r="K104" s="13"/>
    </row>
    <row r="105" spans="1:11" s="37" customFormat="1" ht="15">
      <c r="A105" s="13"/>
      <c r="B105" s="409"/>
      <c r="K105" s="13"/>
    </row>
    <row r="106" spans="1:11" s="37" customFormat="1" ht="15">
      <c r="A106" s="13"/>
      <c r="B106" s="409"/>
      <c r="K106" s="13"/>
    </row>
    <row r="107" spans="1:11" s="37" customFormat="1" ht="15">
      <c r="A107" s="13"/>
      <c r="B107" s="409"/>
      <c r="K107" s="13"/>
    </row>
    <row r="108" spans="1:11" s="37" customFormat="1" ht="15">
      <c r="A108" s="13"/>
      <c r="B108" s="409"/>
      <c r="K108" s="13"/>
    </row>
    <row r="109" spans="1:11" s="37" customFormat="1" ht="15">
      <c r="A109" s="13"/>
      <c r="B109" s="409"/>
      <c r="K109" s="13"/>
    </row>
    <row r="110" spans="1:11" s="37" customFormat="1" ht="15">
      <c r="A110" s="13"/>
      <c r="B110" s="409"/>
      <c r="K110" s="13"/>
    </row>
    <row r="111" spans="1:11" s="37" customFormat="1" ht="15">
      <c r="A111" s="13"/>
      <c r="B111" s="409"/>
      <c r="K111" s="13"/>
    </row>
    <row r="112" spans="1:11" s="37" customFormat="1" ht="15">
      <c r="A112" s="13"/>
      <c r="B112" s="409"/>
      <c r="K112" s="13"/>
    </row>
  </sheetData>
  <sheetProtection sheet="1" formatRows="0"/>
  <mergeCells count="29">
    <mergeCell ref="D29:G29"/>
    <mergeCell ref="H29:J29"/>
    <mergeCell ref="D18:I18"/>
    <mergeCell ref="D19:F19"/>
    <mergeCell ref="D20:I20"/>
    <mergeCell ref="D22:I22"/>
    <mergeCell ref="D23:I23"/>
    <mergeCell ref="D24:I24"/>
    <mergeCell ref="D21:I21"/>
    <mergeCell ref="C9:F9"/>
    <mergeCell ref="E32:I32"/>
    <mergeCell ref="G14:H14"/>
    <mergeCell ref="C13:F13"/>
    <mergeCell ref="E31:I31"/>
    <mergeCell ref="D25:F25"/>
    <mergeCell ref="D26:I26"/>
    <mergeCell ref="D27:F27"/>
    <mergeCell ref="D28:I28"/>
    <mergeCell ref="C14:F15"/>
    <mergeCell ref="B3:I3"/>
    <mergeCell ref="B2:E2"/>
    <mergeCell ref="C5:F5"/>
    <mergeCell ref="C17:G17"/>
    <mergeCell ref="C8:F8"/>
    <mergeCell ref="C6:F6"/>
    <mergeCell ref="C4:F4"/>
    <mergeCell ref="C7:F7"/>
    <mergeCell ref="C12:F12"/>
    <mergeCell ref="C10:F11"/>
  </mergeCells>
  <dataValidations count="4">
    <dataValidation type="list" allowBlank="1" showInputMessage="1" showErrorMessage="1" sqref="G8 G6">
      <formula1>"Yes,No"</formula1>
    </dataValidation>
    <dataValidation type="list" allowBlank="1" showInputMessage="1" showErrorMessage="1" sqref="G14:H14">
      <formula1>"Manually Activated,Timer-Based Irrigation Controller,Timer-Based Irrigation Controller with Rain Sensor,Weather-Based Irrigation Controller,Soil Moisture-Based Irrigation Controller"</formula1>
    </dataValidation>
    <dataValidation type="decimal" operator="greaterThan" allowBlank="1" showInputMessage="1" showErrorMessage="1" error="Your irrigated landscape area, in square feet, must be greater than 0 SF." sqref="G12">
      <formula1>0</formula1>
    </dataValidation>
    <dataValidation type="decimal" operator="greaterThanOrEqual" allowBlank="1" showInputMessage="1" showErrorMessage="1" sqref="G10">
      <formula1>0</formula1>
    </dataValidation>
  </dataValidations>
  <hyperlinks>
    <hyperlink ref="H29" r:id="rId1" display="WaterSense at Work Section 5.2: Landscaping and Section 5.3: Irrigation"/>
    <hyperlink ref="D25" r:id="rId2" display="www.epa.gov/WaterSense/products/controltech.html"/>
    <hyperlink ref="D25:G25" r:id="rId3" display="http://www.epa.gov/WaterSense/products/controltech.html."/>
    <hyperlink ref="D19:G19" r:id="rId4" display="http://www.epa.gov/watersense/outdoor/irrigation_professionals.html"/>
    <hyperlink ref="E32" r:id="rId5" display="www.epa.gov/watersense/commercial/docs/watersense_at_work/#/154/zoomed"/>
    <hyperlink ref="D27" r:id="rId6" display="www.epa.gov/WaterSense/products/controltech.html"/>
    <hyperlink ref="D19" r:id="rId7" display="www.epa.gov/watersense/outdoor/irrigation_professionals.html"/>
    <hyperlink ref="D21" r:id="rId8" display="http://www.epa.gov/watersense/outdoor/what_to_plant.html"/>
  </hyperlinks>
  <printOptions horizontalCentered="1"/>
  <pageMargins left="0.25" right="0.25" top="0.75" bottom="0.5" header="0.25" footer="0.25"/>
  <pageSetup fitToHeight="1" fitToWidth="1" horizontalDpi="1200" verticalDpi="1200" orientation="landscape" scale="76" r:id="rId11"/>
  <headerFooter alignWithMargins="0">
    <oddHeader>&amp;C&amp;18&amp;F</oddHeader>
    <oddFooter>&amp;C&amp;P of &amp;N</oddFooter>
  </headerFooter>
  <drawing r:id="rId10"/>
  <legacyDrawing r:id="rId9"/>
</worksheet>
</file>

<file path=xl/worksheets/sheet14.xml><?xml version="1.0" encoding="utf-8"?>
<worksheet xmlns="http://schemas.openxmlformats.org/spreadsheetml/2006/main" xmlns:r="http://schemas.openxmlformats.org/officeDocument/2006/relationships">
  <sheetPr codeName="Pool_Spa"/>
  <dimension ref="A1:BQ127"/>
  <sheetViews>
    <sheetView zoomScalePageLayoutView="0" workbookViewId="0" topLeftCell="A1">
      <pane xSplit="1" ySplit="2" topLeftCell="B3" activePane="bottomRight" state="frozen"/>
      <selection pane="topLeft" activeCell="B2" sqref="B2:D2"/>
      <selection pane="topRight" activeCell="B2" sqref="B2:D2"/>
      <selection pane="bottomLeft" activeCell="B2" sqref="B2:D2"/>
      <selection pane="bottomRight" activeCell="G7" sqref="G7"/>
    </sheetView>
  </sheetViews>
  <sheetFormatPr defaultColWidth="9.7109375" defaultRowHeight="15"/>
  <cols>
    <col min="1" max="1" width="4.7109375" style="12" customWidth="1"/>
    <col min="2" max="2" width="4.7109375" style="0" customWidth="1"/>
    <col min="3" max="3" width="7.28125" style="0" customWidth="1"/>
    <col min="4" max="4" width="15.00390625" style="0" customWidth="1"/>
    <col min="5" max="5" width="22.8515625" style="0" customWidth="1"/>
    <col min="6" max="6" width="17.00390625" style="0" customWidth="1"/>
    <col min="7" max="7" width="24.00390625" style="0" customWidth="1"/>
    <col min="8" max="9" width="6.7109375" style="0" customWidth="1"/>
    <col min="10" max="11" width="24.7109375" style="0" customWidth="1"/>
    <col min="12" max="12" width="8.7109375" style="0" customWidth="1"/>
    <col min="13" max="13" width="4.7109375" style="12" customWidth="1"/>
    <col min="14" max="33" width="9.7109375" style="12" customWidth="1"/>
    <col min="34" max="16384" width="9.7109375" style="1" customWidth="1"/>
  </cols>
  <sheetData>
    <row r="1" spans="1:33" s="12" customFormat="1" ht="42" customHeight="1">
      <c r="A1" s="13"/>
      <c r="B1" s="13"/>
      <c r="C1" s="13"/>
      <c r="D1" s="797" t="s">
        <v>783</v>
      </c>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row>
    <row r="2" spans="1:33" ht="18.75">
      <c r="A2" s="13"/>
      <c r="B2" s="956" t="s">
        <v>68</v>
      </c>
      <c r="C2" s="956"/>
      <c r="D2" s="956"/>
      <c r="E2" s="956"/>
      <c r="F2" s="56"/>
      <c r="G2" s="39"/>
      <c r="H2" s="39"/>
      <c r="I2" s="39"/>
      <c r="J2" s="39"/>
      <c r="K2" s="39"/>
      <c r="L2" s="39"/>
      <c r="M2" s="13"/>
      <c r="N2" s="13"/>
      <c r="O2" s="13"/>
      <c r="P2" s="13"/>
      <c r="Q2" s="13"/>
      <c r="R2" s="13"/>
      <c r="S2" s="13"/>
      <c r="T2" s="13"/>
      <c r="U2" s="13"/>
      <c r="V2" s="13"/>
      <c r="W2" s="13"/>
      <c r="X2" s="13"/>
      <c r="Y2" s="13"/>
      <c r="Z2" s="13"/>
      <c r="AA2" s="13"/>
      <c r="AB2" s="13"/>
      <c r="AC2" s="13"/>
      <c r="AD2" s="13"/>
      <c r="AE2" s="13"/>
      <c r="AF2" s="13"/>
      <c r="AG2" s="13"/>
    </row>
    <row r="3" spans="1:33" s="390" customFormat="1" ht="75.75" customHeight="1">
      <c r="A3" s="50"/>
      <c r="B3" s="954" t="s">
        <v>881</v>
      </c>
      <c r="C3" s="955"/>
      <c r="D3" s="955"/>
      <c r="E3" s="955"/>
      <c r="F3" s="955"/>
      <c r="G3" s="955"/>
      <c r="H3" s="955"/>
      <c r="I3" s="955"/>
      <c r="J3" s="955"/>
      <c r="K3" s="955"/>
      <c r="L3" s="403"/>
      <c r="M3" s="50"/>
      <c r="N3" s="50"/>
      <c r="O3" s="50"/>
      <c r="P3" s="50"/>
      <c r="Q3" s="50"/>
      <c r="R3" s="50"/>
      <c r="S3" s="50"/>
      <c r="T3" s="50"/>
      <c r="U3" s="50"/>
      <c r="V3" s="50"/>
      <c r="W3" s="50"/>
      <c r="X3" s="50"/>
      <c r="Y3" s="50"/>
      <c r="Z3" s="50"/>
      <c r="AA3" s="50"/>
      <c r="AB3" s="50"/>
      <c r="AC3" s="50"/>
      <c r="AD3" s="50"/>
      <c r="AE3" s="50"/>
      <c r="AF3" s="50"/>
      <c r="AG3" s="50"/>
    </row>
    <row r="4" spans="1:33" s="390" customFormat="1" ht="37.5" customHeight="1">
      <c r="A4" s="50"/>
      <c r="B4" s="954" t="s">
        <v>823</v>
      </c>
      <c r="C4" s="955"/>
      <c r="D4" s="955"/>
      <c r="E4" s="955"/>
      <c r="F4" s="955"/>
      <c r="G4" s="955"/>
      <c r="H4" s="955"/>
      <c r="I4" s="955"/>
      <c r="J4" s="955"/>
      <c r="K4" s="955"/>
      <c r="L4" s="776"/>
      <c r="M4" s="50"/>
      <c r="N4" s="50"/>
      <c r="O4" s="50"/>
      <c r="P4" s="50"/>
      <c r="Q4" s="50"/>
      <c r="R4" s="50"/>
      <c r="S4" s="50"/>
      <c r="T4" s="50"/>
      <c r="U4" s="50"/>
      <c r="V4" s="50"/>
      <c r="W4" s="50"/>
      <c r="X4" s="50"/>
      <c r="Y4" s="50"/>
      <c r="Z4" s="50"/>
      <c r="AA4" s="50"/>
      <c r="AB4" s="50"/>
      <c r="AC4" s="50"/>
      <c r="AD4" s="50"/>
      <c r="AE4" s="50"/>
      <c r="AF4" s="50"/>
      <c r="AG4" s="50"/>
    </row>
    <row r="5" spans="1:33" s="390" customFormat="1" ht="30" customHeight="1">
      <c r="A5" s="50"/>
      <c r="B5" s="954" t="s">
        <v>818</v>
      </c>
      <c r="C5" s="955"/>
      <c r="D5" s="955"/>
      <c r="E5" s="955"/>
      <c r="F5" s="955"/>
      <c r="G5" s="955"/>
      <c r="H5" s="955"/>
      <c r="I5" s="955"/>
      <c r="J5" s="955"/>
      <c r="K5" s="955"/>
      <c r="L5" s="776"/>
      <c r="M5" s="50"/>
      <c r="N5" s="50"/>
      <c r="O5" s="50"/>
      <c r="P5" s="50"/>
      <c r="Q5" s="50"/>
      <c r="R5" s="50"/>
      <c r="S5" s="50"/>
      <c r="T5" s="50"/>
      <c r="U5" s="50"/>
      <c r="V5" s="50"/>
      <c r="W5" s="50"/>
      <c r="X5" s="50"/>
      <c r="Y5" s="50"/>
      <c r="Z5" s="50"/>
      <c r="AA5" s="50"/>
      <c r="AB5" s="50"/>
      <c r="AC5" s="50"/>
      <c r="AD5" s="50"/>
      <c r="AE5" s="50"/>
      <c r="AF5" s="50"/>
      <c r="AG5" s="50"/>
    </row>
    <row r="6" spans="1:33" ht="19.5" customHeight="1">
      <c r="A6" s="13"/>
      <c r="B6" s="39"/>
      <c r="C6" s="974" t="s">
        <v>18</v>
      </c>
      <c r="D6" s="974"/>
      <c r="E6" s="974"/>
      <c r="F6" s="974"/>
      <c r="G6" s="39"/>
      <c r="H6" s="39"/>
      <c r="I6" s="39"/>
      <c r="J6" s="39"/>
      <c r="K6" s="39"/>
      <c r="L6" s="39"/>
      <c r="M6" s="13"/>
      <c r="N6" s="13"/>
      <c r="O6" s="36"/>
      <c r="P6" s="13"/>
      <c r="Q6" s="13"/>
      <c r="R6" s="13"/>
      <c r="S6" s="13"/>
      <c r="T6" s="13"/>
      <c r="U6" s="13"/>
      <c r="V6" s="13"/>
      <c r="W6" s="13"/>
      <c r="X6" s="13"/>
      <c r="Y6" s="13"/>
      <c r="Z6" s="13"/>
      <c r="AA6" s="13"/>
      <c r="AB6" s="13"/>
      <c r="AC6" s="13"/>
      <c r="AD6" s="13"/>
      <c r="AE6" s="13"/>
      <c r="AF6" s="13"/>
      <c r="AG6" s="13"/>
    </row>
    <row r="7" spans="1:33" ht="15">
      <c r="A7" s="13"/>
      <c r="B7" s="39"/>
      <c r="C7" s="878" t="s">
        <v>65</v>
      </c>
      <c r="D7" s="878"/>
      <c r="E7" s="878"/>
      <c r="F7" s="883"/>
      <c r="G7" s="744"/>
      <c r="H7" s="39"/>
      <c r="I7" s="40"/>
      <c r="J7" s="39"/>
      <c r="K7" s="39"/>
      <c r="L7" s="39"/>
      <c r="M7" s="13"/>
      <c r="N7" s="36" t="str">
        <f>IF(Pool="","Question #1 (pool) cannot be blank.","")</f>
        <v>Question #1 (pool) cannot be blank.</v>
      </c>
      <c r="O7" s="13"/>
      <c r="P7" s="13"/>
      <c r="Q7" s="13"/>
      <c r="R7" s="13"/>
      <c r="S7" s="13"/>
      <c r="T7" s="13"/>
      <c r="U7" s="13"/>
      <c r="V7" s="13"/>
      <c r="W7" s="13"/>
      <c r="X7" s="13"/>
      <c r="Y7" s="13"/>
      <c r="Z7" s="13"/>
      <c r="AA7" s="13"/>
      <c r="AB7" s="13"/>
      <c r="AC7" s="13"/>
      <c r="AD7" s="13"/>
      <c r="AE7" s="13"/>
      <c r="AF7" s="13"/>
      <c r="AG7" s="13"/>
    </row>
    <row r="8" spans="1:33" ht="15" hidden="1">
      <c r="A8" s="13"/>
      <c r="B8" s="39"/>
      <c r="C8" s="878" t="s">
        <v>424</v>
      </c>
      <c r="D8" s="878"/>
      <c r="E8" s="878"/>
      <c r="F8" s="883"/>
      <c r="G8" s="750"/>
      <c r="H8" s="39"/>
      <c r="I8" s="40"/>
      <c r="J8" s="39"/>
      <c r="K8" s="39"/>
      <c r="L8" s="39"/>
      <c r="M8" s="36"/>
      <c r="N8" s="36">
        <f>IF(AND(Pool="Yes",COUNTA(PoolFollowUp)&lt;5),"The pool follow-up questions are not complete.","")</f>
      </c>
      <c r="O8" s="13"/>
      <c r="P8" s="13"/>
      <c r="Q8" s="13"/>
      <c r="R8" s="13"/>
      <c r="S8" s="13"/>
      <c r="T8" s="13"/>
      <c r="U8" s="13"/>
      <c r="V8" s="13"/>
      <c r="W8" s="13"/>
      <c r="X8" s="13"/>
      <c r="Y8" s="13"/>
      <c r="Z8" s="13"/>
      <c r="AA8" s="13"/>
      <c r="AB8" s="13"/>
      <c r="AC8" s="13"/>
      <c r="AD8" s="13"/>
      <c r="AE8" s="13"/>
      <c r="AF8" s="13"/>
      <c r="AG8" s="13"/>
    </row>
    <row r="9" spans="1:33" ht="15" hidden="1">
      <c r="A9" s="13"/>
      <c r="B9" s="39"/>
      <c r="C9" s="878" t="s">
        <v>430</v>
      </c>
      <c r="D9" s="878"/>
      <c r="E9" s="878"/>
      <c r="F9" s="883"/>
      <c r="G9" s="750"/>
      <c r="H9" s="39"/>
      <c r="I9" s="40"/>
      <c r="J9" s="39"/>
      <c r="K9" s="39"/>
      <c r="L9" s="39"/>
      <c r="M9" s="36"/>
      <c r="N9" s="13"/>
      <c r="O9" s="13"/>
      <c r="P9" s="13"/>
      <c r="Q9" s="13"/>
      <c r="R9" s="13"/>
      <c r="S9" s="13"/>
      <c r="T9" s="13"/>
      <c r="U9" s="13"/>
      <c r="V9" s="13"/>
      <c r="W9" s="13"/>
      <c r="X9" s="13"/>
      <c r="Y9" s="13"/>
      <c r="Z9" s="13"/>
      <c r="AA9" s="13"/>
      <c r="AB9" s="13"/>
      <c r="AC9" s="13"/>
      <c r="AD9" s="13"/>
      <c r="AE9" s="13"/>
      <c r="AF9" s="13"/>
      <c r="AG9" s="13"/>
    </row>
    <row r="10" spans="1:33" ht="15" hidden="1">
      <c r="A10" s="13"/>
      <c r="B10" s="39"/>
      <c r="C10" s="878" t="s">
        <v>425</v>
      </c>
      <c r="D10" s="878"/>
      <c r="E10" s="878"/>
      <c r="F10" s="883"/>
      <c r="G10" s="750"/>
      <c r="H10" s="39"/>
      <c r="I10" s="40"/>
      <c r="J10" s="39"/>
      <c r="K10" s="39"/>
      <c r="L10" s="39"/>
      <c r="M10" s="36"/>
      <c r="N10" s="13"/>
      <c r="O10" s="13"/>
      <c r="P10" s="13"/>
      <c r="Q10" s="13"/>
      <c r="R10" s="13"/>
      <c r="S10" s="13"/>
      <c r="T10" s="13"/>
      <c r="U10" s="13"/>
      <c r="V10" s="13"/>
      <c r="W10" s="13"/>
      <c r="X10" s="13"/>
      <c r="Y10" s="13"/>
      <c r="Z10" s="13"/>
      <c r="AA10" s="13"/>
      <c r="AB10" s="13"/>
      <c r="AC10" s="13"/>
      <c r="AD10" s="13"/>
      <c r="AE10" s="13"/>
      <c r="AF10" s="13"/>
      <c r="AG10" s="13"/>
    </row>
    <row r="11" spans="1:33" ht="15" hidden="1">
      <c r="A11" s="13"/>
      <c r="B11" s="39"/>
      <c r="C11" s="878" t="s">
        <v>426</v>
      </c>
      <c r="D11" s="878"/>
      <c r="E11" s="878"/>
      <c r="F11" s="883"/>
      <c r="G11" s="744"/>
      <c r="H11" s="39"/>
      <c r="I11" s="40"/>
      <c r="J11" s="39"/>
      <c r="K11" s="39"/>
      <c r="L11" s="39"/>
      <c r="M11" s="36"/>
      <c r="N11" s="13"/>
      <c r="O11" s="13"/>
      <c r="P11" s="13"/>
      <c r="Q11" s="13"/>
      <c r="R11" s="13"/>
      <c r="S11" s="13"/>
      <c r="T11" s="13"/>
      <c r="U11" s="13"/>
      <c r="V11" s="13"/>
      <c r="W11" s="13"/>
      <c r="X11" s="13"/>
      <c r="Y11" s="13"/>
      <c r="Z11" s="13"/>
      <c r="AA11" s="13"/>
      <c r="AB11" s="13"/>
      <c r="AC11" s="13"/>
      <c r="AD11" s="13"/>
      <c r="AE11" s="13"/>
      <c r="AF11" s="13"/>
      <c r="AG11" s="13"/>
    </row>
    <row r="12" spans="1:33" ht="15" hidden="1">
      <c r="A12" s="13"/>
      <c r="B12" s="39"/>
      <c r="C12" s="878" t="s">
        <v>691</v>
      </c>
      <c r="D12" s="878"/>
      <c r="E12" s="878"/>
      <c r="F12" s="883"/>
      <c r="G12" s="759"/>
      <c r="H12" s="39"/>
      <c r="I12" s="40"/>
      <c r="J12" s="39"/>
      <c r="K12" s="39"/>
      <c r="L12" s="39"/>
      <c r="M12" s="13"/>
      <c r="N12" s="36"/>
      <c r="O12" s="13"/>
      <c r="P12" s="13"/>
      <c r="Q12" s="13"/>
      <c r="R12" s="13"/>
      <c r="S12" s="13"/>
      <c r="T12" s="13"/>
      <c r="U12" s="13"/>
      <c r="V12" s="13"/>
      <c r="W12" s="13"/>
      <c r="X12" s="13"/>
      <c r="Y12" s="13"/>
      <c r="Z12" s="13"/>
      <c r="AA12" s="13"/>
      <c r="AB12" s="13"/>
      <c r="AC12" s="13"/>
      <c r="AD12" s="13"/>
      <c r="AE12" s="13"/>
      <c r="AF12" s="13"/>
      <c r="AG12" s="13"/>
    </row>
    <row r="13" spans="1:33" ht="15">
      <c r="A13" s="13"/>
      <c r="B13" s="39"/>
      <c r="C13" s="879"/>
      <c r="D13" s="879"/>
      <c r="E13" s="879"/>
      <c r="F13" s="879"/>
      <c r="G13" s="39"/>
      <c r="H13" s="39"/>
      <c r="I13" s="39"/>
      <c r="J13" s="39"/>
      <c r="K13" s="39"/>
      <c r="L13" s="39"/>
      <c r="M13" s="36"/>
      <c r="N13" s="36" t="str">
        <f>IF(AND(Pool&lt;&gt;"Yes",Spa&lt;&gt;"Yes"),"No results to display.","")</f>
        <v>No results to display.</v>
      </c>
      <c r="O13" s="13"/>
      <c r="P13" s="13"/>
      <c r="Q13" s="13"/>
      <c r="R13" s="13"/>
      <c r="S13" s="13"/>
      <c r="T13" s="13"/>
      <c r="U13" s="13"/>
      <c r="V13" s="13"/>
      <c r="W13" s="13"/>
      <c r="X13" s="13"/>
      <c r="Y13" s="13"/>
      <c r="Z13" s="13"/>
      <c r="AA13" s="13"/>
      <c r="AB13" s="13"/>
      <c r="AC13" s="13"/>
      <c r="AD13" s="13"/>
      <c r="AE13" s="13"/>
      <c r="AF13" s="13"/>
      <c r="AG13" s="13"/>
    </row>
    <row r="14" spans="1:33" ht="15">
      <c r="A14" s="13"/>
      <c r="B14" s="39"/>
      <c r="C14" s="878" t="s">
        <v>66</v>
      </c>
      <c r="D14" s="878"/>
      <c r="E14" s="878"/>
      <c r="F14" s="883"/>
      <c r="G14" s="744"/>
      <c r="H14" s="39"/>
      <c r="I14" s="40"/>
      <c r="J14" s="39"/>
      <c r="K14" s="39"/>
      <c r="L14" s="39"/>
      <c r="M14" s="36"/>
      <c r="N14" s="36" t="str">
        <f>IF(Spa="","Question #2 (spa) cannot be blank.","")</f>
        <v>Question #2 (spa) cannot be blank.</v>
      </c>
      <c r="O14" s="13"/>
      <c r="P14" s="13"/>
      <c r="Q14" s="13"/>
      <c r="R14" s="13"/>
      <c r="S14" s="13"/>
      <c r="T14" s="13"/>
      <c r="U14" s="13"/>
      <c r="V14" s="13"/>
      <c r="W14" s="13"/>
      <c r="X14" s="13"/>
      <c r="Y14" s="13"/>
      <c r="Z14" s="13"/>
      <c r="AA14" s="13"/>
      <c r="AB14" s="13"/>
      <c r="AC14" s="13"/>
      <c r="AD14" s="13"/>
      <c r="AE14" s="13"/>
      <c r="AF14" s="13"/>
      <c r="AG14" s="13"/>
    </row>
    <row r="15" spans="1:33" ht="15" hidden="1">
      <c r="A15" s="13"/>
      <c r="B15" s="39"/>
      <c r="C15" s="878" t="s">
        <v>427</v>
      </c>
      <c r="D15" s="878"/>
      <c r="E15" s="878"/>
      <c r="F15" s="883"/>
      <c r="G15" s="750"/>
      <c r="H15" s="39"/>
      <c r="I15" s="40"/>
      <c r="J15" s="39"/>
      <c r="K15" s="39"/>
      <c r="L15" s="39"/>
      <c r="M15" s="36"/>
      <c r="N15" s="36">
        <f>IF(AND(Spa="Yes",COUNTA(SpaFollowUp)&lt;5),"The spa follow-up questions are not complete.","")</f>
      </c>
      <c r="O15" s="13"/>
      <c r="P15" s="13"/>
      <c r="Q15" s="13"/>
      <c r="R15" s="13"/>
      <c r="S15" s="13"/>
      <c r="T15" s="13"/>
      <c r="U15" s="13"/>
      <c r="V15" s="13"/>
      <c r="W15" s="13"/>
      <c r="X15" s="13"/>
      <c r="Y15" s="13"/>
      <c r="Z15" s="13"/>
      <c r="AA15" s="13"/>
      <c r="AB15" s="13"/>
      <c r="AC15" s="13"/>
      <c r="AD15" s="13"/>
      <c r="AE15" s="13"/>
      <c r="AF15" s="13"/>
      <c r="AG15" s="13"/>
    </row>
    <row r="16" spans="1:33" ht="15" hidden="1">
      <c r="A16" s="13"/>
      <c r="B16" s="39"/>
      <c r="C16" s="878" t="s">
        <v>431</v>
      </c>
      <c r="D16" s="878"/>
      <c r="E16" s="878"/>
      <c r="F16" s="883"/>
      <c r="G16" s="750"/>
      <c r="H16" s="39"/>
      <c r="I16" s="40"/>
      <c r="J16" s="39"/>
      <c r="K16" s="39"/>
      <c r="L16" s="39"/>
      <c r="M16" s="36"/>
      <c r="N16" s="13"/>
      <c r="O16" s="13"/>
      <c r="P16" s="13"/>
      <c r="Q16" s="13"/>
      <c r="R16" s="13"/>
      <c r="S16" s="13"/>
      <c r="T16" s="13"/>
      <c r="U16" s="13"/>
      <c r="V16" s="13"/>
      <c r="W16" s="13"/>
      <c r="X16" s="13"/>
      <c r="Y16" s="13"/>
      <c r="Z16" s="13"/>
      <c r="AA16" s="13"/>
      <c r="AB16" s="13"/>
      <c r="AC16" s="13"/>
      <c r="AD16" s="13"/>
      <c r="AE16" s="13"/>
      <c r="AF16" s="13"/>
      <c r="AG16" s="13"/>
    </row>
    <row r="17" spans="1:33" ht="15" hidden="1">
      <c r="A17" s="13"/>
      <c r="B17" s="39"/>
      <c r="C17" s="878" t="s">
        <v>428</v>
      </c>
      <c r="D17" s="878"/>
      <c r="E17" s="878"/>
      <c r="F17" s="883"/>
      <c r="G17" s="750"/>
      <c r="H17" s="39"/>
      <c r="I17" s="40"/>
      <c r="J17" s="39"/>
      <c r="K17" s="39"/>
      <c r="L17" s="39"/>
      <c r="M17" s="36"/>
      <c r="N17" s="13"/>
      <c r="O17" s="13"/>
      <c r="P17" s="13"/>
      <c r="Q17" s="13"/>
      <c r="R17" s="13"/>
      <c r="S17" s="13"/>
      <c r="T17" s="13"/>
      <c r="U17" s="13"/>
      <c r="V17" s="13"/>
      <c r="W17" s="13"/>
      <c r="X17" s="13"/>
      <c r="Y17" s="13"/>
      <c r="Z17" s="13"/>
      <c r="AA17" s="13"/>
      <c r="AB17" s="13"/>
      <c r="AC17" s="13"/>
      <c r="AD17" s="13"/>
      <c r="AE17" s="13"/>
      <c r="AF17" s="13"/>
      <c r="AG17" s="13"/>
    </row>
    <row r="18" spans="1:33" ht="15" hidden="1">
      <c r="A18" s="13"/>
      <c r="B18" s="39"/>
      <c r="C18" s="878" t="s">
        <v>429</v>
      </c>
      <c r="D18" s="878"/>
      <c r="E18" s="878"/>
      <c r="F18" s="883"/>
      <c r="G18" s="744"/>
      <c r="H18" s="39"/>
      <c r="I18" s="40"/>
      <c r="J18" s="39"/>
      <c r="K18" s="39"/>
      <c r="L18" s="39"/>
      <c r="M18" s="36"/>
      <c r="N18" s="13"/>
      <c r="O18" s="13"/>
      <c r="P18" s="13"/>
      <c r="Q18" s="13"/>
      <c r="R18" s="13"/>
      <c r="S18" s="13"/>
      <c r="T18" s="13"/>
      <c r="U18" s="13"/>
      <c r="V18" s="13"/>
      <c r="W18" s="13"/>
      <c r="X18" s="13"/>
      <c r="Y18" s="13"/>
      <c r="Z18" s="13"/>
      <c r="AA18" s="13"/>
      <c r="AB18" s="13"/>
      <c r="AC18" s="13"/>
      <c r="AD18" s="13"/>
      <c r="AE18" s="13"/>
      <c r="AF18" s="13"/>
      <c r="AG18" s="13"/>
    </row>
    <row r="19" spans="1:33" ht="15" hidden="1">
      <c r="A19" s="13"/>
      <c r="B19" s="39"/>
      <c r="C19" s="878" t="s">
        <v>690</v>
      </c>
      <c r="D19" s="878"/>
      <c r="E19" s="878"/>
      <c r="F19" s="883"/>
      <c r="G19" s="759"/>
      <c r="H19" s="39"/>
      <c r="I19" s="40"/>
      <c r="J19" s="39"/>
      <c r="K19" s="39"/>
      <c r="L19" s="39"/>
      <c r="M19" s="13"/>
      <c r="N19" s="36"/>
      <c r="O19" s="13"/>
      <c r="P19" s="13"/>
      <c r="Q19" s="13"/>
      <c r="R19" s="13"/>
      <c r="S19" s="13"/>
      <c r="T19" s="13"/>
      <c r="U19" s="13"/>
      <c r="V19" s="13"/>
      <c r="W19" s="13"/>
      <c r="X19" s="13"/>
      <c r="Y19" s="13"/>
      <c r="Z19" s="13"/>
      <c r="AA19" s="13"/>
      <c r="AB19" s="13"/>
      <c r="AC19" s="13"/>
      <c r="AD19" s="13"/>
      <c r="AE19" s="13"/>
      <c r="AF19" s="13"/>
      <c r="AG19" s="13"/>
    </row>
    <row r="20" spans="1:33" s="12" customFormat="1" ht="39" customHeight="1">
      <c r="A20" s="13"/>
      <c r="B20" s="39"/>
      <c r="C20" s="39"/>
      <c r="D20" s="39"/>
      <c r="E20" s="39"/>
      <c r="F20" s="39"/>
      <c r="G20" s="39"/>
      <c r="H20" s="39"/>
      <c r="I20" s="39"/>
      <c r="J20" s="39"/>
      <c r="K20" s="39"/>
      <c r="L20" s="39"/>
      <c r="M20" s="13"/>
      <c r="N20" s="13"/>
      <c r="O20" s="13"/>
      <c r="P20" s="13"/>
      <c r="Q20" s="13"/>
      <c r="R20" s="13"/>
      <c r="S20" s="13"/>
      <c r="T20" s="13"/>
      <c r="U20" s="13"/>
      <c r="V20" s="13"/>
      <c r="W20" s="13"/>
      <c r="X20" s="13"/>
      <c r="Y20" s="13"/>
      <c r="Z20" s="13"/>
      <c r="AA20" s="13"/>
      <c r="AB20" s="13"/>
      <c r="AC20" s="13"/>
      <c r="AD20" s="13"/>
      <c r="AE20" s="13"/>
      <c r="AF20" s="13"/>
      <c r="AG20" s="13"/>
    </row>
    <row r="21" spans="1:33" s="12" customFormat="1" ht="18.75" hidden="1">
      <c r="A21" s="13"/>
      <c r="B21" s="39"/>
      <c r="C21" s="872" t="s">
        <v>38</v>
      </c>
      <c r="D21" s="872"/>
      <c r="E21" s="872"/>
      <c r="F21" s="42"/>
      <c r="G21" s="39"/>
      <c r="H21" s="39"/>
      <c r="I21" s="39"/>
      <c r="J21" s="39"/>
      <c r="K21" s="39"/>
      <c r="L21" s="39"/>
      <c r="M21" s="13"/>
      <c r="N21" s="13"/>
      <c r="O21" s="13"/>
      <c r="P21" s="13"/>
      <c r="Q21" s="13"/>
      <c r="R21" s="13"/>
      <c r="S21" s="13"/>
      <c r="T21" s="13"/>
      <c r="U21" s="13"/>
      <c r="V21" s="13"/>
      <c r="W21" s="13"/>
      <c r="X21" s="13"/>
      <c r="Y21" s="13"/>
      <c r="Z21" s="13"/>
      <c r="AA21" s="13"/>
      <c r="AB21" s="13"/>
      <c r="AC21" s="13"/>
      <c r="AD21" s="13"/>
      <c r="AE21" s="13"/>
      <c r="AF21" s="13"/>
      <c r="AG21" s="13"/>
    </row>
    <row r="22" spans="1:33" s="12" customFormat="1" ht="33.75" customHeight="1" hidden="1">
      <c r="A22" s="13"/>
      <c r="B22" s="39"/>
      <c r="C22" s="962" t="str">
        <f>"An average hotel with your pool and spa system loses approximately "&amp;TEXT(E26,"#,##0")&amp;" gallons of water per year from evaporation and filter cleaning. The following table provides water loss estimates for each activity."</f>
        <v>An average hotel with your pool and spa system loses approximately 0 gallons of water per year from evaporation and filter cleaning. The following table provides water loss estimates for each activity.</v>
      </c>
      <c r="D22" s="962"/>
      <c r="E22" s="962"/>
      <c r="F22" s="962"/>
      <c r="G22" s="962"/>
      <c r="H22" s="962"/>
      <c r="I22" s="962"/>
      <c r="J22" s="962"/>
      <c r="K22" s="962"/>
      <c r="L22" s="39"/>
      <c r="M22" s="13"/>
      <c r="N22" s="13"/>
      <c r="O22" s="13"/>
      <c r="P22" s="13"/>
      <c r="Q22" s="13"/>
      <c r="R22" s="13"/>
      <c r="S22" s="13"/>
      <c r="T22" s="13"/>
      <c r="U22" s="13"/>
      <c r="V22" s="13"/>
      <c r="W22" s="13"/>
      <c r="X22" s="13"/>
      <c r="Y22" s="13"/>
      <c r="Z22" s="13"/>
      <c r="AA22" s="13"/>
      <c r="AB22" s="13"/>
      <c r="AC22" s="13"/>
      <c r="AD22" s="13"/>
      <c r="AE22" s="13"/>
      <c r="AF22" s="13"/>
      <c r="AG22" s="13"/>
    </row>
    <row r="23" spans="1:33" s="12" customFormat="1" ht="26.25" hidden="1">
      <c r="A23" s="13"/>
      <c r="B23" s="39"/>
      <c r="C23" s="23"/>
      <c r="D23" s="529"/>
      <c r="E23" s="26" t="s">
        <v>58</v>
      </c>
      <c r="F23" s="43"/>
      <c r="G23" s="43"/>
      <c r="H23" s="43"/>
      <c r="I23" s="43"/>
      <c r="J23" s="45"/>
      <c r="K23" s="39"/>
      <c r="L23" s="39"/>
      <c r="M23" s="729" t="s">
        <v>422</v>
      </c>
      <c r="N23" s="13"/>
      <c r="O23" s="13"/>
      <c r="P23" s="13"/>
      <c r="Q23" s="13"/>
      <c r="R23" s="13"/>
      <c r="S23" s="13"/>
      <c r="T23" s="13"/>
      <c r="U23" s="13"/>
      <c r="V23" s="13"/>
      <c r="W23" s="13"/>
      <c r="X23" s="13"/>
      <c r="Y23" s="13"/>
      <c r="Z23" s="13"/>
      <c r="AA23" s="13"/>
      <c r="AB23" s="13"/>
      <c r="AC23" s="13"/>
      <c r="AD23" s="13"/>
      <c r="AE23" s="13"/>
      <c r="AF23" s="13"/>
      <c r="AG23" s="13"/>
    </row>
    <row r="24" spans="1:33" s="12" customFormat="1" ht="15" customHeight="1" hidden="1">
      <c r="A24" s="13"/>
      <c r="B24" s="39"/>
      <c r="C24" s="529"/>
      <c r="D24" s="16" t="s">
        <v>67</v>
      </c>
      <c r="E24" s="24">
        <f>ROUND((IF(Pool="Yes",(PoolArea*PoolOperatingDays*$H$39*IF(PoolCover="Yes",0.5,1)),0)+IF(Spa="Yes",(SpaArea*SpaOperatingDays*$I$39*IF(SpaCover="Yes",0.5,1)),0)),-3)</f>
        <v>0</v>
      </c>
      <c r="F24" s="47"/>
      <c r="G24" s="44"/>
      <c r="H24" s="44"/>
      <c r="I24" s="44"/>
      <c r="J24" s="39"/>
      <c r="K24" s="39"/>
      <c r="L24" s="39"/>
      <c r="M24" s="730">
        <f>ROUNDDOWN(IF(Pool="Yes",PoolArea*PoolOperatingDays*$H$39*0.5,0)+IF(Spa="Yes",SpaArea*SpaOperatingDays*$I$39*0.5,0),-3)</f>
        <v>0</v>
      </c>
      <c r="N24" s="13"/>
      <c r="O24" s="13"/>
      <c r="P24" s="13"/>
      <c r="Q24" s="13"/>
      <c r="R24" s="13"/>
      <c r="S24" s="13"/>
      <c r="T24" s="13"/>
      <c r="U24" s="13"/>
      <c r="V24" s="13"/>
      <c r="W24" s="13"/>
      <c r="X24" s="13"/>
      <c r="Y24" s="13"/>
      <c r="Z24" s="13"/>
      <c r="AA24" s="13"/>
      <c r="AB24" s="13"/>
      <c r="AC24" s="13"/>
      <c r="AD24" s="13"/>
      <c r="AE24" s="13"/>
      <c r="AF24" s="13"/>
      <c r="AG24" s="13"/>
    </row>
    <row r="25" spans="1:33" s="12" customFormat="1" ht="15" customHeight="1" hidden="1">
      <c r="A25" s="13"/>
      <c r="B25" s="39"/>
      <c r="C25" s="529"/>
      <c r="D25" s="16" t="s">
        <v>69</v>
      </c>
      <c r="E25" s="24">
        <f>ROUND((IF(Pool="Yes",VLOOKUP(IF(PoolFiltrationSystem="","(none)",PoolFiltrationSystem),$A$40:$I$44,8,FALSE)*PoolVolume,0)+IF(Spa="Yes",VLOOKUP(IF(SpaFiltrationSystem="","(none)",SpaFiltrationSystem),$A$40:$I$44,9,FALSE)*SpaVolume,0)),-2)</f>
        <v>0</v>
      </c>
      <c r="F25" s="44"/>
      <c r="G25" s="44"/>
      <c r="H25" s="44"/>
      <c r="I25" s="44"/>
      <c r="J25" s="39"/>
      <c r="K25" s="39"/>
      <c r="L25" s="39"/>
      <c r="M25" s="730">
        <f>ROUNDDOWN((IF(Pool="Yes",VLOOKUP("Cartridge Unit",$A$40:$I$43,8,FALSE)*PoolVolume,0)+IF(Spa="Yes",VLOOKUP("Cartridge Unit",$A$40:$I$43,9,FALSE)*SpaVolume,0)),-2)</f>
        <v>0</v>
      </c>
      <c r="N25" s="13"/>
      <c r="O25" s="13"/>
      <c r="P25" s="13"/>
      <c r="Q25" s="13"/>
      <c r="R25" s="13"/>
      <c r="S25" s="13"/>
      <c r="T25" s="13"/>
      <c r="U25" s="13"/>
      <c r="V25" s="13"/>
      <c r="W25" s="13"/>
      <c r="X25" s="13"/>
      <c r="Y25" s="13"/>
      <c r="Z25" s="13"/>
      <c r="AA25" s="13"/>
      <c r="AB25" s="13"/>
      <c r="AC25" s="13"/>
      <c r="AD25" s="13"/>
      <c r="AE25" s="13"/>
      <c r="AF25" s="13"/>
      <c r="AG25" s="13"/>
    </row>
    <row r="26" spans="1:33" s="12" customFormat="1" ht="15" customHeight="1" hidden="1">
      <c r="A26" s="13"/>
      <c r="B26" s="39"/>
      <c r="D26" s="16" t="s">
        <v>338</v>
      </c>
      <c r="E26" s="461">
        <f>SUM(E24:E25)</f>
        <v>0</v>
      </c>
      <c r="G26" s="44"/>
      <c r="H26" s="44"/>
      <c r="I26" s="44"/>
      <c r="J26" s="39"/>
      <c r="K26" s="39"/>
      <c r="L26" s="39"/>
      <c r="M26" s="13"/>
      <c r="N26" s="13"/>
      <c r="O26" s="13"/>
      <c r="P26" s="13"/>
      <c r="Q26" s="13"/>
      <c r="R26" s="13"/>
      <c r="S26" s="13"/>
      <c r="T26" s="13"/>
      <c r="U26" s="13"/>
      <c r="V26" s="13"/>
      <c r="W26" s="13"/>
      <c r="X26" s="13"/>
      <c r="Y26" s="13"/>
      <c r="Z26" s="13"/>
      <c r="AA26" s="13"/>
      <c r="AB26" s="13"/>
      <c r="AC26" s="13"/>
      <c r="AD26" s="13"/>
      <c r="AE26" s="13"/>
      <c r="AF26" s="13"/>
      <c r="AG26" s="13"/>
    </row>
    <row r="27" spans="1:33" s="12" customFormat="1" ht="15" hidden="1">
      <c r="A27" s="13"/>
      <c r="B27" s="39"/>
      <c r="C27" s="16"/>
      <c r="D27" s="16"/>
      <c r="F27" s="44"/>
      <c r="G27" s="44"/>
      <c r="H27" s="44"/>
      <c r="I27" s="44"/>
      <c r="J27" s="39"/>
      <c r="K27" s="39"/>
      <c r="L27" s="39"/>
      <c r="M27" s="13"/>
      <c r="N27" s="13"/>
      <c r="O27" s="13"/>
      <c r="P27" s="13"/>
      <c r="Q27" s="13"/>
      <c r="R27" s="13"/>
      <c r="S27" s="13"/>
      <c r="T27" s="13"/>
      <c r="U27" s="13"/>
      <c r="V27" s="13"/>
      <c r="W27" s="13"/>
      <c r="X27" s="13"/>
      <c r="Y27" s="13"/>
      <c r="Z27" s="13"/>
      <c r="AA27" s="13"/>
      <c r="AB27" s="13"/>
      <c r="AC27" s="13"/>
      <c r="AD27" s="13"/>
      <c r="AE27" s="13"/>
      <c r="AF27" s="13"/>
      <c r="AG27" s="13"/>
    </row>
    <row r="28" spans="1:33" s="389" customFormat="1" ht="25.5" customHeight="1" hidden="1">
      <c r="A28" s="50"/>
      <c r="B28" s="776"/>
      <c r="C28" s="969" t="s">
        <v>64</v>
      </c>
      <c r="D28" s="969"/>
      <c r="E28" s="969"/>
      <c r="F28" s="969"/>
      <c r="G28" s="969"/>
      <c r="H28" s="969"/>
      <c r="I28" s="969"/>
      <c r="J28" s="969"/>
      <c r="K28" s="776"/>
      <c r="L28" s="776"/>
      <c r="M28" s="50"/>
      <c r="N28" s="50"/>
      <c r="O28" s="50"/>
      <c r="P28" s="50"/>
      <c r="Q28" s="50"/>
      <c r="R28" s="50"/>
      <c r="S28" s="50"/>
      <c r="T28" s="50"/>
      <c r="U28" s="50"/>
      <c r="V28" s="50"/>
      <c r="W28" s="50"/>
      <c r="X28" s="50"/>
      <c r="Y28" s="50"/>
      <c r="Z28" s="50"/>
      <c r="AA28" s="50"/>
      <c r="AB28" s="50"/>
      <c r="AC28" s="50"/>
      <c r="AD28" s="50"/>
      <c r="AE28" s="50"/>
      <c r="AF28" s="50"/>
      <c r="AG28" s="50"/>
    </row>
    <row r="29" spans="1:69" ht="44.25" customHeight="1" hidden="1">
      <c r="A29" s="13"/>
      <c r="B29" s="39"/>
      <c r="C29" s="792" t="s">
        <v>760</v>
      </c>
      <c r="D29" s="970" t="str">
        <f>"Consider installing "&amp;IF(AND(Pool="Yes",PoolCover="No",Spa="Yes",SpaCover="No"),"pool and hot tub covers",IF(AND(Pool="Yes",PoolCover="No"),"a pool cover","a hot tub cover"))&amp;", which could reduce evaporation losses by as much as "&amp;TEXT(E24-M24,"#,##0")&amp;" gallons. Alternatively, consider using a liquid barrier to help control evaporation. Using a physical cover can reduce evaporation losses by 30 to 50 percent, while a liquid evaporation barrier can reduce losses by 10 to 30 percent."</f>
        <v>Consider installing a hot tub cover, which could reduce evaporation losses by as much as 0 gallons. Alternatively, consider using a liquid barrier to help control evaporation. Using a physical cover can reduce evaporation losses by 30 to 50 percent, while a liquid evaporation barrier can reduce losses by 10 to 30 percent.</v>
      </c>
      <c r="E29" s="970"/>
      <c r="F29" s="970"/>
      <c r="G29" s="970"/>
      <c r="H29" s="970"/>
      <c r="I29" s="970"/>
      <c r="J29" s="970"/>
      <c r="K29" s="970"/>
      <c r="L29" s="715"/>
      <c r="M29" s="13"/>
      <c r="N29" s="13"/>
      <c r="O29" s="13"/>
      <c r="P29" s="13"/>
      <c r="Q29" s="13"/>
      <c r="R29" s="13"/>
      <c r="S29" s="13"/>
      <c r="T29" s="13"/>
      <c r="U29" s="13"/>
      <c r="V29" s="13"/>
      <c r="W29" s="13"/>
      <c r="X29" s="13"/>
      <c r="Y29" s="13"/>
      <c r="Z29" s="13"/>
      <c r="AA29" s="13"/>
      <c r="AB29" s="13"/>
      <c r="AC29" s="13"/>
      <c r="AD29" s="13"/>
      <c r="AE29" s="13"/>
      <c r="AF29" s="13"/>
      <c r="AG29" s="13"/>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row>
    <row r="30" spans="1:69" ht="24.75" customHeight="1" hidden="1">
      <c r="A30" s="13"/>
      <c r="B30" s="39"/>
      <c r="C30" s="793" t="s">
        <v>760</v>
      </c>
      <c r="D30" s="975" t="str">
        <f>"Consider replacing your existing non-cartridge filters with cartridge filters. A cartridge filter system can reduce water used for filter cleaning by "&amp;TEXT(E25-M25,"#,##0")&amp;" gallons."</f>
        <v>Consider replacing your existing non-cartridge filters with cartridge filters. A cartridge filter system can reduce water used for filter cleaning by 0 gallons.</v>
      </c>
      <c r="E30" s="975"/>
      <c r="F30" s="975"/>
      <c r="G30" s="975"/>
      <c r="H30" s="975"/>
      <c r="I30" s="975"/>
      <c r="J30" s="975"/>
      <c r="K30" s="975"/>
      <c r="L30" s="801"/>
      <c r="M30" s="13"/>
      <c r="N30" s="13"/>
      <c r="O30" s="13"/>
      <c r="P30" s="13"/>
      <c r="Q30" s="13"/>
      <c r="R30" s="13"/>
      <c r="S30" s="13"/>
      <c r="T30" s="13"/>
      <c r="U30" s="13"/>
      <c r="V30" s="13"/>
      <c r="W30" s="13"/>
      <c r="X30" s="13"/>
      <c r="Y30" s="13"/>
      <c r="Z30" s="13"/>
      <c r="AA30" s="13"/>
      <c r="AB30" s="13"/>
      <c r="AC30" s="13"/>
      <c r="AD30" s="13"/>
      <c r="AE30" s="13"/>
      <c r="AF30" s="13"/>
      <c r="AG30" s="13"/>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row>
    <row r="31" spans="1:69" ht="34.5" customHeight="1" hidden="1">
      <c r="A31" s="13"/>
      <c r="B31" s="39"/>
      <c r="C31" s="793" t="s">
        <v>760</v>
      </c>
      <c r="D31" s="975" t="s">
        <v>76</v>
      </c>
      <c r="E31" s="975"/>
      <c r="F31" s="975"/>
      <c r="G31" s="975"/>
      <c r="H31" s="975"/>
      <c r="I31" s="975"/>
      <c r="J31" s="975"/>
      <c r="K31" s="975"/>
      <c r="L31" s="715"/>
      <c r="M31" s="13"/>
      <c r="N31" s="13"/>
      <c r="O31" s="13"/>
      <c r="P31" s="13"/>
      <c r="Q31" s="13"/>
      <c r="R31" s="13"/>
      <c r="S31" s="13"/>
      <c r="T31" s="13"/>
      <c r="U31" s="13"/>
      <c r="V31" s="13"/>
      <c r="W31" s="13"/>
      <c r="X31" s="13"/>
      <c r="Y31" s="13"/>
      <c r="Z31" s="13"/>
      <c r="AA31" s="13"/>
      <c r="AB31" s="13"/>
      <c r="AC31" s="13"/>
      <c r="AD31" s="13"/>
      <c r="AE31" s="13"/>
      <c r="AF31" s="13"/>
      <c r="AG31" s="13"/>
      <c r="AH31" s="12"/>
      <c r="AI31" s="12"/>
      <c r="AJ31" s="12"/>
      <c r="AK31" s="12"/>
      <c r="AL31" s="12"/>
      <c r="AM31" s="12"/>
      <c r="AN31" s="12"/>
      <c r="AO31" s="12"/>
      <c r="AP31" s="12"/>
      <c r="AQ31" s="12"/>
      <c r="AR31" s="12"/>
      <c r="AS31" s="12"/>
      <c r="AT31" s="12"/>
      <c r="AU31" s="12"/>
      <c r="AV31" s="12"/>
      <c r="AW31" s="12"/>
      <c r="AX31" s="12"/>
      <c r="AY31" s="12"/>
      <c r="AZ31" s="12"/>
      <c r="BA31" s="12"/>
      <c r="BB31" s="12"/>
      <c r="BC31" s="12"/>
      <c r="BD31" s="12"/>
      <c r="BE31" s="12"/>
      <c r="BF31" s="12"/>
      <c r="BG31" s="12"/>
      <c r="BH31" s="12"/>
      <c r="BI31" s="12"/>
      <c r="BJ31" s="12"/>
      <c r="BK31" s="12"/>
      <c r="BL31" s="12"/>
      <c r="BM31" s="12"/>
      <c r="BN31" s="12"/>
      <c r="BO31" s="12"/>
      <c r="BP31" s="12"/>
      <c r="BQ31" s="12"/>
    </row>
    <row r="32" spans="1:69" ht="36" customHeight="1" hidden="1">
      <c r="A32" s="13"/>
      <c r="B32" s="39"/>
      <c r="C32" s="792" t="s">
        <v>760</v>
      </c>
      <c r="D32" s="1021" t="s">
        <v>753</v>
      </c>
      <c r="E32" s="1021"/>
      <c r="F32" s="1021"/>
      <c r="G32" s="1021"/>
      <c r="H32" s="1021"/>
      <c r="I32" s="1021"/>
      <c r="J32" s="1021"/>
      <c r="K32" s="1021"/>
      <c r="L32" s="715"/>
      <c r="M32" s="13"/>
      <c r="N32" s="13"/>
      <c r="O32" s="13"/>
      <c r="P32" s="13"/>
      <c r="Q32" s="13"/>
      <c r="R32" s="13"/>
      <c r="S32" s="13"/>
      <c r="T32" s="13"/>
      <c r="U32" s="13"/>
      <c r="V32" s="13"/>
      <c r="W32" s="13"/>
      <c r="X32" s="13"/>
      <c r="Y32" s="13"/>
      <c r="Z32" s="13"/>
      <c r="AA32" s="13"/>
      <c r="AB32" s="13"/>
      <c r="AC32" s="13"/>
      <c r="AD32" s="13"/>
      <c r="AE32" s="13"/>
      <c r="AF32" s="13"/>
      <c r="AG32" s="13"/>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row>
    <row r="33" spans="1:69" ht="34.5" customHeight="1" hidden="1">
      <c r="A33" s="13"/>
      <c r="B33" s="39"/>
      <c r="C33" s="793" t="s">
        <v>760</v>
      </c>
      <c r="D33" s="975" t="s">
        <v>762</v>
      </c>
      <c r="E33" s="975"/>
      <c r="F33" s="975"/>
      <c r="G33" s="975"/>
      <c r="H33" s="975"/>
      <c r="I33" s="975"/>
      <c r="J33" s="975"/>
      <c r="K33" s="975"/>
      <c r="L33" s="765"/>
      <c r="M33" s="13"/>
      <c r="N33" s="13"/>
      <c r="O33" s="13"/>
      <c r="P33" s="13"/>
      <c r="Q33" s="13"/>
      <c r="R33" s="13"/>
      <c r="S33" s="13"/>
      <c r="T33" s="13"/>
      <c r="U33" s="13"/>
      <c r="V33" s="13"/>
      <c r="W33" s="13"/>
      <c r="X33" s="13"/>
      <c r="Y33" s="13"/>
      <c r="Z33" s="13"/>
      <c r="AA33" s="13"/>
      <c r="AB33" s="13"/>
      <c r="AC33" s="13"/>
      <c r="AD33" s="13"/>
      <c r="AE33" s="13"/>
      <c r="AF33" s="13"/>
      <c r="AG33" s="13"/>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c r="BM33" s="12"/>
      <c r="BN33" s="12"/>
      <c r="BO33" s="12"/>
      <c r="BP33" s="12"/>
      <c r="BQ33" s="12"/>
    </row>
    <row r="34" spans="1:69" ht="31.5" customHeight="1" hidden="1">
      <c r="A34" s="13"/>
      <c r="B34" s="39"/>
      <c r="C34" s="793" t="s">
        <v>760</v>
      </c>
      <c r="D34" s="1022" t="s">
        <v>754</v>
      </c>
      <c r="E34" s="1022"/>
      <c r="F34" s="1022"/>
      <c r="G34" s="1022"/>
      <c r="H34" s="976" t="s">
        <v>755</v>
      </c>
      <c r="I34" s="976"/>
      <c r="J34" s="976"/>
      <c r="K34" s="976"/>
      <c r="L34" s="976"/>
      <c r="M34" s="13"/>
      <c r="N34" s="13"/>
      <c r="O34" s="13"/>
      <c r="P34" s="13"/>
      <c r="Q34" s="13"/>
      <c r="R34" s="13"/>
      <c r="S34" s="13"/>
      <c r="T34" s="13"/>
      <c r="U34" s="13"/>
      <c r="V34" s="13"/>
      <c r="W34" s="13"/>
      <c r="X34" s="13"/>
      <c r="Y34" s="13"/>
      <c r="Z34" s="13"/>
      <c r="AA34" s="13"/>
      <c r="AB34" s="13"/>
      <c r="AC34" s="13"/>
      <c r="AD34" s="13"/>
      <c r="AE34" s="13"/>
      <c r="AF34" s="13"/>
      <c r="AG34" s="13"/>
      <c r="AH34" s="12"/>
      <c r="AI34" s="12"/>
      <c r="AJ34" s="12"/>
      <c r="AK34" s="12"/>
      <c r="AL34" s="12"/>
      <c r="AM34" s="12"/>
      <c r="AN34" s="12"/>
      <c r="AO34" s="12"/>
      <c r="AP34" s="12"/>
      <c r="AQ34" s="12"/>
      <c r="AR34" s="12"/>
      <c r="AS34" s="12"/>
      <c r="AT34" s="12"/>
      <c r="AU34" s="12"/>
      <c r="AV34" s="12"/>
      <c r="AW34" s="12"/>
      <c r="AX34" s="12"/>
      <c r="AY34" s="12"/>
      <c r="AZ34" s="12"/>
      <c r="BA34" s="12"/>
      <c r="BB34" s="12"/>
      <c r="BC34" s="12"/>
      <c r="BD34" s="12"/>
      <c r="BE34" s="12"/>
      <c r="BF34" s="12"/>
      <c r="BG34" s="12"/>
      <c r="BH34" s="12"/>
      <c r="BI34" s="12"/>
      <c r="BJ34" s="12"/>
      <c r="BK34" s="12"/>
      <c r="BL34" s="12"/>
      <c r="BM34" s="12"/>
      <c r="BN34" s="12"/>
      <c r="BO34" s="12"/>
      <c r="BP34" s="12"/>
      <c r="BQ34" s="12"/>
    </row>
    <row r="35" spans="1:33" s="12" customFormat="1" ht="15" hidden="1">
      <c r="A35" s="13"/>
      <c r="B35" s="39"/>
      <c r="C35" s="39"/>
      <c r="D35" s="39"/>
      <c r="E35" s="39"/>
      <c r="F35" s="39"/>
      <c r="G35" s="39"/>
      <c r="H35" s="39"/>
      <c r="I35" s="39"/>
      <c r="J35" s="39"/>
      <c r="K35" s="39"/>
      <c r="L35" s="39"/>
      <c r="M35" s="13"/>
      <c r="N35" s="13"/>
      <c r="O35" s="13"/>
      <c r="P35" s="13"/>
      <c r="Q35" s="13"/>
      <c r="R35" s="13"/>
      <c r="S35" s="13"/>
      <c r="T35" s="13"/>
      <c r="U35" s="13"/>
      <c r="V35" s="13"/>
      <c r="W35" s="13"/>
      <c r="X35" s="13"/>
      <c r="Y35" s="13"/>
      <c r="Z35" s="13"/>
      <c r="AA35" s="13"/>
      <c r="AB35" s="13"/>
      <c r="AC35" s="13"/>
      <c r="AD35" s="13"/>
      <c r="AE35" s="13"/>
      <c r="AF35" s="13"/>
      <c r="AG35" s="13"/>
    </row>
    <row r="36" spans="1:33" s="12" customFormat="1" ht="18.75" hidden="1">
      <c r="A36" s="13"/>
      <c r="B36" s="39"/>
      <c r="C36" s="956" t="s">
        <v>767</v>
      </c>
      <c r="D36" s="956"/>
      <c r="E36" s="956"/>
      <c r="F36" s="956"/>
      <c r="G36" s="956"/>
      <c r="H36" s="39"/>
      <c r="I36" s="39"/>
      <c r="J36" s="39"/>
      <c r="K36" s="39"/>
      <c r="L36" s="39"/>
      <c r="M36" s="13"/>
      <c r="N36" s="13"/>
      <c r="O36" s="13"/>
      <c r="P36" s="13"/>
      <c r="Q36" s="13"/>
      <c r="R36" s="13"/>
      <c r="S36" s="13"/>
      <c r="T36" s="13"/>
      <c r="U36" s="13"/>
      <c r="V36" s="13"/>
      <c r="W36" s="13"/>
      <c r="X36" s="13"/>
      <c r="Y36" s="13"/>
      <c r="Z36" s="13"/>
      <c r="AA36" s="13"/>
      <c r="AB36" s="13"/>
      <c r="AC36" s="13"/>
      <c r="AD36" s="13"/>
      <c r="AE36" s="13"/>
      <c r="AF36" s="13"/>
      <c r="AG36" s="13"/>
    </row>
    <row r="37" spans="1:33" s="12" customFormat="1" ht="27" customHeight="1" hidden="1">
      <c r="A37" s="13"/>
      <c r="B37" s="410"/>
      <c r="C37" s="934" t="s">
        <v>801</v>
      </c>
      <c r="D37" s="934"/>
      <c r="E37" s="934"/>
      <c r="F37" s="934"/>
      <c r="G37" s="934"/>
      <c r="H37" s="934"/>
      <c r="I37" s="934"/>
      <c r="J37" s="934"/>
      <c r="K37" s="934"/>
      <c r="L37" s="3"/>
      <c r="M37" s="13"/>
      <c r="N37" s="13"/>
      <c r="O37" s="13"/>
      <c r="P37" s="13"/>
      <c r="Q37" s="13"/>
      <c r="R37" s="13"/>
      <c r="S37" s="13"/>
      <c r="T37" s="13"/>
      <c r="U37" s="13"/>
      <c r="V37" s="13"/>
      <c r="W37" s="13"/>
      <c r="X37" s="13"/>
      <c r="Y37" s="13"/>
      <c r="Z37" s="13"/>
      <c r="AA37" s="13"/>
      <c r="AB37" s="13"/>
      <c r="AC37" s="13"/>
      <c r="AD37" s="13"/>
      <c r="AE37" s="13"/>
      <c r="AF37" s="13"/>
      <c r="AG37" s="13"/>
    </row>
    <row r="38" spans="1:33" s="12" customFormat="1" ht="30.75" hidden="1">
      <c r="A38" s="22"/>
      <c r="B38" s="39"/>
      <c r="C38" s="774"/>
      <c r="D38" s="774"/>
      <c r="E38" s="774"/>
      <c r="F38" s="774"/>
      <c r="G38" s="775"/>
      <c r="H38" s="528" t="s">
        <v>77</v>
      </c>
      <c r="I38" s="772" t="s">
        <v>78</v>
      </c>
      <c r="J38" s="39"/>
      <c r="K38" s="39"/>
      <c r="L38" s="39"/>
      <c r="M38" s="22"/>
      <c r="N38" s="22"/>
      <c r="O38" s="22"/>
      <c r="P38" s="22"/>
      <c r="Q38" s="22"/>
      <c r="R38" s="22"/>
      <c r="S38" s="22"/>
      <c r="T38" s="22"/>
      <c r="U38" s="22"/>
      <c r="V38" s="22"/>
      <c r="W38" s="22"/>
      <c r="X38" s="22"/>
      <c r="Y38" s="22"/>
      <c r="Z38" s="22"/>
      <c r="AA38" s="22"/>
      <c r="AB38" s="22"/>
      <c r="AC38" s="22"/>
      <c r="AD38" s="22"/>
      <c r="AE38" s="22"/>
      <c r="AF38" s="22"/>
      <c r="AG38" s="22"/>
    </row>
    <row r="39" spans="1:33" s="12" customFormat="1" ht="15" hidden="1">
      <c r="A39" s="13"/>
      <c r="B39" s="39"/>
      <c r="C39" s="39"/>
      <c r="D39" s="39"/>
      <c r="E39" s="927" t="s">
        <v>780</v>
      </c>
      <c r="F39" s="927"/>
      <c r="G39" s="928"/>
      <c r="H39" s="523">
        <v>0.105</v>
      </c>
      <c r="I39" s="523">
        <v>0.43</v>
      </c>
      <c r="J39" s="46"/>
      <c r="K39" s="39"/>
      <c r="L39" s="39"/>
      <c r="M39" s="13"/>
      <c r="N39" s="13"/>
      <c r="O39" s="13"/>
      <c r="P39" s="13"/>
      <c r="Q39" s="13"/>
      <c r="R39" s="13"/>
      <c r="S39" s="13"/>
      <c r="T39" s="13"/>
      <c r="U39" s="13"/>
      <c r="V39" s="13"/>
      <c r="W39" s="13"/>
      <c r="X39" s="13"/>
      <c r="Y39" s="13"/>
      <c r="Z39" s="13"/>
      <c r="AA39" s="13"/>
      <c r="AB39" s="13"/>
      <c r="AC39" s="13"/>
      <c r="AD39" s="13"/>
      <c r="AE39" s="13"/>
      <c r="AF39" s="13"/>
      <c r="AG39" s="13"/>
    </row>
    <row r="40" spans="1:33" s="12" customFormat="1" ht="15" hidden="1">
      <c r="A40" s="275" t="s">
        <v>74</v>
      </c>
      <c r="B40" s="39"/>
      <c r="C40" s="39"/>
      <c r="D40" s="39"/>
      <c r="E40" s="927" t="s">
        <v>79</v>
      </c>
      <c r="F40" s="927"/>
      <c r="G40" s="928"/>
      <c r="H40" s="523">
        <v>0.882</v>
      </c>
      <c r="I40" s="523">
        <v>0.855</v>
      </c>
      <c r="J40" s="39"/>
      <c r="K40" s="39"/>
      <c r="L40" s="39"/>
      <c r="M40" s="13"/>
      <c r="N40" s="13"/>
      <c r="O40" s="13"/>
      <c r="P40" s="13"/>
      <c r="Q40" s="13"/>
      <c r="R40" s="13"/>
      <c r="S40" s="13"/>
      <c r="T40" s="13"/>
      <c r="U40" s="13"/>
      <c r="V40" s="13"/>
      <c r="W40" s="13"/>
      <c r="X40" s="13"/>
      <c r="Y40" s="13"/>
      <c r="Z40" s="13"/>
      <c r="AA40" s="13"/>
      <c r="AB40" s="13"/>
      <c r="AC40" s="13"/>
      <c r="AD40" s="13"/>
      <c r="AE40" s="13"/>
      <c r="AF40" s="13"/>
      <c r="AG40" s="13"/>
    </row>
    <row r="41" spans="1:33" s="12" customFormat="1" ht="15" hidden="1">
      <c r="A41" s="275" t="s">
        <v>73</v>
      </c>
      <c r="B41" s="39"/>
      <c r="C41" s="39"/>
      <c r="D41" s="39"/>
      <c r="E41" s="927" t="s">
        <v>341</v>
      </c>
      <c r="F41" s="927"/>
      <c r="G41" s="928"/>
      <c r="H41" s="523">
        <v>0.277</v>
      </c>
      <c r="I41" s="523">
        <v>0.427</v>
      </c>
      <c r="J41" s="39"/>
      <c r="K41" s="39"/>
      <c r="L41" s="39"/>
      <c r="M41" s="13"/>
      <c r="N41" s="13"/>
      <c r="O41" s="13"/>
      <c r="P41" s="13"/>
      <c r="Q41" s="13"/>
      <c r="R41" s="13"/>
      <c r="S41" s="13"/>
      <c r="T41" s="13"/>
      <c r="U41" s="13"/>
      <c r="V41" s="13"/>
      <c r="W41" s="13"/>
      <c r="X41" s="13"/>
      <c r="Y41" s="13"/>
      <c r="Z41" s="13"/>
      <c r="AA41" s="13"/>
      <c r="AB41" s="13"/>
      <c r="AC41" s="13"/>
      <c r="AD41" s="13"/>
      <c r="AE41" s="13"/>
      <c r="AF41" s="13"/>
      <c r="AG41" s="13"/>
    </row>
    <row r="42" spans="1:33" s="12" customFormat="1" ht="15" hidden="1">
      <c r="A42" s="275" t="s">
        <v>70</v>
      </c>
      <c r="B42" s="39"/>
      <c r="C42" s="39"/>
      <c r="D42" s="39"/>
      <c r="E42" s="927" t="s">
        <v>342</v>
      </c>
      <c r="F42" s="927"/>
      <c r="G42" s="928"/>
      <c r="H42" s="523">
        <v>0.105</v>
      </c>
      <c r="I42" s="523">
        <v>0.273</v>
      </c>
      <c r="J42" s="39"/>
      <c r="K42" s="39"/>
      <c r="L42" s="39"/>
      <c r="M42" s="13"/>
      <c r="N42" s="13"/>
      <c r="O42" s="13"/>
      <c r="P42" s="13"/>
      <c r="Q42" s="13"/>
      <c r="R42" s="13"/>
      <c r="S42" s="13"/>
      <c r="T42" s="13"/>
      <c r="U42" s="13"/>
      <c r="V42" s="13"/>
      <c r="W42" s="13"/>
      <c r="X42" s="13"/>
      <c r="Y42" s="13"/>
      <c r="Z42" s="13"/>
      <c r="AA42" s="13"/>
      <c r="AB42" s="13"/>
      <c r="AC42" s="13"/>
      <c r="AD42" s="13"/>
      <c r="AE42" s="13"/>
      <c r="AF42" s="13"/>
      <c r="AG42" s="13"/>
    </row>
    <row r="43" spans="1:33" s="12" customFormat="1" ht="15" hidden="1">
      <c r="A43" s="275" t="s">
        <v>75</v>
      </c>
      <c r="B43" s="39"/>
      <c r="C43" s="39"/>
      <c r="D43" s="39"/>
      <c r="E43" s="927" t="s">
        <v>71</v>
      </c>
      <c r="F43" s="927"/>
      <c r="G43" s="928"/>
      <c r="H43" s="523">
        <v>0.147</v>
      </c>
      <c r="I43" s="523"/>
      <c r="J43" s="39"/>
      <c r="K43" s="39"/>
      <c r="L43" s="39"/>
      <c r="M43" s="13"/>
      <c r="N43" s="13"/>
      <c r="O43" s="13"/>
      <c r="P43" s="13"/>
      <c r="Q43" s="13"/>
      <c r="R43" s="13"/>
      <c r="S43" s="13"/>
      <c r="T43" s="13"/>
      <c r="U43" s="13"/>
      <c r="V43" s="13"/>
      <c r="W43" s="13"/>
      <c r="X43" s="13"/>
      <c r="Y43" s="13"/>
      <c r="Z43" s="13"/>
      <c r="AA43" s="13"/>
      <c r="AB43" s="13"/>
      <c r="AC43" s="13"/>
      <c r="AD43" s="13"/>
      <c r="AE43" s="13"/>
      <c r="AF43" s="13"/>
      <c r="AG43" s="13"/>
    </row>
    <row r="44" spans="1:33" s="12" customFormat="1" ht="15" hidden="1">
      <c r="A44" s="275" t="s">
        <v>836</v>
      </c>
      <c r="B44" s="39"/>
      <c r="C44" s="39"/>
      <c r="D44" s="768"/>
      <c r="E44" s="293"/>
      <c r="F44" s="3"/>
      <c r="G44" s="39"/>
      <c r="H44" s="39"/>
      <c r="I44" s="39"/>
      <c r="J44" s="39"/>
      <c r="K44" s="39"/>
      <c r="L44" s="39"/>
      <c r="M44" s="13"/>
      <c r="N44" s="13"/>
      <c r="O44" s="13"/>
      <c r="P44" s="13"/>
      <c r="Q44" s="13"/>
      <c r="R44" s="13"/>
      <c r="S44" s="13"/>
      <c r="T44" s="13"/>
      <c r="U44" s="13"/>
      <c r="V44" s="13"/>
      <c r="W44" s="13"/>
      <c r="X44" s="13"/>
      <c r="Y44" s="13"/>
      <c r="Z44" s="13"/>
      <c r="AA44" s="13"/>
      <c r="AB44" s="13"/>
      <c r="AC44" s="13"/>
      <c r="AD44" s="13"/>
      <c r="AE44" s="13"/>
      <c r="AF44" s="13"/>
      <c r="AG44" s="13"/>
    </row>
    <row r="45" spans="1:33" s="12" customFormat="1" ht="51" customHeight="1" hidden="1">
      <c r="A45" s="13"/>
      <c r="B45" s="39"/>
      <c r="C45" s="39"/>
      <c r="E45" s="967" t="s">
        <v>848</v>
      </c>
      <c r="F45" s="967"/>
      <c r="G45" s="967"/>
      <c r="H45" s="967"/>
      <c r="I45" s="967"/>
      <c r="J45" s="967"/>
      <c r="K45" s="302"/>
      <c r="L45" s="302"/>
      <c r="M45" s="13"/>
      <c r="N45" s="13"/>
      <c r="O45" s="13"/>
      <c r="P45" s="13"/>
      <c r="Q45" s="13"/>
      <c r="R45" s="13"/>
      <c r="S45" s="13"/>
      <c r="T45" s="13"/>
      <c r="U45" s="13"/>
      <c r="V45" s="13"/>
      <c r="W45" s="13"/>
      <c r="X45" s="13"/>
      <c r="Y45" s="13"/>
      <c r="Z45" s="13"/>
      <c r="AA45" s="13"/>
      <c r="AB45" s="13"/>
      <c r="AC45" s="13"/>
      <c r="AD45" s="13"/>
      <c r="AE45" s="13"/>
      <c r="AF45" s="13"/>
      <c r="AG45" s="13"/>
    </row>
    <row r="46" spans="1:33" s="12" customFormat="1" ht="15">
      <c r="A46" s="13"/>
      <c r="B46" s="654" t="s">
        <v>877</v>
      </c>
      <c r="C46" s="37"/>
      <c r="D46" s="37"/>
      <c r="E46" s="37"/>
      <c r="F46" s="37"/>
      <c r="G46" s="37"/>
      <c r="H46" s="37"/>
      <c r="I46" s="37"/>
      <c r="J46" s="37"/>
      <c r="K46" s="37"/>
      <c r="L46" s="37"/>
      <c r="M46" s="13"/>
      <c r="N46" s="13"/>
      <c r="O46" s="13"/>
      <c r="P46" s="13"/>
      <c r="Q46" s="13"/>
      <c r="R46" s="13"/>
      <c r="S46" s="13"/>
      <c r="T46" s="13"/>
      <c r="U46" s="13"/>
      <c r="V46" s="13"/>
      <c r="W46" s="13"/>
      <c r="X46" s="13"/>
      <c r="Y46" s="13"/>
      <c r="Z46" s="13"/>
      <c r="AA46" s="13"/>
      <c r="AB46" s="13"/>
      <c r="AC46" s="13"/>
      <c r="AD46" s="13"/>
      <c r="AE46" s="13"/>
      <c r="AF46" s="13"/>
      <c r="AG46" s="13"/>
    </row>
    <row r="47" spans="1:33" s="12" customFormat="1" ht="15">
      <c r="A47" s="13"/>
      <c r="B47" s="37"/>
      <c r="C47" s="37"/>
      <c r="D47" s="37"/>
      <c r="E47" s="37"/>
      <c r="F47" s="37"/>
      <c r="G47" s="37"/>
      <c r="H47" s="37"/>
      <c r="I47" s="37"/>
      <c r="J47" s="37"/>
      <c r="K47" s="37"/>
      <c r="L47" s="37"/>
      <c r="M47" s="13"/>
      <c r="N47" s="13"/>
      <c r="O47" s="13"/>
      <c r="P47" s="13"/>
      <c r="Q47" s="13"/>
      <c r="R47" s="13"/>
      <c r="S47" s="13"/>
      <c r="T47" s="13"/>
      <c r="U47" s="13"/>
      <c r="V47" s="13"/>
      <c r="W47" s="13"/>
      <c r="X47" s="13"/>
      <c r="Y47" s="13"/>
      <c r="Z47" s="13"/>
      <c r="AA47" s="13"/>
      <c r="AB47" s="13"/>
      <c r="AC47" s="13"/>
      <c r="AD47" s="13"/>
      <c r="AE47" s="13"/>
      <c r="AF47" s="13"/>
      <c r="AG47" s="13"/>
    </row>
    <row r="48" spans="1:33" s="12" customFormat="1" ht="15">
      <c r="A48" s="13"/>
      <c r="B48" s="37"/>
      <c r="C48" s="37"/>
      <c r="D48" s="37"/>
      <c r="E48" s="37"/>
      <c r="F48" s="37"/>
      <c r="G48" s="37"/>
      <c r="H48" s="37"/>
      <c r="I48" s="37"/>
      <c r="J48" s="37"/>
      <c r="K48" s="37"/>
      <c r="L48" s="37"/>
      <c r="M48" s="13"/>
      <c r="N48" s="13"/>
      <c r="O48" s="13"/>
      <c r="P48" s="13"/>
      <c r="Q48" s="13"/>
      <c r="R48" s="13"/>
      <c r="S48" s="13"/>
      <c r="T48" s="13"/>
      <c r="U48" s="13"/>
      <c r="V48" s="13"/>
      <c r="W48" s="13"/>
      <c r="X48" s="13"/>
      <c r="Y48" s="13"/>
      <c r="Z48" s="13"/>
      <c r="AA48" s="13"/>
      <c r="AB48" s="13"/>
      <c r="AC48" s="13"/>
      <c r="AD48" s="13"/>
      <c r="AE48" s="13"/>
      <c r="AF48" s="13"/>
      <c r="AG48" s="13"/>
    </row>
    <row r="49" spans="1:33" s="12" customFormat="1" ht="15">
      <c r="A49" s="13"/>
      <c r="B49" s="37"/>
      <c r="C49" s="37"/>
      <c r="D49" s="37"/>
      <c r="E49" s="37"/>
      <c r="F49" s="37"/>
      <c r="G49" s="37"/>
      <c r="H49" s="37"/>
      <c r="I49" s="37"/>
      <c r="J49" s="37"/>
      <c r="K49" s="37"/>
      <c r="L49" s="37"/>
      <c r="M49" s="13"/>
      <c r="N49" s="13"/>
      <c r="O49" s="13"/>
      <c r="P49" s="13"/>
      <c r="Q49" s="13"/>
      <c r="R49" s="13"/>
      <c r="S49" s="13"/>
      <c r="T49" s="13"/>
      <c r="U49" s="13"/>
      <c r="V49" s="13"/>
      <c r="W49" s="13"/>
      <c r="X49" s="13"/>
      <c r="Y49" s="13"/>
      <c r="Z49" s="13"/>
      <c r="AA49" s="13"/>
      <c r="AB49" s="13"/>
      <c r="AC49" s="13"/>
      <c r="AD49" s="13"/>
      <c r="AE49" s="13"/>
      <c r="AF49" s="13"/>
      <c r="AG49" s="13"/>
    </row>
    <row r="50" spans="1:33" s="12" customFormat="1" ht="15">
      <c r="A50" s="13"/>
      <c r="B50" s="37"/>
      <c r="C50" s="37"/>
      <c r="D50" s="37"/>
      <c r="E50" s="37"/>
      <c r="F50" s="37"/>
      <c r="G50" s="37"/>
      <c r="H50" s="37"/>
      <c r="I50" s="37"/>
      <c r="J50" s="37"/>
      <c r="K50" s="37"/>
      <c r="L50" s="37"/>
      <c r="M50" s="13"/>
      <c r="N50" s="13"/>
      <c r="O50" s="13"/>
      <c r="P50" s="13"/>
      <c r="Q50" s="13"/>
      <c r="R50" s="13"/>
      <c r="S50" s="13"/>
      <c r="T50" s="13"/>
      <c r="U50" s="13"/>
      <c r="V50" s="13"/>
      <c r="W50" s="13"/>
      <c r="X50" s="13"/>
      <c r="Y50" s="13"/>
      <c r="Z50" s="13"/>
      <c r="AA50" s="13"/>
      <c r="AB50" s="13"/>
      <c r="AC50" s="13"/>
      <c r="AD50" s="13"/>
      <c r="AE50" s="13"/>
      <c r="AF50" s="13"/>
      <c r="AG50" s="13"/>
    </row>
    <row r="51" spans="1:33" s="12" customFormat="1" ht="15">
      <c r="A51" s="13"/>
      <c r="B51" s="37"/>
      <c r="C51" s="37"/>
      <c r="D51" s="37"/>
      <c r="E51" s="37"/>
      <c r="F51" s="37"/>
      <c r="G51" s="37"/>
      <c r="H51" s="37"/>
      <c r="I51" s="37"/>
      <c r="J51" s="37"/>
      <c r="K51" s="37"/>
      <c r="L51" s="37"/>
      <c r="M51" s="13"/>
      <c r="N51" s="13"/>
      <c r="O51" s="13"/>
      <c r="P51" s="13"/>
      <c r="Q51" s="13"/>
      <c r="R51" s="13"/>
      <c r="S51" s="13"/>
      <c r="T51" s="13"/>
      <c r="U51" s="13"/>
      <c r="V51" s="13"/>
      <c r="W51" s="13"/>
      <c r="X51" s="13"/>
      <c r="Y51" s="13"/>
      <c r="Z51" s="13"/>
      <c r="AA51" s="13"/>
      <c r="AB51" s="13"/>
      <c r="AC51" s="13"/>
      <c r="AD51" s="13"/>
      <c r="AE51" s="13"/>
      <c r="AF51" s="13"/>
      <c r="AG51" s="13"/>
    </row>
    <row r="52" spans="1:33" s="12" customFormat="1" ht="15">
      <c r="A52" s="13"/>
      <c r="B52" s="37"/>
      <c r="C52" s="37"/>
      <c r="D52" s="37"/>
      <c r="E52" s="37"/>
      <c r="F52" s="37"/>
      <c r="G52" s="37"/>
      <c r="H52" s="37"/>
      <c r="I52" s="37"/>
      <c r="J52" s="37"/>
      <c r="K52" s="37"/>
      <c r="L52" s="37"/>
      <c r="M52" s="13"/>
      <c r="N52" s="13"/>
      <c r="O52" s="13"/>
      <c r="P52" s="13"/>
      <c r="Q52" s="13"/>
      <c r="R52" s="13"/>
      <c r="S52" s="13"/>
      <c r="T52" s="13"/>
      <c r="U52" s="13"/>
      <c r="V52" s="13"/>
      <c r="W52" s="13"/>
      <c r="X52" s="13"/>
      <c r="Y52" s="13"/>
      <c r="Z52" s="13"/>
      <c r="AA52" s="13"/>
      <c r="AB52" s="13"/>
      <c r="AC52" s="13"/>
      <c r="AD52" s="13"/>
      <c r="AE52" s="13"/>
      <c r="AF52" s="13"/>
      <c r="AG52" s="13"/>
    </row>
    <row r="53" spans="1:33" s="12" customFormat="1" ht="15">
      <c r="A53" s="13"/>
      <c r="B53" s="37"/>
      <c r="C53" s="37"/>
      <c r="D53" s="37"/>
      <c r="E53" s="37"/>
      <c r="F53" s="37"/>
      <c r="G53" s="37"/>
      <c r="H53" s="37"/>
      <c r="I53" s="37"/>
      <c r="J53" s="37"/>
      <c r="K53" s="37"/>
      <c r="L53" s="37"/>
      <c r="M53" s="13"/>
      <c r="N53" s="13"/>
      <c r="O53" s="13"/>
      <c r="P53" s="13"/>
      <c r="Q53" s="13"/>
      <c r="R53" s="13"/>
      <c r="S53" s="13"/>
      <c r="T53" s="13"/>
      <c r="U53" s="13"/>
      <c r="V53" s="13"/>
      <c r="W53" s="13"/>
      <c r="X53" s="13"/>
      <c r="Y53" s="13"/>
      <c r="Z53" s="13"/>
      <c r="AA53" s="13"/>
      <c r="AB53" s="13"/>
      <c r="AC53" s="13"/>
      <c r="AD53" s="13"/>
      <c r="AE53" s="13"/>
      <c r="AF53" s="13"/>
      <c r="AG53" s="13"/>
    </row>
    <row r="54" spans="1:33" s="12" customFormat="1" ht="15">
      <c r="A54" s="13"/>
      <c r="B54" s="37"/>
      <c r="C54" s="37"/>
      <c r="D54" s="37"/>
      <c r="E54" s="37"/>
      <c r="F54" s="37"/>
      <c r="G54" s="37"/>
      <c r="H54" s="37"/>
      <c r="I54" s="37"/>
      <c r="J54" s="37"/>
      <c r="K54" s="37"/>
      <c r="L54" s="37"/>
      <c r="M54" s="13"/>
      <c r="N54" s="13"/>
      <c r="O54" s="13"/>
      <c r="P54" s="13"/>
      <c r="Q54" s="13"/>
      <c r="R54" s="13"/>
      <c r="S54" s="13"/>
      <c r="T54" s="13"/>
      <c r="U54" s="13"/>
      <c r="V54" s="13"/>
      <c r="W54" s="13"/>
      <c r="X54" s="13"/>
      <c r="Y54" s="13"/>
      <c r="Z54" s="13"/>
      <c r="AA54" s="13"/>
      <c r="AB54" s="13"/>
      <c r="AC54" s="13"/>
      <c r="AD54" s="13"/>
      <c r="AE54" s="13"/>
      <c r="AF54" s="13"/>
      <c r="AG54" s="13"/>
    </row>
    <row r="55" spans="1:33" s="12" customFormat="1" ht="15">
      <c r="A55" s="13"/>
      <c r="B55" s="37"/>
      <c r="C55" s="37"/>
      <c r="D55" s="37"/>
      <c r="E55" s="37"/>
      <c r="F55" s="37"/>
      <c r="G55" s="37"/>
      <c r="H55" s="37"/>
      <c r="I55" s="37"/>
      <c r="J55" s="37"/>
      <c r="K55" s="37"/>
      <c r="L55" s="37"/>
      <c r="M55" s="13"/>
      <c r="N55" s="13"/>
      <c r="O55" s="13"/>
      <c r="P55" s="13"/>
      <c r="Q55" s="13"/>
      <c r="R55" s="13"/>
      <c r="S55" s="13"/>
      <c r="T55" s="13"/>
      <c r="U55" s="13"/>
      <c r="V55" s="13"/>
      <c r="W55" s="13"/>
      <c r="X55" s="13"/>
      <c r="Y55" s="13"/>
      <c r="Z55" s="13"/>
      <c r="AA55" s="13"/>
      <c r="AB55" s="13"/>
      <c r="AC55" s="13"/>
      <c r="AD55" s="13"/>
      <c r="AE55" s="13"/>
      <c r="AF55" s="13"/>
      <c r="AG55" s="13"/>
    </row>
    <row r="56" spans="1:33" s="12" customFormat="1" ht="15">
      <c r="A56" s="13"/>
      <c r="B56" s="37"/>
      <c r="C56" s="37"/>
      <c r="D56" s="37"/>
      <c r="E56" s="37"/>
      <c r="F56" s="37"/>
      <c r="G56" s="37"/>
      <c r="H56" s="37"/>
      <c r="I56" s="37"/>
      <c r="J56" s="37"/>
      <c r="K56" s="37"/>
      <c r="L56" s="37"/>
      <c r="M56" s="13"/>
      <c r="N56" s="13"/>
      <c r="O56" s="13"/>
      <c r="P56" s="13"/>
      <c r="Q56" s="13"/>
      <c r="R56" s="13"/>
      <c r="S56" s="13"/>
      <c r="T56" s="13"/>
      <c r="U56" s="13"/>
      <c r="V56" s="13"/>
      <c r="W56" s="13"/>
      <c r="X56" s="13"/>
      <c r="Y56" s="13"/>
      <c r="Z56" s="13"/>
      <c r="AA56" s="13"/>
      <c r="AB56" s="13"/>
      <c r="AC56" s="13"/>
      <c r="AD56" s="13"/>
      <c r="AE56" s="13"/>
      <c r="AF56" s="13"/>
      <c r="AG56" s="13"/>
    </row>
    <row r="57" spans="1:33" s="12" customFormat="1" ht="15">
      <c r="A57" s="13"/>
      <c r="B57" s="37"/>
      <c r="C57" s="37"/>
      <c r="D57" s="37"/>
      <c r="E57" s="37"/>
      <c r="F57" s="37"/>
      <c r="G57" s="37"/>
      <c r="H57" s="37"/>
      <c r="I57" s="37"/>
      <c r="J57" s="37"/>
      <c r="K57" s="37"/>
      <c r="L57" s="37"/>
      <c r="M57" s="13"/>
      <c r="N57" s="13"/>
      <c r="O57" s="13"/>
      <c r="P57" s="13"/>
      <c r="Q57" s="13"/>
      <c r="R57" s="13"/>
      <c r="S57" s="13"/>
      <c r="T57" s="13"/>
      <c r="U57" s="13"/>
      <c r="V57" s="13"/>
      <c r="W57" s="13"/>
      <c r="X57" s="13"/>
      <c r="Y57" s="13"/>
      <c r="Z57" s="13"/>
      <c r="AA57" s="13"/>
      <c r="AB57" s="13"/>
      <c r="AC57" s="13"/>
      <c r="AD57" s="13"/>
      <c r="AE57" s="13"/>
      <c r="AF57" s="13"/>
      <c r="AG57" s="13"/>
    </row>
    <row r="58" spans="1:33" s="12" customFormat="1" ht="15">
      <c r="A58" s="13"/>
      <c r="B58" s="37"/>
      <c r="C58" s="37"/>
      <c r="D58" s="37"/>
      <c r="E58" s="37"/>
      <c r="F58" s="37"/>
      <c r="G58" s="37"/>
      <c r="H58" s="37"/>
      <c r="I58" s="37"/>
      <c r="J58" s="37"/>
      <c r="K58" s="37"/>
      <c r="L58" s="37"/>
      <c r="M58" s="13"/>
      <c r="N58" s="13"/>
      <c r="O58" s="13"/>
      <c r="P58" s="13"/>
      <c r="Q58" s="13"/>
      <c r="R58" s="13"/>
      <c r="S58" s="13"/>
      <c r="T58" s="13"/>
      <c r="U58" s="13"/>
      <c r="V58" s="13"/>
      <c r="W58" s="13"/>
      <c r="X58" s="13"/>
      <c r="Y58" s="13"/>
      <c r="Z58" s="13"/>
      <c r="AA58" s="13"/>
      <c r="AB58" s="13"/>
      <c r="AC58" s="13"/>
      <c r="AD58" s="13"/>
      <c r="AE58" s="13"/>
      <c r="AF58" s="13"/>
      <c r="AG58" s="13"/>
    </row>
    <row r="59" spans="1:33" s="12" customFormat="1" ht="15">
      <c r="A59" s="13"/>
      <c r="B59" s="37"/>
      <c r="C59" s="37"/>
      <c r="D59" s="37"/>
      <c r="E59" s="37"/>
      <c r="F59" s="37"/>
      <c r="G59" s="37"/>
      <c r="H59" s="37"/>
      <c r="I59" s="37"/>
      <c r="J59" s="37"/>
      <c r="K59" s="37"/>
      <c r="L59" s="37"/>
      <c r="M59" s="13"/>
      <c r="N59" s="13"/>
      <c r="O59" s="13"/>
      <c r="P59" s="13"/>
      <c r="Q59" s="13"/>
      <c r="R59" s="13"/>
      <c r="S59" s="13"/>
      <c r="T59" s="13"/>
      <c r="U59" s="13"/>
      <c r="V59" s="13"/>
      <c r="W59" s="13"/>
      <c r="X59" s="13"/>
      <c r="Y59" s="13"/>
      <c r="Z59" s="13"/>
      <c r="AA59" s="13"/>
      <c r="AB59" s="13"/>
      <c r="AC59" s="13"/>
      <c r="AD59" s="13"/>
      <c r="AE59" s="13"/>
      <c r="AF59" s="13"/>
      <c r="AG59" s="13"/>
    </row>
    <row r="60" spans="1:33" s="12" customFormat="1" ht="15">
      <c r="A60" s="13"/>
      <c r="B60" s="37"/>
      <c r="C60" s="37"/>
      <c r="D60" s="37"/>
      <c r="E60" s="37"/>
      <c r="F60" s="37"/>
      <c r="G60" s="37"/>
      <c r="H60" s="37"/>
      <c r="I60" s="37"/>
      <c r="J60" s="37"/>
      <c r="K60" s="37"/>
      <c r="L60" s="37"/>
      <c r="M60" s="13"/>
      <c r="N60" s="13"/>
      <c r="O60" s="13"/>
      <c r="P60" s="13"/>
      <c r="Q60" s="13"/>
      <c r="R60" s="13"/>
      <c r="S60" s="13"/>
      <c r="T60" s="13"/>
      <c r="U60" s="13"/>
      <c r="V60" s="13"/>
      <c r="W60" s="13"/>
      <c r="X60" s="13"/>
      <c r="Y60" s="13"/>
      <c r="Z60" s="13"/>
      <c r="AA60" s="13"/>
      <c r="AB60" s="13"/>
      <c r="AC60" s="13"/>
      <c r="AD60" s="13"/>
      <c r="AE60" s="13"/>
      <c r="AF60" s="13"/>
      <c r="AG60" s="13"/>
    </row>
    <row r="61" spans="1:33" s="12" customFormat="1" ht="15">
      <c r="A61" s="13"/>
      <c r="B61" s="37"/>
      <c r="C61" s="37"/>
      <c r="D61" s="37"/>
      <c r="E61" s="37"/>
      <c r="F61" s="37"/>
      <c r="G61" s="37"/>
      <c r="H61" s="37"/>
      <c r="I61" s="37"/>
      <c r="J61" s="37"/>
      <c r="K61" s="37"/>
      <c r="L61" s="37"/>
      <c r="M61" s="13"/>
      <c r="N61" s="13"/>
      <c r="O61" s="13"/>
      <c r="P61" s="13"/>
      <c r="Q61" s="13"/>
      <c r="R61" s="13"/>
      <c r="S61" s="13"/>
      <c r="T61" s="13"/>
      <c r="U61" s="13"/>
      <c r="V61" s="13"/>
      <c r="W61" s="13"/>
      <c r="X61" s="13"/>
      <c r="Y61" s="13"/>
      <c r="Z61" s="13"/>
      <c r="AA61" s="13"/>
      <c r="AB61" s="13"/>
      <c r="AC61" s="13"/>
      <c r="AD61" s="13"/>
      <c r="AE61" s="13"/>
      <c r="AF61" s="13"/>
      <c r="AG61" s="13"/>
    </row>
    <row r="62" spans="1:33" s="12" customFormat="1" ht="15">
      <c r="A62" s="13"/>
      <c r="B62" s="37"/>
      <c r="C62" s="37"/>
      <c r="D62" s="37"/>
      <c r="E62" s="37"/>
      <c r="F62" s="37"/>
      <c r="G62" s="37"/>
      <c r="H62" s="37"/>
      <c r="I62" s="37"/>
      <c r="J62" s="37"/>
      <c r="K62" s="37"/>
      <c r="L62" s="37"/>
      <c r="M62" s="13"/>
      <c r="N62" s="13"/>
      <c r="O62" s="13"/>
      <c r="P62" s="13"/>
      <c r="Q62" s="13"/>
      <c r="R62" s="13"/>
      <c r="S62" s="13"/>
      <c r="T62" s="13"/>
      <c r="U62" s="13"/>
      <c r="V62" s="13"/>
      <c r="W62" s="13"/>
      <c r="X62" s="13"/>
      <c r="Y62" s="13"/>
      <c r="Z62" s="13"/>
      <c r="AA62" s="13"/>
      <c r="AB62" s="13"/>
      <c r="AC62" s="13"/>
      <c r="AD62" s="13"/>
      <c r="AE62" s="13"/>
      <c r="AF62" s="13"/>
      <c r="AG62" s="13"/>
    </row>
    <row r="63" spans="1:33" s="12" customFormat="1" ht="15">
      <c r="A63" s="13"/>
      <c r="B63" s="37"/>
      <c r="C63" s="37"/>
      <c r="D63" s="37"/>
      <c r="E63" s="37"/>
      <c r="F63" s="37"/>
      <c r="G63" s="37"/>
      <c r="H63" s="37"/>
      <c r="I63" s="37"/>
      <c r="J63" s="37"/>
      <c r="K63" s="37"/>
      <c r="L63" s="37"/>
      <c r="M63" s="13"/>
      <c r="N63" s="13"/>
      <c r="O63" s="13"/>
      <c r="P63" s="13"/>
      <c r="Q63" s="13"/>
      <c r="R63" s="13"/>
      <c r="S63" s="13"/>
      <c r="T63" s="13"/>
      <c r="U63" s="13"/>
      <c r="V63" s="13"/>
      <c r="W63" s="13"/>
      <c r="X63" s="13"/>
      <c r="Y63" s="13"/>
      <c r="Z63" s="13"/>
      <c r="AA63" s="13"/>
      <c r="AB63" s="13"/>
      <c r="AC63" s="13"/>
      <c r="AD63" s="13"/>
      <c r="AE63" s="13"/>
      <c r="AF63" s="13"/>
      <c r="AG63" s="13"/>
    </row>
    <row r="64" spans="1:33" s="12" customFormat="1" ht="15">
      <c r="A64" s="13"/>
      <c r="B64" s="37"/>
      <c r="C64" s="37"/>
      <c r="D64" s="37"/>
      <c r="E64" s="37"/>
      <c r="F64" s="37"/>
      <c r="G64" s="37"/>
      <c r="H64" s="37"/>
      <c r="I64" s="37"/>
      <c r="J64" s="37"/>
      <c r="K64" s="37"/>
      <c r="L64" s="37"/>
      <c r="M64" s="13"/>
      <c r="N64" s="13"/>
      <c r="O64" s="13"/>
      <c r="P64" s="13"/>
      <c r="Q64" s="13"/>
      <c r="R64" s="13"/>
      <c r="S64" s="13"/>
      <c r="T64" s="13"/>
      <c r="U64" s="13"/>
      <c r="V64" s="13"/>
      <c r="W64" s="13"/>
      <c r="X64" s="13"/>
      <c r="Y64" s="13"/>
      <c r="Z64" s="13"/>
      <c r="AA64" s="13"/>
      <c r="AB64" s="13"/>
      <c r="AC64" s="13"/>
      <c r="AD64" s="13"/>
      <c r="AE64" s="13"/>
      <c r="AF64" s="13"/>
      <c r="AG64" s="13"/>
    </row>
    <row r="65" spans="1:33" s="12" customFormat="1" ht="15">
      <c r="A65" s="13"/>
      <c r="B65" s="37"/>
      <c r="C65" s="37"/>
      <c r="D65" s="37"/>
      <c r="E65" s="37"/>
      <c r="F65" s="37"/>
      <c r="G65" s="37"/>
      <c r="H65" s="37"/>
      <c r="I65" s="37"/>
      <c r="J65" s="37"/>
      <c r="K65" s="37"/>
      <c r="L65" s="37"/>
      <c r="M65" s="13"/>
      <c r="N65" s="13"/>
      <c r="O65" s="13"/>
      <c r="P65" s="13"/>
      <c r="Q65" s="13"/>
      <c r="R65" s="13"/>
      <c r="S65" s="13"/>
      <c r="T65" s="13"/>
      <c r="U65" s="13"/>
      <c r="V65" s="13"/>
      <c r="W65" s="13"/>
      <c r="X65" s="13"/>
      <c r="Y65" s="13"/>
      <c r="Z65" s="13"/>
      <c r="AA65" s="13"/>
      <c r="AB65" s="13"/>
      <c r="AC65" s="13"/>
      <c r="AD65" s="13"/>
      <c r="AE65" s="13"/>
      <c r="AF65" s="13"/>
      <c r="AG65" s="13"/>
    </row>
    <row r="66" spans="1:33" s="12" customFormat="1" ht="15">
      <c r="A66" s="13"/>
      <c r="B66" s="37"/>
      <c r="C66" s="37"/>
      <c r="D66" s="37"/>
      <c r="E66" s="37"/>
      <c r="F66" s="37"/>
      <c r="G66" s="37"/>
      <c r="H66" s="37"/>
      <c r="I66" s="37"/>
      <c r="J66" s="37"/>
      <c r="K66" s="37"/>
      <c r="L66" s="37"/>
      <c r="M66" s="13"/>
      <c r="N66" s="13"/>
      <c r="O66" s="13"/>
      <c r="P66" s="13"/>
      <c r="Q66" s="13"/>
      <c r="R66" s="13"/>
      <c r="S66" s="13"/>
      <c r="T66" s="13"/>
      <c r="U66" s="13"/>
      <c r="V66" s="13"/>
      <c r="W66" s="13"/>
      <c r="X66" s="13"/>
      <c r="Y66" s="13"/>
      <c r="Z66" s="13"/>
      <c r="AA66" s="13"/>
      <c r="AB66" s="13"/>
      <c r="AC66" s="13"/>
      <c r="AD66" s="13"/>
      <c r="AE66" s="13"/>
      <c r="AF66" s="13"/>
      <c r="AG66" s="13"/>
    </row>
    <row r="67" spans="1:33" s="12" customFormat="1" ht="15">
      <c r="A67" s="13"/>
      <c r="B67" s="37"/>
      <c r="C67" s="37"/>
      <c r="D67" s="37"/>
      <c r="E67" s="37"/>
      <c r="F67" s="37"/>
      <c r="G67" s="37"/>
      <c r="H67" s="37"/>
      <c r="I67" s="37"/>
      <c r="J67" s="37"/>
      <c r="K67" s="37"/>
      <c r="L67" s="37"/>
      <c r="M67" s="13"/>
      <c r="N67" s="13"/>
      <c r="O67" s="13"/>
      <c r="P67" s="13"/>
      <c r="Q67" s="13"/>
      <c r="R67" s="13"/>
      <c r="S67" s="13"/>
      <c r="T67" s="13"/>
      <c r="U67" s="13"/>
      <c r="V67" s="13"/>
      <c r="W67" s="13"/>
      <c r="X67" s="13"/>
      <c r="Y67" s="13"/>
      <c r="Z67" s="13"/>
      <c r="AA67" s="13"/>
      <c r="AB67" s="13"/>
      <c r="AC67" s="13"/>
      <c r="AD67" s="13"/>
      <c r="AE67" s="13"/>
      <c r="AF67" s="13"/>
      <c r="AG67" s="13"/>
    </row>
    <row r="68" spans="1:33" s="12" customFormat="1" ht="15">
      <c r="A68" s="13"/>
      <c r="B68" s="37"/>
      <c r="C68" s="37"/>
      <c r="D68" s="37"/>
      <c r="E68" s="37"/>
      <c r="F68" s="37"/>
      <c r="G68" s="37"/>
      <c r="H68" s="37"/>
      <c r="I68" s="37"/>
      <c r="J68" s="37"/>
      <c r="K68" s="37"/>
      <c r="L68" s="37"/>
      <c r="M68" s="13"/>
      <c r="N68" s="13"/>
      <c r="O68" s="13"/>
      <c r="P68" s="13"/>
      <c r="Q68" s="13"/>
      <c r="R68" s="13"/>
      <c r="S68" s="13"/>
      <c r="T68" s="13"/>
      <c r="U68" s="13"/>
      <c r="V68" s="13"/>
      <c r="W68" s="13"/>
      <c r="X68" s="13"/>
      <c r="Y68" s="13"/>
      <c r="Z68" s="13"/>
      <c r="AA68" s="13"/>
      <c r="AB68" s="13"/>
      <c r="AC68" s="13"/>
      <c r="AD68" s="13"/>
      <c r="AE68" s="13"/>
      <c r="AF68" s="13"/>
      <c r="AG68" s="13"/>
    </row>
    <row r="69" spans="1:33" s="12" customFormat="1" ht="15">
      <c r="A69" s="13"/>
      <c r="B69" s="37"/>
      <c r="C69" s="37"/>
      <c r="D69" s="37"/>
      <c r="E69" s="37"/>
      <c r="F69" s="37"/>
      <c r="G69" s="37"/>
      <c r="H69" s="37"/>
      <c r="I69" s="37"/>
      <c r="J69" s="37"/>
      <c r="K69" s="37"/>
      <c r="L69" s="37"/>
      <c r="M69" s="13"/>
      <c r="N69" s="13"/>
      <c r="O69" s="13"/>
      <c r="P69" s="13"/>
      <c r="Q69" s="13"/>
      <c r="R69" s="13"/>
      <c r="S69" s="13"/>
      <c r="T69" s="13"/>
      <c r="U69" s="13"/>
      <c r="V69" s="13"/>
      <c r="W69" s="13"/>
      <c r="X69" s="13"/>
      <c r="Y69" s="13"/>
      <c r="Z69" s="13"/>
      <c r="AA69" s="13"/>
      <c r="AB69" s="13"/>
      <c r="AC69" s="13"/>
      <c r="AD69" s="13"/>
      <c r="AE69" s="13"/>
      <c r="AF69" s="13"/>
      <c r="AG69" s="13"/>
    </row>
    <row r="70" spans="1:33" s="12" customFormat="1" ht="15">
      <c r="A70" s="13"/>
      <c r="B70" s="37"/>
      <c r="C70" s="37"/>
      <c r="D70" s="37"/>
      <c r="E70" s="37"/>
      <c r="F70" s="37"/>
      <c r="G70" s="37"/>
      <c r="H70" s="37"/>
      <c r="I70" s="37"/>
      <c r="J70" s="37"/>
      <c r="K70" s="37"/>
      <c r="L70" s="37"/>
      <c r="M70" s="13"/>
      <c r="N70" s="13"/>
      <c r="O70" s="13"/>
      <c r="P70" s="13"/>
      <c r="Q70" s="13"/>
      <c r="R70" s="13"/>
      <c r="S70" s="13"/>
      <c r="T70" s="13"/>
      <c r="U70" s="13"/>
      <c r="V70" s="13"/>
      <c r="W70" s="13"/>
      <c r="X70" s="13"/>
      <c r="Y70" s="13"/>
      <c r="Z70" s="13"/>
      <c r="AA70" s="13"/>
      <c r="AB70" s="13"/>
      <c r="AC70" s="13"/>
      <c r="AD70" s="13"/>
      <c r="AE70" s="13"/>
      <c r="AF70" s="13"/>
      <c r="AG70" s="13"/>
    </row>
    <row r="71" spans="1:33" s="12" customFormat="1" ht="15">
      <c r="A71" s="13"/>
      <c r="B71" s="37"/>
      <c r="C71" s="37"/>
      <c r="D71" s="37"/>
      <c r="E71" s="37"/>
      <c r="F71" s="37"/>
      <c r="G71" s="37"/>
      <c r="H71" s="37"/>
      <c r="I71" s="37"/>
      <c r="J71" s="37"/>
      <c r="K71" s="37"/>
      <c r="L71" s="37"/>
      <c r="M71" s="13"/>
      <c r="N71" s="13"/>
      <c r="O71" s="13"/>
      <c r="P71" s="13"/>
      <c r="Q71" s="13"/>
      <c r="R71" s="13"/>
      <c r="S71" s="13"/>
      <c r="T71" s="13"/>
      <c r="U71" s="13"/>
      <c r="V71" s="13"/>
      <c r="W71" s="13"/>
      <c r="X71" s="13"/>
      <c r="Y71" s="13"/>
      <c r="Z71" s="13"/>
      <c r="AA71" s="13"/>
      <c r="AB71" s="13"/>
      <c r="AC71" s="13"/>
      <c r="AD71" s="13"/>
      <c r="AE71" s="13"/>
      <c r="AF71" s="13"/>
      <c r="AG71" s="13"/>
    </row>
    <row r="72" spans="1:33" s="12" customFormat="1" ht="15">
      <c r="A72" s="13"/>
      <c r="B72" s="37"/>
      <c r="C72" s="37"/>
      <c r="D72" s="37"/>
      <c r="E72" s="37"/>
      <c r="F72" s="37"/>
      <c r="G72" s="37"/>
      <c r="H72" s="37"/>
      <c r="I72" s="37"/>
      <c r="J72" s="37"/>
      <c r="K72" s="37"/>
      <c r="L72" s="37"/>
      <c r="M72" s="13"/>
      <c r="N72" s="13"/>
      <c r="O72" s="13"/>
      <c r="P72" s="13"/>
      <c r="Q72" s="13"/>
      <c r="R72" s="13"/>
      <c r="S72" s="13"/>
      <c r="T72" s="13"/>
      <c r="U72" s="13"/>
      <c r="V72" s="13"/>
      <c r="W72" s="13"/>
      <c r="X72" s="13"/>
      <c r="Y72" s="13"/>
      <c r="Z72" s="13"/>
      <c r="AA72" s="13"/>
      <c r="AB72" s="13"/>
      <c r="AC72" s="13"/>
      <c r="AD72" s="13"/>
      <c r="AE72" s="13"/>
      <c r="AF72" s="13"/>
      <c r="AG72" s="13"/>
    </row>
    <row r="73" spans="1:33" s="12" customFormat="1" ht="15">
      <c r="A73" s="13"/>
      <c r="B73" s="37"/>
      <c r="C73" s="37"/>
      <c r="D73" s="37"/>
      <c r="E73" s="37"/>
      <c r="F73" s="37"/>
      <c r="G73" s="37"/>
      <c r="H73" s="37"/>
      <c r="I73" s="37"/>
      <c r="J73" s="37"/>
      <c r="K73" s="37"/>
      <c r="L73" s="37"/>
      <c r="M73" s="13"/>
      <c r="N73" s="13"/>
      <c r="O73" s="13"/>
      <c r="P73" s="13"/>
      <c r="Q73" s="13"/>
      <c r="R73" s="13"/>
      <c r="S73" s="13"/>
      <c r="T73" s="13"/>
      <c r="U73" s="13"/>
      <c r="V73" s="13"/>
      <c r="W73" s="13"/>
      <c r="X73" s="13"/>
      <c r="Y73" s="13"/>
      <c r="Z73" s="13"/>
      <c r="AA73" s="13"/>
      <c r="AB73" s="13"/>
      <c r="AC73" s="13"/>
      <c r="AD73" s="13"/>
      <c r="AE73" s="13"/>
      <c r="AF73" s="13"/>
      <c r="AG73" s="13"/>
    </row>
    <row r="74" spans="1:33" s="12" customFormat="1" ht="15">
      <c r="A74" s="13"/>
      <c r="B74" s="37"/>
      <c r="C74" s="37"/>
      <c r="D74" s="37"/>
      <c r="E74" s="37"/>
      <c r="F74" s="37"/>
      <c r="G74" s="37"/>
      <c r="H74" s="37"/>
      <c r="I74" s="37"/>
      <c r="J74" s="37"/>
      <c r="K74" s="37"/>
      <c r="L74" s="37"/>
      <c r="M74" s="13"/>
      <c r="N74" s="13"/>
      <c r="O74" s="13"/>
      <c r="P74" s="13"/>
      <c r="Q74" s="13"/>
      <c r="R74" s="13"/>
      <c r="S74" s="13"/>
      <c r="T74" s="13"/>
      <c r="U74" s="13"/>
      <c r="V74" s="13"/>
      <c r="W74" s="13"/>
      <c r="X74" s="13"/>
      <c r="Y74" s="13"/>
      <c r="Z74" s="13"/>
      <c r="AA74" s="13"/>
      <c r="AB74" s="13"/>
      <c r="AC74" s="13"/>
      <c r="AD74" s="13"/>
      <c r="AE74" s="13"/>
      <c r="AF74" s="13"/>
      <c r="AG74" s="13"/>
    </row>
    <row r="75" spans="1:33" s="12" customFormat="1" ht="15">
      <c r="A75" s="13"/>
      <c r="B75" s="37"/>
      <c r="C75" s="37"/>
      <c r="D75" s="37"/>
      <c r="E75" s="37"/>
      <c r="F75" s="37"/>
      <c r="G75" s="37"/>
      <c r="H75" s="37"/>
      <c r="I75" s="37"/>
      <c r="J75" s="37"/>
      <c r="K75" s="37"/>
      <c r="L75" s="37"/>
      <c r="M75" s="13"/>
      <c r="N75" s="13"/>
      <c r="O75" s="13"/>
      <c r="P75" s="13"/>
      <c r="Q75" s="13"/>
      <c r="R75" s="13"/>
      <c r="S75" s="13"/>
      <c r="T75" s="13"/>
      <c r="U75" s="13"/>
      <c r="V75" s="13"/>
      <c r="W75" s="13"/>
      <c r="X75" s="13"/>
      <c r="Y75" s="13"/>
      <c r="Z75" s="13"/>
      <c r="AA75" s="13"/>
      <c r="AB75" s="13"/>
      <c r="AC75" s="13"/>
      <c r="AD75" s="13"/>
      <c r="AE75" s="13"/>
      <c r="AF75" s="13"/>
      <c r="AG75" s="13"/>
    </row>
    <row r="76" spans="1:33" s="12" customFormat="1" ht="15">
      <c r="A76" s="13"/>
      <c r="B76" s="37"/>
      <c r="C76" s="37"/>
      <c r="D76" s="37"/>
      <c r="E76" s="37"/>
      <c r="F76" s="37"/>
      <c r="G76" s="37"/>
      <c r="H76" s="37"/>
      <c r="I76" s="37"/>
      <c r="J76" s="37"/>
      <c r="K76" s="37"/>
      <c r="L76" s="37"/>
      <c r="M76" s="13"/>
      <c r="N76" s="13"/>
      <c r="O76" s="13"/>
      <c r="P76" s="13"/>
      <c r="Q76" s="13"/>
      <c r="R76" s="13"/>
      <c r="S76" s="13"/>
      <c r="T76" s="13"/>
      <c r="U76" s="13"/>
      <c r="V76" s="13"/>
      <c r="W76" s="13"/>
      <c r="X76" s="13"/>
      <c r="Y76" s="13"/>
      <c r="Z76" s="13"/>
      <c r="AA76" s="13"/>
      <c r="AB76" s="13"/>
      <c r="AC76" s="13"/>
      <c r="AD76" s="13"/>
      <c r="AE76" s="13"/>
      <c r="AF76" s="13"/>
      <c r="AG76" s="13"/>
    </row>
    <row r="77" spans="1:33" s="12" customFormat="1" ht="15">
      <c r="A77" s="13"/>
      <c r="B77" s="37"/>
      <c r="C77" s="37"/>
      <c r="D77" s="37"/>
      <c r="E77" s="37"/>
      <c r="F77" s="37"/>
      <c r="G77" s="37"/>
      <c r="H77" s="37"/>
      <c r="I77" s="37"/>
      <c r="J77" s="37"/>
      <c r="K77" s="37"/>
      <c r="L77" s="37"/>
      <c r="M77" s="13"/>
      <c r="N77" s="13"/>
      <c r="O77" s="13"/>
      <c r="P77" s="13"/>
      <c r="Q77" s="13"/>
      <c r="R77" s="13"/>
      <c r="S77" s="13"/>
      <c r="T77" s="13"/>
      <c r="U77" s="13"/>
      <c r="V77" s="13"/>
      <c r="W77" s="13"/>
      <c r="X77" s="13"/>
      <c r="Y77" s="13"/>
      <c r="Z77" s="13"/>
      <c r="AA77" s="13"/>
      <c r="AB77" s="13"/>
      <c r="AC77" s="13"/>
      <c r="AD77" s="13"/>
      <c r="AE77" s="13"/>
      <c r="AF77" s="13"/>
      <c r="AG77" s="13"/>
    </row>
    <row r="78" spans="1:33" s="12" customFormat="1" ht="15">
      <c r="A78" s="13"/>
      <c r="B78" s="37"/>
      <c r="C78" s="37"/>
      <c r="D78" s="37"/>
      <c r="E78" s="37"/>
      <c r="F78" s="37"/>
      <c r="G78" s="37"/>
      <c r="H78" s="37"/>
      <c r="I78" s="37"/>
      <c r="J78" s="37"/>
      <c r="K78" s="37"/>
      <c r="L78" s="37"/>
      <c r="M78" s="13"/>
      <c r="N78" s="13"/>
      <c r="O78" s="13"/>
      <c r="P78" s="13"/>
      <c r="Q78" s="13"/>
      <c r="R78" s="13"/>
      <c r="S78" s="13"/>
      <c r="T78" s="13"/>
      <c r="U78" s="13"/>
      <c r="V78" s="13"/>
      <c r="W78" s="13"/>
      <c r="X78" s="13"/>
      <c r="Y78" s="13"/>
      <c r="Z78" s="13"/>
      <c r="AA78" s="13"/>
      <c r="AB78" s="13"/>
      <c r="AC78" s="13"/>
      <c r="AD78" s="13"/>
      <c r="AE78" s="13"/>
      <c r="AF78" s="13"/>
      <c r="AG78" s="13"/>
    </row>
    <row r="79" spans="1:33" s="12" customFormat="1" ht="15">
      <c r="A79" s="13"/>
      <c r="B79" s="37"/>
      <c r="C79" s="37"/>
      <c r="D79" s="37"/>
      <c r="E79" s="37"/>
      <c r="F79" s="37"/>
      <c r="G79" s="37"/>
      <c r="H79" s="37"/>
      <c r="I79" s="37"/>
      <c r="J79" s="37"/>
      <c r="K79" s="37"/>
      <c r="L79" s="37"/>
      <c r="M79" s="13"/>
      <c r="N79" s="13"/>
      <c r="O79" s="13"/>
      <c r="P79" s="13"/>
      <c r="Q79" s="13"/>
      <c r="R79" s="13"/>
      <c r="S79" s="13"/>
      <c r="T79" s="13"/>
      <c r="U79" s="13"/>
      <c r="V79" s="13"/>
      <c r="W79" s="13"/>
      <c r="X79" s="13"/>
      <c r="Y79" s="13"/>
      <c r="Z79" s="13"/>
      <c r="AA79" s="13"/>
      <c r="AB79" s="13"/>
      <c r="AC79" s="13"/>
      <c r="AD79" s="13"/>
      <c r="AE79" s="13"/>
      <c r="AF79" s="13"/>
      <c r="AG79" s="13"/>
    </row>
    <row r="80" spans="1:33" s="12" customFormat="1" ht="15">
      <c r="A80" s="13"/>
      <c r="B80" s="37"/>
      <c r="C80" s="37"/>
      <c r="D80" s="37"/>
      <c r="E80" s="37"/>
      <c r="F80" s="37"/>
      <c r="G80" s="37"/>
      <c r="H80" s="37"/>
      <c r="I80" s="37"/>
      <c r="J80" s="37"/>
      <c r="K80" s="37"/>
      <c r="L80" s="37"/>
      <c r="M80" s="13"/>
      <c r="N80" s="13"/>
      <c r="O80" s="13"/>
      <c r="P80" s="13"/>
      <c r="Q80" s="13"/>
      <c r="R80" s="13"/>
      <c r="S80" s="13"/>
      <c r="T80" s="13"/>
      <c r="U80" s="13"/>
      <c r="V80" s="13"/>
      <c r="W80" s="13"/>
      <c r="X80" s="13"/>
      <c r="Y80" s="13"/>
      <c r="Z80" s="13"/>
      <c r="AA80" s="13"/>
      <c r="AB80" s="13"/>
      <c r="AC80" s="13"/>
      <c r="AD80" s="13"/>
      <c r="AE80" s="13"/>
      <c r="AF80" s="13"/>
      <c r="AG80" s="13"/>
    </row>
    <row r="81" spans="1:33" s="12" customFormat="1" ht="15">
      <c r="A81" s="13"/>
      <c r="B81" s="37"/>
      <c r="C81" s="37"/>
      <c r="D81" s="37"/>
      <c r="E81" s="37"/>
      <c r="F81" s="37"/>
      <c r="G81" s="37"/>
      <c r="H81" s="37"/>
      <c r="I81" s="37"/>
      <c r="J81" s="37"/>
      <c r="K81" s="37"/>
      <c r="L81" s="37"/>
      <c r="M81" s="13"/>
      <c r="N81" s="13"/>
      <c r="O81" s="13"/>
      <c r="P81" s="13"/>
      <c r="Q81" s="13"/>
      <c r="R81" s="13"/>
      <c r="S81" s="13"/>
      <c r="T81" s="13"/>
      <c r="U81" s="13"/>
      <c r="V81" s="13"/>
      <c r="W81" s="13"/>
      <c r="X81" s="13"/>
      <c r="Y81" s="13"/>
      <c r="Z81" s="13"/>
      <c r="AA81" s="13"/>
      <c r="AB81" s="13"/>
      <c r="AC81" s="13"/>
      <c r="AD81" s="13"/>
      <c r="AE81" s="13"/>
      <c r="AF81" s="13"/>
      <c r="AG81" s="13"/>
    </row>
    <row r="82" spans="1:33" s="12" customFormat="1" ht="15">
      <c r="A82" s="13"/>
      <c r="B82" s="37"/>
      <c r="C82" s="37"/>
      <c r="D82" s="37"/>
      <c r="E82" s="37"/>
      <c r="F82" s="37"/>
      <c r="G82" s="37"/>
      <c r="H82" s="37"/>
      <c r="I82" s="37"/>
      <c r="J82" s="37"/>
      <c r="K82" s="37"/>
      <c r="L82" s="37"/>
      <c r="M82" s="13"/>
      <c r="N82" s="13"/>
      <c r="O82" s="13"/>
      <c r="P82" s="13"/>
      <c r="Q82" s="13"/>
      <c r="R82" s="13"/>
      <c r="S82" s="13"/>
      <c r="T82" s="13"/>
      <c r="U82" s="13"/>
      <c r="V82" s="13"/>
      <c r="W82" s="13"/>
      <c r="X82" s="13"/>
      <c r="Y82" s="13"/>
      <c r="Z82" s="13"/>
      <c r="AA82" s="13"/>
      <c r="AB82" s="13"/>
      <c r="AC82" s="13"/>
      <c r="AD82" s="13"/>
      <c r="AE82" s="13"/>
      <c r="AF82" s="13"/>
      <c r="AG82" s="13"/>
    </row>
    <row r="83" spans="1:33" s="12" customFormat="1" ht="15">
      <c r="A83" s="13"/>
      <c r="B83" s="37"/>
      <c r="C83" s="37"/>
      <c r="D83" s="37"/>
      <c r="E83" s="37"/>
      <c r="F83" s="37"/>
      <c r="G83" s="37"/>
      <c r="H83" s="37"/>
      <c r="I83" s="37"/>
      <c r="J83" s="37"/>
      <c r="K83" s="37"/>
      <c r="L83" s="37"/>
      <c r="M83" s="13"/>
      <c r="N83" s="13"/>
      <c r="O83" s="13"/>
      <c r="P83" s="13"/>
      <c r="Q83" s="13"/>
      <c r="R83" s="13"/>
      <c r="S83" s="13"/>
      <c r="T83" s="13"/>
      <c r="U83" s="13"/>
      <c r="V83" s="13"/>
      <c r="W83" s="13"/>
      <c r="X83" s="13"/>
      <c r="Y83" s="13"/>
      <c r="Z83" s="13"/>
      <c r="AA83" s="13"/>
      <c r="AB83" s="13"/>
      <c r="AC83" s="13"/>
      <c r="AD83" s="13"/>
      <c r="AE83" s="13"/>
      <c r="AF83" s="13"/>
      <c r="AG83" s="13"/>
    </row>
    <row r="84" spans="1:33" s="12" customFormat="1" ht="15">
      <c r="A84" s="13"/>
      <c r="B84" s="37"/>
      <c r="C84" s="37"/>
      <c r="D84" s="37"/>
      <c r="E84" s="37"/>
      <c r="F84" s="37"/>
      <c r="G84" s="37"/>
      <c r="H84" s="37"/>
      <c r="I84" s="37"/>
      <c r="J84" s="37"/>
      <c r="K84" s="37"/>
      <c r="L84" s="37"/>
      <c r="M84" s="13"/>
      <c r="N84" s="13"/>
      <c r="O84" s="13"/>
      <c r="P84" s="13"/>
      <c r="Q84" s="13"/>
      <c r="R84" s="13"/>
      <c r="S84" s="13"/>
      <c r="T84" s="13"/>
      <c r="U84" s="13"/>
      <c r="V84" s="13"/>
      <c r="W84" s="13"/>
      <c r="X84" s="13"/>
      <c r="Y84" s="13"/>
      <c r="Z84" s="13"/>
      <c r="AA84" s="13"/>
      <c r="AB84" s="13"/>
      <c r="AC84" s="13"/>
      <c r="AD84" s="13"/>
      <c r="AE84" s="13"/>
      <c r="AF84" s="13"/>
      <c r="AG84" s="13"/>
    </row>
    <row r="85" spans="1:33" s="12" customFormat="1" ht="15">
      <c r="A85" s="13"/>
      <c r="B85" s="37"/>
      <c r="C85" s="37"/>
      <c r="D85" s="37"/>
      <c r="E85" s="37"/>
      <c r="F85" s="37"/>
      <c r="G85" s="37"/>
      <c r="H85" s="37"/>
      <c r="I85" s="37"/>
      <c r="J85" s="37"/>
      <c r="K85" s="37"/>
      <c r="L85" s="37"/>
      <c r="M85" s="13"/>
      <c r="N85" s="13"/>
      <c r="O85" s="13"/>
      <c r="P85" s="13"/>
      <c r="Q85" s="13"/>
      <c r="R85" s="13"/>
      <c r="S85" s="13"/>
      <c r="T85" s="13"/>
      <c r="U85" s="13"/>
      <c r="V85" s="13"/>
      <c r="W85" s="13"/>
      <c r="X85" s="13"/>
      <c r="Y85" s="13"/>
      <c r="Z85" s="13"/>
      <c r="AA85" s="13"/>
      <c r="AB85" s="13"/>
      <c r="AC85" s="13"/>
      <c r="AD85" s="13"/>
      <c r="AE85" s="13"/>
      <c r="AF85" s="13"/>
      <c r="AG85" s="13"/>
    </row>
    <row r="86" spans="1:33" s="12" customFormat="1" ht="15">
      <c r="A86" s="13"/>
      <c r="B86" s="37"/>
      <c r="C86" s="37"/>
      <c r="D86" s="37"/>
      <c r="E86" s="37"/>
      <c r="F86" s="37"/>
      <c r="G86" s="37"/>
      <c r="H86" s="37"/>
      <c r="I86" s="37"/>
      <c r="J86" s="37"/>
      <c r="K86" s="37"/>
      <c r="L86" s="37"/>
      <c r="M86" s="13"/>
      <c r="N86" s="13"/>
      <c r="O86" s="13"/>
      <c r="P86" s="13"/>
      <c r="Q86" s="13"/>
      <c r="R86" s="13"/>
      <c r="S86" s="13"/>
      <c r="T86" s="13"/>
      <c r="U86" s="13"/>
      <c r="V86" s="13"/>
      <c r="W86" s="13"/>
      <c r="X86" s="13"/>
      <c r="Y86" s="13"/>
      <c r="Z86" s="13"/>
      <c r="AA86" s="13"/>
      <c r="AB86" s="13"/>
      <c r="AC86" s="13"/>
      <c r="AD86" s="13"/>
      <c r="AE86" s="13"/>
      <c r="AF86" s="13"/>
      <c r="AG86" s="13"/>
    </row>
    <row r="87" spans="1:33" s="12" customFormat="1" ht="15">
      <c r="A87" s="13"/>
      <c r="B87" s="37"/>
      <c r="C87" s="37"/>
      <c r="D87" s="37"/>
      <c r="E87" s="37"/>
      <c r="F87" s="37"/>
      <c r="G87" s="37"/>
      <c r="H87" s="37"/>
      <c r="I87" s="37"/>
      <c r="J87" s="37"/>
      <c r="K87" s="37"/>
      <c r="L87" s="37"/>
      <c r="M87" s="13"/>
      <c r="N87" s="13"/>
      <c r="O87" s="13"/>
      <c r="P87" s="13"/>
      <c r="Q87" s="13"/>
      <c r="R87" s="13"/>
      <c r="S87" s="13"/>
      <c r="T87" s="13"/>
      <c r="U87" s="13"/>
      <c r="V87" s="13"/>
      <c r="W87" s="13"/>
      <c r="X87" s="13"/>
      <c r="Y87" s="13"/>
      <c r="Z87" s="13"/>
      <c r="AA87" s="13"/>
      <c r="AB87" s="13"/>
      <c r="AC87" s="13"/>
      <c r="AD87" s="13"/>
      <c r="AE87" s="13"/>
      <c r="AF87" s="13"/>
      <c r="AG87" s="13"/>
    </row>
    <row r="88" spans="1:33" s="12" customFormat="1" ht="15">
      <c r="A88" s="13"/>
      <c r="B88" s="37"/>
      <c r="C88" s="37"/>
      <c r="D88" s="37"/>
      <c r="E88" s="37"/>
      <c r="F88" s="37"/>
      <c r="G88" s="37"/>
      <c r="H88" s="37"/>
      <c r="I88" s="37"/>
      <c r="J88" s="37"/>
      <c r="K88" s="37"/>
      <c r="L88" s="37"/>
      <c r="M88" s="13"/>
      <c r="N88" s="13"/>
      <c r="O88" s="13"/>
      <c r="P88" s="13"/>
      <c r="Q88" s="13"/>
      <c r="R88" s="13"/>
      <c r="S88" s="13"/>
      <c r="T88" s="13"/>
      <c r="U88" s="13"/>
      <c r="V88" s="13"/>
      <c r="W88" s="13"/>
      <c r="X88" s="13"/>
      <c r="Y88" s="13"/>
      <c r="Z88" s="13"/>
      <c r="AA88" s="13"/>
      <c r="AB88" s="13"/>
      <c r="AC88" s="13"/>
      <c r="AD88" s="13"/>
      <c r="AE88" s="13"/>
      <c r="AF88" s="13"/>
      <c r="AG88" s="13"/>
    </row>
    <row r="89" spans="1:33" s="12" customFormat="1" ht="15">
      <c r="A89" s="13"/>
      <c r="B89" s="37"/>
      <c r="C89" s="37"/>
      <c r="D89" s="37"/>
      <c r="E89" s="37"/>
      <c r="F89" s="37"/>
      <c r="G89" s="37"/>
      <c r="H89" s="37"/>
      <c r="I89" s="37"/>
      <c r="J89" s="37"/>
      <c r="K89" s="37"/>
      <c r="L89" s="37"/>
      <c r="M89" s="13"/>
      <c r="N89" s="13"/>
      <c r="O89" s="13"/>
      <c r="P89" s="13"/>
      <c r="Q89" s="13"/>
      <c r="R89" s="13"/>
      <c r="S89" s="13"/>
      <c r="T89" s="13"/>
      <c r="U89" s="13"/>
      <c r="V89" s="13"/>
      <c r="W89" s="13"/>
      <c r="X89" s="13"/>
      <c r="Y89" s="13"/>
      <c r="Z89" s="13"/>
      <c r="AA89" s="13"/>
      <c r="AB89" s="13"/>
      <c r="AC89" s="13"/>
      <c r="AD89" s="13"/>
      <c r="AE89" s="13"/>
      <c r="AF89" s="13"/>
      <c r="AG89" s="13"/>
    </row>
    <row r="90" spans="1:33" s="12" customFormat="1" ht="15">
      <c r="A90" s="13"/>
      <c r="B90" s="37"/>
      <c r="C90" s="37"/>
      <c r="D90" s="37"/>
      <c r="E90" s="37"/>
      <c r="F90" s="37"/>
      <c r="G90" s="37"/>
      <c r="H90" s="37"/>
      <c r="I90" s="37"/>
      <c r="J90" s="37"/>
      <c r="K90" s="37"/>
      <c r="L90" s="37"/>
      <c r="M90" s="13"/>
      <c r="N90" s="13"/>
      <c r="O90" s="13"/>
      <c r="P90" s="13"/>
      <c r="Q90" s="13"/>
      <c r="R90" s="13"/>
      <c r="S90" s="13"/>
      <c r="T90" s="13"/>
      <c r="U90" s="13"/>
      <c r="V90" s="13"/>
      <c r="W90" s="13"/>
      <c r="X90" s="13"/>
      <c r="Y90" s="13"/>
      <c r="Z90" s="13"/>
      <c r="AA90" s="13"/>
      <c r="AB90" s="13"/>
      <c r="AC90" s="13"/>
      <c r="AD90" s="13"/>
      <c r="AE90" s="13"/>
      <c r="AF90" s="13"/>
      <c r="AG90" s="13"/>
    </row>
    <row r="91" spans="1:33" s="12" customFormat="1" ht="15">
      <c r="A91" s="13"/>
      <c r="B91" s="37"/>
      <c r="C91" s="37"/>
      <c r="D91" s="37"/>
      <c r="E91" s="37"/>
      <c r="F91" s="37"/>
      <c r="G91" s="37"/>
      <c r="H91" s="37"/>
      <c r="I91" s="37"/>
      <c r="J91" s="37"/>
      <c r="K91" s="37"/>
      <c r="L91" s="37"/>
      <c r="M91" s="13"/>
      <c r="N91" s="13"/>
      <c r="O91" s="13"/>
      <c r="P91" s="13"/>
      <c r="Q91" s="13"/>
      <c r="R91" s="13"/>
      <c r="S91" s="13"/>
      <c r="T91" s="13"/>
      <c r="U91" s="13"/>
      <c r="V91" s="13"/>
      <c r="W91" s="13"/>
      <c r="X91" s="13"/>
      <c r="Y91" s="13"/>
      <c r="Z91" s="13"/>
      <c r="AA91" s="13"/>
      <c r="AB91" s="13"/>
      <c r="AC91" s="13"/>
      <c r="AD91" s="13"/>
      <c r="AE91" s="13"/>
      <c r="AF91" s="13"/>
      <c r="AG91" s="13"/>
    </row>
    <row r="92" spans="1:33" s="12" customFormat="1" ht="15">
      <c r="A92" s="13"/>
      <c r="B92" s="37"/>
      <c r="C92" s="37"/>
      <c r="D92" s="37"/>
      <c r="E92" s="37"/>
      <c r="F92" s="37"/>
      <c r="G92" s="37"/>
      <c r="H92" s="37"/>
      <c r="I92" s="37"/>
      <c r="J92" s="37"/>
      <c r="K92" s="37"/>
      <c r="L92" s="37"/>
      <c r="M92" s="13"/>
      <c r="N92" s="13"/>
      <c r="O92" s="13"/>
      <c r="P92" s="13"/>
      <c r="Q92" s="13"/>
      <c r="R92" s="13"/>
      <c r="S92" s="13"/>
      <c r="T92" s="13"/>
      <c r="U92" s="13"/>
      <c r="V92" s="13"/>
      <c r="W92" s="13"/>
      <c r="X92" s="13"/>
      <c r="Y92" s="13"/>
      <c r="Z92" s="13"/>
      <c r="AA92" s="13"/>
      <c r="AB92" s="13"/>
      <c r="AC92" s="13"/>
      <c r="AD92" s="13"/>
      <c r="AE92" s="13"/>
      <c r="AF92" s="13"/>
      <c r="AG92" s="13"/>
    </row>
    <row r="93" spans="1:33" s="12" customFormat="1" ht="15">
      <c r="A93" s="13"/>
      <c r="B93" s="37"/>
      <c r="C93" s="37"/>
      <c r="D93" s="37"/>
      <c r="E93" s="37"/>
      <c r="F93" s="37"/>
      <c r="G93" s="37"/>
      <c r="H93" s="37"/>
      <c r="I93" s="37"/>
      <c r="J93" s="37"/>
      <c r="K93" s="37"/>
      <c r="L93" s="37"/>
      <c r="M93" s="13"/>
      <c r="N93" s="13"/>
      <c r="O93" s="13"/>
      <c r="P93" s="13"/>
      <c r="Q93" s="13"/>
      <c r="R93" s="13"/>
      <c r="S93" s="13"/>
      <c r="T93" s="13"/>
      <c r="U93" s="13"/>
      <c r="V93" s="13"/>
      <c r="W93" s="13"/>
      <c r="X93" s="13"/>
      <c r="Y93" s="13"/>
      <c r="Z93" s="13"/>
      <c r="AA93" s="13"/>
      <c r="AB93" s="13"/>
      <c r="AC93" s="13"/>
      <c r="AD93" s="13"/>
      <c r="AE93" s="13"/>
      <c r="AF93" s="13"/>
      <c r="AG93" s="13"/>
    </row>
    <row r="94" spans="1:33" s="12" customFormat="1" ht="15">
      <c r="A94" s="13"/>
      <c r="B94" s="37"/>
      <c r="C94" s="37"/>
      <c r="D94" s="37"/>
      <c r="E94" s="37"/>
      <c r="F94" s="37"/>
      <c r="G94" s="37"/>
      <c r="H94" s="37"/>
      <c r="I94" s="37"/>
      <c r="J94" s="37"/>
      <c r="K94" s="37"/>
      <c r="L94" s="37"/>
      <c r="M94" s="13"/>
      <c r="N94" s="13"/>
      <c r="O94" s="13"/>
      <c r="P94" s="13"/>
      <c r="Q94" s="13"/>
      <c r="R94" s="13"/>
      <c r="S94" s="13"/>
      <c r="T94" s="13"/>
      <c r="U94" s="13"/>
      <c r="V94" s="13"/>
      <c r="W94" s="13"/>
      <c r="X94" s="13"/>
      <c r="Y94" s="13"/>
      <c r="Z94" s="13"/>
      <c r="AA94" s="13"/>
      <c r="AB94" s="13"/>
      <c r="AC94" s="13"/>
      <c r="AD94" s="13"/>
      <c r="AE94" s="13"/>
      <c r="AF94" s="13"/>
      <c r="AG94" s="13"/>
    </row>
    <row r="95" spans="1:33" s="12" customFormat="1" ht="15">
      <c r="A95" s="13"/>
      <c r="B95" s="37"/>
      <c r="C95" s="37"/>
      <c r="D95" s="37"/>
      <c r="E95" s="37"/>
      <c r="F95" s="37"/>
      <c r="G95" s="37"/>
      <c r="H95" s="37"/>
      <c r="I95" s="37"/>
      <c r="J95" s="37"/>
      <c r="K95" s="37"/>
      <c r="L95" s="37"/>
      <c r="M95" s="13"/>
      <c r="N95" s="13"/>
      <c r="O95" s="13"/>
      <c r="P95" s="13"/>
      <c r="Q95" s="13"/>
      <c r="R95" s="13"/>
      <c r="S95" s="13"/>
      <c r="T95" s="13"/>
      <c r="U95" s="13"/>
      <c r="V95" s="13"/>
      <c r="W95" s="13"/>
      <c r="X95" s="13"/>
      <c r="Y95" s="13"/>
      <c r="Z95" s="13"/>
      <c r="AA95" s="13"/>
      <c r="AB95" s="13"/>
      <c r="AC95" s="13"/>
      <c r="AD95" s="13"/>
      <c r="AE95" s="13"/>
      <c r="AF95" s="13"/>
      <c r="AG95" s="13"/>
    </row>
    <row r="96" spans="1:33" s="12" customFormat="1" ht="15">
      <c r="A96" s="13"/>
      <c r="B96" s="37"/>
      <c r="C96" s="37"/>
      <c r="D96" s="37"/>
      <c r="E96" s="37"/>
      <c r="F96" s="37"/>
      <c r="G96" s="37"/>
      <c r="H96" s="37"/>
      <c r="I96" s="37"/>
      <c r="J96" s="37"/>
      <c r="K96" s="37"/>
      <c r="L96" s="37"/>
      <c r="M96" s="13"/>
      <c r="N96" s="13"/>
      <c r="O96" s="13"/>
      <c r="P96" s="13"/>
      <c r="Q96" s="13"/>
      <c r="R96" s="13"/>
      <c r="S96" s="13"/>
      <c r="T96" s="13"/>
      <c r="U96" s="13"/>
      <c r="V96" s="13"/>
      <c r="W96" s="13"/>
      <c r="X96" s="13"/>
      <c r="Y96" s="13"/>
      <c r="Z96" s="13"/>
      <c r="AA96" s="13"/>
      <c r="AB96" s="13"/>
      <c r="AC96" s="13"/>
      <c r="AD96" s="13"/>
      <c r="AE96" s="13"/>
      <c r="AF96" s="13"/>
      <c r="AG96" s="13"/>
    </row>
    <row r="97" spans="1:33" s="12" customFormat="1" ht="15">
      <c r="A97" s="13"/>
      <c r="B97" s="37"/>
      <c r="C97" s="37"/>
      <c r="D97" s="37"/>
      <c r="E97" s="37"/>
      <c r="F97" s="37"/>
      <c r="G97" s="37"/>
      <c r="H97" s="37"/>
      <c r="I97" s="37"/>
      <c r="J97" s="37"/>
      <c r="K97" s="37"/>
      <c r="L97" s="37"/>
      <c r="M97" s="13"/>
      <c r="N97" s="13"/>
      <c r="O97" s="13"/>
      <c r="P97" s="13"/>
      <c r="Q97" s="13"/>
      <c r="R97" s="13"/>
      <c r="S97" s="13"/>
      <c r="T97" s="13"/>
      <c r="U97" s="13"/>
      <c r="V97" s="13"/>
      <c r="W97" s="13"/>
      <c r="X97" s="13"/>
      <c r="Y97" s="13"/>
      <c r="Z97" s="13"/>
      <c r="AA97" s="13"/>
      <c r="AB97" s="13"/>
      <c r="AC97" s="13"/>
      <c r="AD97" s="13"/>
      <c r="AE97" s="13"/>
      <c r="AF97" s="13"/>
      <c r="AG97" s="13"/>
    </row>
    <row r="98" spans="1:33" s="12" customFormat="1" ht="15">
      <c r="A98" s="13"/>
      <c r="B98" s="37"/>
      <c r="C98" s="37"/>
      <c r="D98" s="37"/>
      <c r="E98" s="37"/>
      <c r="F98" s="37"/>
      <c r="G98" s="37"/>
      <c r="H98" s="37"/>
      <c r="I98" s="37"/>
      <c r="J98" s="37"/>
      <c r="K98" s="37"/>
      <c r="L98" s="37"/>
      <c r="M98" s="13"/>
      <c r="N98" s="13"/>
      <c r="O98" s="13"/>
      <c r="P98" s="13"/>
      <c r="Q98" s="13"/>
      <c r="R98" s="13"/>
      <c r="S98" s="13"/>
      <c r="T98" s="13"/>
      <c r="U98" s="13"/>
      <c r="V98" s="13"/>
      <c r="W98" s="13"/>
      <c r="X98" s="13"/>
      <c r="Y98" s="13"/>
      <c r="Z98" s="13"/>
      <c r="AA98" s="13"/>
      <c r="AB98" s="13"/>
      <c r="AC98" s="13"/>
      <c r="AD98" s="13"/>
      <c r="AE98" s="13"/>
      <c r="AF98" s="13"/>
      <c r="AG98" s="13"/>
    </row>
    <row r="99" spans="1:33" s="12" customFormat="1" ht="15">
      <c r="A99" s="13"/>
      <c r="B99" s="37"/>
      <c r="C99" s="37"/>
      <c r="D99" s="37"/>
      <c r="E99" s="37"/>
      <c r="F99" s="37"/>
      <c r="G99" s="37"/>
      <c r="H99" s="37"/>
      <c r="I99" s="37"/>
      <c r="J99" s="37"/>
      <c r="K99" s="37"/>
      <c r="L99" s="37"/>
      <c r="M99" s="13"/>
      <c r="N99" s="13"/>
      <c r="O99" s="13"/>
      <c r="P99" s="13"/>
      <c r="Q99" s="13"/>
      <c r="R99" s="13"/>
      <c r="S99" s="13"/>
      <c r="T99" s="13"/>
      <c r="U99" s="13"/>
      <c r="V99" s="13"/>
      <c r="W99" s="13"/>
      <c r="X99" s="13"/>
      <c r="Y99" s="13"/>
      <c r="Z99" s="13"/>
      <c r="AA99" s="13"/>
      <c r="AB99" s="13"/>
      <c r="AC99" s="13"/>
      <c r="AD99" s="13"/>
      <c r="AE99" s="13"/>
      <c r="AF99" s="13"/>
      <c r="AG99" s="13"/>
    </row>
    <row r="100" spans="1:33" s="12" customFormat="1" ht="15">
      <c r="A100" s="13"/>
      <c r="B100" s="37"/>
      <c r="C100" s="37"/>
      <c r="D100" s="37"/>
      <c r="E100" s="37"/>
      <c r="F100" s="37"/>
      <c r="G100" s="37"/>
      <c r="H100" s="37"/>
      <c r="I100" s="37"/>
      <c r="J100" s="37"/>
      <c r="K100" s="37"/>
      <c r="L100" s="37"/>
      <c r="M100" s="13"/>
      <c r="N100" s="13"/>
      <c r="O100" s="13"/>
      <c r="P100" s="13"/>
      <c r="Q100" s="13"/>
      <c r="R100" s="13"/>
      <c r="S100" s="13"/>
      <c r="T100" s="13"/>
      <c r="U100" s="13"/>
      <c r="V100" s="13"/>
      <c r="W100" s="13"/>
      <c r="X100" s="13"/>
      <c r="Y100" s="13"/>
      <c r="Z100" s="13"/>
      <c r="AA100" s="13"/>
      <c r="AB100" s="13"/>
      <c r="AC100" s="13"/>
      <c r="AD100" s="13"/>
      <c r="AE100" s="13"/>
      <c r="AF100" s="13"/>
      <c r="AG100" s="13"/>
    </row>
    <row r="101" spans="1:33" s="12" customFormat="1" ht="15">
      <c r="A101" s="13"/>
      <c r="B101" s="37"/>
      <c r="C101" s="37"/>
      <c r="D101" s="37"/>
      <c r="E101" s="37"/>
      <c r="F101" s="37"/>
      <c r="G101" s="37"/>
      <c r="H101" s="37"/>
      <c r="I101" s="37"/>
      <c r="J101" s="37"/>
      <c r="K101" s="37"/>
      <c r="L101" s="37"/>
      <c r="M101" s="13"/>
      <c r="N101" s="13"/>
      <c r="O101" s="13"/>
      <c r="P101" s="13"/>
      <c r="Q101" s="13"/>
      <c r="R101" s="13"/>
      <c r="S101" s="13"/>
      <c r="T101" s="13"/>
      <c r="U101" s="13"/>
      <c r="V101" s="13"/>
      <c r="W101" s="13"/>
      <c r="X101" s="13"/>
      <c r="Y101" s="13"/>
      <c r="Z101" s="13"/>
      <c r="AA101" s="13"/>
      <c r="AB101" s="13"/>
      <c r="AC101" s="13"/>
      <c r="AD101" s="13"/>
      <c r="AE101" s="13"/>
      <c r="AF101" s="13"/>
      <c r="AG101" s="13"/>
    </row>
    <row r="102" spans="1:33" s="12" customFormat="1" ht="15">
      <c r="A102" s="13"/>
      <c r="B102" s="37"/>
      <c r="C102" s="37"/>
      <c r="D102" s="37"/>
      <c r="E102" s="37"/>
      <c r="F102" s="37"/>
      <c r="G102" s="37"/>
      <c r="H102" s="37"/>
      <c r="I102" s="37"/>
      <c r="J102" s="37"/>
      <c r="K102" s="37"/>
      <c r="L102" s="37"/>
      <c r="M102" s="13"/>
      <c r="N102" s="13"/>
      <c r="O102" s="13"/>
      <c r="P102" s="13"/>
      <c r="Q102" s="13"/>
      <c r="R102" s="13"/>
      <c r="S102" s="13"/>
      <c r="T102" s="13"/>
      <c r="U102" s="13"/>
      <c r="V102" s="13"/>
      <c r="W102" s="13"/>
      <c r="X102" s="13"/>
      <c r="Y102" s="13"/>
      <c r="Z102" s="13"/>
      <c r="AA102" s="13"/>
      <c r="AB102" s="13"/>
      <c r="AC102" s="13"/>
      <c r="AD102" s="13"/>
      <c r="AE102" s="13"/>
      <c r="AF102" s="13"/>
      <c r="AG102" s="13"/>
    </row>
    <row r="103" spans="1:33" s="12" customFormat="1" ht="15">
      <c r="A103" s="13"/>
      <c r="B103" s="37"/>
      <c r="C103" s="37"/>
      <c r="D103" s="37"/>
      <c r="E103" s="37"/>
      <c r="F103" s="37"/>
      <c r="G103" s="37"/>
      <c r="H103" s="37"/>
      <c r="I103" s="37"/>
      <c r="J103" s="37"/>
      <c r="K103" s="37"/>
      <c r="L103" s="37"/>
      <c r="M103" s="13"/>
      <c r="N103" s="13"/>
      <c r="O103" s="13"/>
      <c r="P103" s="13"/>
      <c r="Q103" s="13"/>
      <c r="R103" s="13"/>
      <c r="S103" s="13"/>
      <c r="T103" s="13"/>
      <c r="U103" s="13"/>
      <c r="V103" s="13"/>
      <c r="W103" s="13"/>
      <c r="X103" s="13"/>
      <c r="Y103" s="13"/>
      <c r="Z103" s="13"/>
      <c r="AA103" s="13"/>
      <c r="AB103" s="13"/>
      <c r="AC103" s="13"/>
      <c r="AD103" s="13"/>
      <c r="AE103" s="13"/>
      <c r="AF103" s="13"/>
      <c r="AG103" s="13"/>
    </row>
    <row r="104" spans="1:33" s="12" customFormat="1" ht="15">
      <c r="A104" s="13"/>
      <c r="B104" s="37"/>
      <c r="C104" s="37"/>
      <c r="D104" s="37"/>
      <c r="E104" s="37"/>
      <c r="F104" s="37"/>
      <c r="G104" s="37"/>
      <c r="H104" s="37"/>
      <c r="I104" s="37"/>
      <c r="J104" s="37"/>
      <c r="K104" s="37"/>
      <c r="L104" s="37"/>
      <c r="M104" s="13"/>
      <c r="N104" s="13"/>
      <c r="O104" s="13"/>
      <c r="P104" s="13"/>
      <c r="Q104" s="13"/>
      <c r="R104" s="13"/>
      <c r="S104" s="13"/>
      <c r="T104" s="13"/>
      <c r="U104" s="13"/>
      <c r="V104" s="13"/>
      <c r="W104" s="13"/>
      <c r="X104" s="13"/>
      <c r="Y104" s="13"/>
      <c r="Z104" s="13"/>
      <c r="AA104" s="13"/>
      <c r="AB104" s="13"/>
      <c r="AC104" s="13"/>
      <c r="AD104" s="13"/>
      <c r="AE104" s="13"/>
      <c r="AF104" s="13"/>
      <c r="AG104" s="13"/>
    </row>
    <row r="105" spans="1:33" s="12" customFormat="1" ht="15">
      <c r="A105" s="13"/>
      <c r="B105" s="37"/>
      <c r="C105" s="37"/>
      <c r="D105" s="37"/>
      <c r="E105" s="37"/>
      <c r="F105" s="37"/>
      <c r="G105" s="37"/>
      <c r="H105" s="37"/>
      <c r="I105" s="37"/>
      <c r="J105" s="37"/>
      <c r="K105" s="37"/>
      <c r="L105" s="37"/>
      <c r="M105" s="13"/>
      <c r="N105" s="13"/>
      <c r="O105" s="13"/>
      <c r="P105" s="13"/>
      <c r="Q105" s="13"/>
      <c r="R105" s="13"/>
      <c r="S105" s="13"/>
      <c r="T105" s="13"/>
      <c r="U105" s="13"/>
      <c r="V105" s="13"/>
      <c r="W105" s="13"/>
      <c r="X105" s="13"/>
      <c r="Y105" s="13"/>
      <c r="Z105" s="13"/>
      <c r="AA105" s="13"/>
      <c r="AB105" s="13"/>
      <c r="AC105" s="13"/>
      <c r="AD105" s="13"/>
      <c r="AE105" s="13"/>
      <c r="AF105" s="13"/>
      <c r="AG105" s="13"/>
    </row>
    <row r="106" spans="1:33" s="12" customFormat="1" ht="15">
      <c r="A106" s="13"/>
      <c r="B106" s="37"/>
      <c r="C106" s="37"/>
      <c r="D106" s="37"/>
      <c r="E106" s="37"/>
      <c r="F106" s="37"/>
      <c r="G106" s="37"/>
      <c r="H106" s="37"/>
      <c r="I106" s="37"/>
      <c r="J106" s="37"/>
      <c r="K106" s="37"/>
      <c r="L106" s="37"/>
      <c r="M106" s="13"/>
      <c r="N106" s="13"/>
      <c r="O106" s="13"/>
      <c r="P106" s="13"/>
      <c r="Q106" s="13"/>
      <c r="R106" s="13"/>
      <c r="S106" s="13"/>
      <c r="T106" s="13"/>
      <c r="U106" s="13"/>
      <c r="V106" s="13"/>
      <c r="W106" s="13"/>
      <c r="X106" s="13"/>
      <c r="Y106" s="13"/>
      <c r="Z106" s="13"/>
      <c r="AA106" s="13"/>
      <c r="AB106" s="13"/>
      <c r="AC106" s="13"/>
      <c r="AD106" s="13"/>
      <c r="AE106" s="13"/>
      <c r="AF106" s="13"/>
      <c r="AG106" s="13"/>
    </row>
    <row r="107" spans="1:33" s="12" customFormat="1" ht="15">
      <c r="A107" s="13"/>
      <c r="B107" s="37"/>
      <c r="C107" s="37"/>
      <c r="D107" s="37"/>
      <c r="E107" s="37"/>
      <c r="F107" s="37"/>
      <c r="G107" s="37"/>
      <c r="H107" s="37"/>
      <c r="I107" s="37"/>
      <c r="J107" s="37"/>
      <c r="K107" s="37"/>
      <c r="L107" s="37"/>
      <c r="M107" s="13"/>
      <c r="N107" s="13"/>
      <c r="O107" s="13"/>
      <c r="P107" s="13"/>
      <c r="Q107" s="13"/>
      <c r="R107" s="13"/>
      <c r="S107" s="13"/>
      <c r="T107" s="13"/>
      <c r="U107" s="13"/>
      <c r="V107" s="13"/>
      <c r="W107" s="13"/>
      <c r="X107" s="13"/>
      <c r="Y107" s="13"/>
      <c r="Z107" s="13"/>
      <c r="AA107" s="13"/>
      <c r="AB107" s="13"/>
      <c r="AC107" s="13"/>
      <c r="AD107" s="13"/>
      <c r="AE107" s="13"/>
      <c r="AF107" s="13"/>
      <c r="AG107" s="13"/>
    </row>
    <row r="108" spans="1:33" s="12" customFormat="1" ht="15">
      <c r="A108" s="13"/>
      <c r="B108" s="37"/>
      <c r="C108" s="37"/>
      <c r="D108" s="37"/>
      <c r="E108" s="37"/>
      <c r="F108" s="37"/>
      <c r="G108" s="37"/>
      <c r="H108" s="37"/>
      <c r="I108" s="37"/>
      <c r="J108" s="37"/>
      <c r="K108" s="37"/>
      <c r="L108" s="37"/>
      <c r="M108" s="13"/>
      <c r="N108" s="13"/>
      <c r="O108" s="13"/>
      <c r="P108" s="13"/>
      <c r="Q108" s="13"/>
      <c r="R108" s="13"/>
      <c r="S108" s="13"/>
      <c r="T108" s="13"/>
      <c r="U108" s="13"/>
      <c r="V108" s="13"/>
      <c r="W108" s="13"/>
      <c r="X108" s="13"/>
      <c r="Y108" s="13"/>
      <c r="Z108" s="13"/>
      <c r="AA108" s="13"/>
      <c r="AB108" s="13"/>
      <c r="AC108" s="13"/>
      <c r="AD108" s="13"/>
      <c r="AE108" s="13"/>
      <c r="AF108" s="13"/>
      <c r="AG108" s="13"/>
    </row>
    <row r="109" spans="1:33" s="12" customFormat="1" ht="15">
      <c r="A109" s="13"/>
      <c r="B109" s="37"/>
      <c r="C109" s="37"/>
      <c r="D109" s="37"/>
      <c r="E109" s="37"/>
      <c r="F109" s="37"/>
      <c r="G109" s="37"/>
      <c r="H109" s="37"/>
      <c r="I109" s="37"/>
      <c r="J109" s="37"/>
      <c r="K109" s="37"/>
      <c r="L109" s="37"/>
      <c r="M109" s="13"/>
      <c r="N109" s="13"/>
      <c r="O109" s="13"/>
      <c r="P109" s="13"/>
      <c r="Q109" s="13"/>
      <c r="R109" s="13"/>
      <c r="S109" s="13"/>
      <c r="T109" s="13"/>
      <c r="U109" s="13"/>
      <c r="V109" s="13"/>
      <c r="W109" s="13"/>
      <c r="X109" s="13"/>
      <c r="Y109" s="13"/>
      <c r="Z109" s="13"/>
      <c r="AA109" s="13"/>
      <c r="AB109" s="13"/>
      <c r="AC109" s="13"/>
      <c r="AD109" s="13"/>
      <c r="AE109" s="13"/>
      <c r="AF109" s="13"/>
      <c r="AG109" s="13"/>
    </row>
    <row r="110" spans="1:33" s="12" customFormat="1" ht="15">
      <c r="A110" s="13"/>
      <c r="B110" s="37"/>
      <c r="C110" s="37"/>
      <c r="D110" s="37"/>
      <c r="E110" s="37"/>
      <c r="F110" s="37"/>
      <c r="G110" s="37"/>
      <c r="H110" s="37"/>
      <c r="I110" s="37"/>
      <c r="J110" s="37"/>
      <c r="K110" s="37"/>
      <c r="L110" s="37"/>
      <c r="M110" s="13"/>
      <c r="N110" s="13"/>
      <c r="O110" s="13"/>
      <c r="P110" s="13"/>
      <c r="Q110" s="13"/>
      <c r="R110" s="13"/>
      <c r="S110" s="13"/>
      <c r="T110" s="13"/>
      <c r="U110" s="13"/>
      <c r="V110" s="13"/>
      <c r="W110" s="13"/>
      <c r="X110" s="13"/>
      <c r="Y110" s="13"/>
      <c r="Z110" s="13"/>
      <c r="AA110" s="13"/>
      <c r="AB110" s="13"/>
      <c r="AC110" s="13"/>
      <c r="AD110" s="13"/>
      <c r="AE110" s="13"/>
      <c r="AF110" s="13"/>
      <c r="AG110" s="13"/>
    </row>
    <row r="111" spans="1:33" s="12" customFormat="1" ht="15">
      <c r="A111" s="13"/>
      <c r="B111" s="37"/>
      <c r="C111" s="37"/>
      <c r="D111" s="37"/>
      <c r="E111" s="37"/>
      <c r="F111" s="37"/>
      <c r="G111" s="37"/>
      <c r="H111" s="37"/>
      <c r="I111" s="37"/>
      <c r="J111" s="37"/>
      <c r="K111" s="37"/>
      <c r="L111" s="37"/>
      <c r="M111" s="13"/>
      <c r="N111" s="13"/>
      <c r="O111" s="13"/>
      <c r="P111" s="13"/>
      <c r="Q111" s="13"/>
      <c r="R111" s="13"/>
      <c r="S111" s="13"/>
      <c r="T111" s="13"/>
      <c r="U111" s="13"/>
      <c r="V111" s="13"/>
      <c r="W111" s="13"/>
      <c r="X111" s="13"/>
      <c r="Y111" s="13"/>
      <c r="Z111" s="13"/>
      <c r="AA111" s="13"/>
      <c r="AB111" s="13"/>
      <c r="AC111" s="13"/>
      <c r="AD111" s="13"/>
      <c r="AE111" s="13"/>
      <c r="AF111" s="13"/>
      <c r="AG111" s="13"/>
    </row>
    <row r="112" spans="1:33" s="12" customFormat="1" ht="15">
      <c r="A112" s="13"/>
      <c r="B112" s="37"/>
      <c r="C112" s="37"/>
      <c r="D112" s="37"/>
      <c r="E112" s="37"/>
      <c r="F112" s="37"/>
      <c r="G112" s="37"/>
      <c r="H112" s="37"/>
      <c r="I112" s="37"/>
      <c r="J112" s="37"/>
      <c r="K112" s="37"/>
      <c r="L112" s="37"/>
      <c r="M112" s="13"/>
      <c r="N112" s="13"/>
      <c r="O112" s="13"/>
      <c r="P112" s="13"/>
      <c r="Q112" s="13"/>
      <c r="R112" s="13"/>
      <c r="S112" s="13"/>
      <c r="T112" s="13"/>
      <c r="U112" s="13"/>
      <c r="V112" s="13"/>
      <c r="W112" s="13"/>
      <c r="X112" s="13"/>
      <c r="Y112" s="13"/>
      <c r="Z112" s="13"/>
      <c r="AA112" s="13"/>
      <c r="AB112" s="13"/>
      <c r="AC112" s="13"/>
      <c r="AD112" s="13"/>
      <c r="AE112" s="13"/>
      <c r="AF112" s="13"/>
      <c r="AG112" s="13"/>
    </row>
    <row r="113" spans="1:33" s="12" customFormat="1" ht="15">
      <c r="A113" s="13"/>
      <c r="B113" s="37"/>
      <c r="C113" s="37"/>
      <c r="D113" s="37"/>
      <c r="E113" s="37"/>
      <c r="F113" s="37"/>
      <c r="G113" s="37"/>
      <c r="H113" s="37"/>
      <c r="I113" s="37"/>
      <c r="J113" s="37"/>
      <c r="K113" s="37"/>
      <c r="L113" s="37"/>
      <c r="M113" s="13"/>
      <c r="N113" s="13"/>
      <c r="O113" s="13"/>
      <c r="P113" s="13"/>
      <c r="Q113" s="13"/>
      <c r="R113" s="13"/>
      <c r="S113" s="13"/>
      <c r="T113" s="13"/>
      <c r="U113" s="13"/>
      <c r="V113" s="13"/>
      <c r="W113" s="13"/>
      <c r="X113" s="13"/>
      <c r="Y113" s="13"/>
      <c r="Z113" s="13"/>
      <c r="AA113" s="13"/>
      <c r="AB113" s="13"/>
      <c r="AC113" s="13"/>
      <c r="AD113" s="13"/>
      <c r="AE113" s="13"/>
      <c r="AF113" s="13"/>
      <c r="AG113" s="13"/>
    </row>
    <row r="114" spans="1:33" s="12" customFormat="1" ht="15">
      <c r="A114" s="13"/>
      <c r="B114" s="37"/>
      <c r="C114" s="37"/>
      <c r="D114" s="37"/>
      <c r="E114" s="37"/>
      <c r="F114" s="37"/>
      <c r="G114" s="37"/>
      <c r="H114" s="37"/>
      <c r="I114" s="37"/>
      <c r="J114" s="37"/>
      <c r="K114" s="37"/>
      <c r="L114" s="37"/>
      <c r="M114" s="13"/>
      <c r="N114" s="13"/>
      <c r="O114" s="13"/>
      <c r="P114" s="13"/>
      <c r="Q114" s="13"/>
      <c r="R114" s="13"/>
      <c r="S114" s="13"/>
      <c r="T114" s="13"/>
      <c r="U114" s="13"/>
      <c r="V114" s="13"/>
      <c r="W114" s="13"/>
      <c r="X114" s="13"/>
      <c r="Y114" s="13"/>
      <c r="Z114" s="13"/>
      <c r="AA114" s="13"/>
      <c r="AB114" s="13"/>
      <c r="AC114" s="13"/>
      <c r="AD114" s="13"/>
      <c r="AE114" s="13"/>
      <c r="AF114" s="13"/>
      <c r="AG114" s="13"/>
    </row>
    <row r="115" spans="1:33" s="12" customFormat="1" ht="15">
      <c r="A115" s="13"/>
      <c r="B115" s="37"/>
      <c r="C115" s="37"/>
      <c r="D115" s="37"/>
      <c r="E115" s="37"/>
      <c r="F115" s="37"/>
      <c r="G115" s="37"/>
      <c r="H115" s="37"/>
      <c r="I115" s="37"/>
      <c r="J115" s="37"/>
      <c r="K115" s="37"/>
      <c r="L115" s="37"/>
      <c r="M115" s="13"/>
      <c r="N115" s="13"/>
      <c r="O115" s="13"/>
      <c r="P115" s="13"/>
      <c r="Q115" s="13"/>
      <c r="R115" s="13"/>
      <c r="S115" s="13"/>
      <c r="T115" s="13"/>
      <c r="U115" s="13"/>
      <c r="V115" s="13"/>
      <c r="W115" s="13"/>
      <c r="X115" s="13"/>
      <c r="Y115" s="13"/>
      <c r="Z115" s="13"/>
      <c r="AA115" s="13"/>
      <c r="AB115" s="13"/>
      <c r="AC115" s="13"/>
      <c r="AD115" s="13"/>
      <c r="AE115" s="13"/>
      <c r="AF115" s="13"/>
      <c r="AG115" s="13"/>
    </row>
    <row r="116" spans="1:33" s="12" customFormat="1" ht="15">
      <c r="A116" s="13"/>
      <c r="B116" s="37"/>
      <c r="C116" s="37"/>
      <c r="D116" s="37"/>
      <c r="E116" s="37"/>
      <c r="F116" s="37"/>
      <c r="G116" s="37"/>
      <c r="H116" s="37"/>
      <c r="I116" s="37"/>
      <c r="J116" s="37"/>
      <c r="K116" s="37"/>
      <c r="L116" s="37"/>
      <c r="M116" s="13"/>
      <c r="N116" s="13"/>
      <c r="O116" s="13"/>
      <c r="P116" s="13"/>
      <c r="Q116" s="13"/>
      <c r="R116" s="13"/>
      <c r="S116" s="13"/>
      <c r="T116" s="13"/>
      <c r="U116" s="13"/>
      <c r="V116" s="13"/>
      <c r="W116" s="13"/>
      <c r="X116" s="13"/>
      <c r="Y116" s="13"/>
      <c r="Z116" s="13"/>
      <c r="AA116" s="13"/>
      <c r="AB116" s="13"/>
      <c r="AC116" s="13"/>
      <c r="AD116" s="13"/>
      <c r="AE116" s="13"/>
      <c r="AF116" s="13"/>
      <c r="AG116" s="13"/>
    </row>
    <row r="117" spans="1:33" s="12" customFormat="1" ht="15">
      <c r="A117" s="13"/>
      <c r="B117" s="37"/>
      <c r="C117" s="37"/>
      <c r="D117" s="37"/>
      <c r="E117" s="37"/>
      <c r="F117" s="37"/>
      <c r="G117" s="37"/>
      <c r="H117" s="37"/>
      <c r="I117" s="37"/>
      <c r="J117" s="37"/>
      <c r="K117" s="37"/>
      <c r="L117" s="37"/>
      <c r="M117" s="13"/>
      <c r="N117" s="13"/>
      <c r="O117" s="13"/>
      <c r="P117" s="13"/>
      <c r="Q117" s="13"/>
      <c r="R117" s="13"/>
      <c r="S117" s="13"/>
      <c r="T117" s="13"/>
      <c r="U117" s="13"/>
      <c r="V117" s="13"/>
      <c r="W117" s="13"/>
      <c r="X117" s="13"/>
      <c r="Y117" s="13"/>
      <c r="Z117" s="13"/>
      <c r="AA117" s="13"/>
      <c r="AB117" s="13"/>
      <c r="AC117" s="13"/>
      <c r="AD117" s="13"/>
      <c r="AE117" s="13"/>
      <c r="AF117" s="13"/>
      <c r="AG117" s="13"/>
    </row>
    <row r="118" spans="1:33" s="12" customFormat="1" ht="15">
      <c r="A118" s="13"/>
      <c r="B118" s="37"/>
      <c r="C118" s="37"/>
      <c r="D118" s="37"/>
      <c r="E118" s="37"/>
      <c r="F118" s="37"/>
      <c r="G118" s="37"/>
      <c r="H118" s="37"/>
      <c r="I118" s="37"/>
      <c r="J118" s="37"/>
      <c r="K118" s="37"/>
      <c r="L118" s="37"/>
      <c r="M118" s="13"/>
      <c r="N118" s="13"/>
      <c r="O118" s="13"/>
      <c r="P118" s="13"/>
      <c r="Q118" s="13"/>
      <c r="R118" s="13"/>
      <c r="S118" s="13"/>
      <c r="T118" s="13"/>
      <c r="U118" s="13"/>
      <c r="V118" s="13"/>
      <c r="W118" s="13"/>
      <c r="X118" s="13"/>
      <c r="Y118" s="13"/>
      <c r="Z118" s="13"/>
      <c r="AA118" s="13"/>
      <c r="AB118" s="13"/>
      <c r="AC118" s="13"/>
      <c r="AD118" s="13"/>
      <c r="AE118" s="13"/>
      <c r="AF118" s="13"/>
      <c r="AG118" s="13"/>
    </row>
    <row r="119" spans="1:33" s="12" customFormat="1" ht="15">
      <c r="A119" s="13"/>
      <c r="B119" s="37"/>
      <c r="C119" s="37"/>
      <c r="D119" s="37"/>
      <c r="E119" s="37"/>
      <c r="F119" s="37"/>
      <c r="G119" s="37"/>
      <c r="H119" s="37"/>
      <c r="I119" s="37"/>
      <c r="J119" s="37"/>
      <c r="K119" s="37"/>
      <c r="L119" s="37"/>
      <c r="M119" s="13"/>
      <c r="N119" s="13"/>
      <c r="O119" s="13"/>
      <c r="P119" s="13"/>
      <c r="Q119" s="13"/>
      <c r="R119" s="13"/>
      <c r="S119" s="13"/>
      <c r="T119" s="13"/>
      <c r="U119" s="13"/>
      <c r="V119" s="13"/>
      <c r="W119" s="13"/>
      <c r="X119" s="13"/>
      <c r="Y119" s="13"/>
      <c r="Z119" s="13"/>
      <c r="AA119" s="13"/>
      <c r="AB119" s="13"/>
      <c r="AC119" s="13"/>
      <c r="AD119" s="13"/>
      <c r="AE119" s="13"/>
      <c r="AF119" s="13"/>
      <c r="AG119" s="13"/>
    </row>
    <row r="120" spans="1:33" s="12" customFormat="1" ht="15">
      <c r="A120" s="13"/>
      <c r="B120" s="37"/>
      <c r="C120" s="37"/>
      <c r="D120" s="37"/>
      <c r="E120" s="37"/>
      <c r="F120" s="37"/>
      <c r="G120" s="37"/>
      <c r="H120" s="37"/>
      <c r="I120" s="37"/>
      <c r="J120" s="37"/>
      <c r="K120" s="37"/>
      <c r="L120" s="37"/>
      <c r="M120" s="13"/>
      <c r="N120" s="13"/>
      <c r="O120" s="13"/>
      <c r="P120" s="13"/>
      <c r="Q120" s="13"/>
      <c r="R120" s="13"/>
      <c r="S120" s="13"/>
      <c r="T120" s="13"/>
      <c r="U120" s="13"/>
      <c r="V120" s="13"/>
      <c r="W120" s="13"/>
      <c r="X120" s="13"/>
      <c r="Y120" s="13"/>
      <c r="Z120" s="13"/>
      <c r="AA120" s="13"/>
      <c r="AB120" s="13"/>
      <c r="AC120" s="13"/>
      <c r="AD120" s="13"/>
      <c r="AE120" s="13"/>
      <c r="AF120" s="13"/>
      <c r="AG120" s="13"/>
    </row>
    <row r="121" spans="1:33" s="12" customFormat="1" ht="15">
      <c r="A121" s="13"/>
      <c r="B121" s="37"/>
      <c r="C121" s="37"/>
      <c r="D121" s="37"/>
      <c r="E121" s="37"/>
      <c r="F121" s="37"/>
      <c r="G121" s="37"/>
      <c r="H121" s="37"/>
      <c r="I121" s="37"/>
      <c r="J121" s="37"/>
      <c r="K121" s="37"/>
      <c r="L121" s="37"/>
      <c r="M121" s="13"/>
      <c r="N121" s="13"/>
      <c r="O121" s="13"/>
      <c r="P121" s="13"/>
      <c r="Q121" s="13"/>
      <c r="R121" s="13"/>
      <c r="S121" s="13"/>
      <c r="T121" s="13"/>
      <c r="U121" s="13"/>
      <c r="V121" s="13"/>
      <c r="W121" s="13"/>
      <c r="X121" s="13"/>
      <c r="Y121" s="13"/>
      <c r="Z121" s="13"/>
      <c r="AA121" s="13"/>
      <c r="AB121" s="13"/>
      <c r="AC121" s="13"/>
      <c r="AD121" s="13"/>
      <c r="AE121" s="13"/>
      <c r="AF121" s="13"/>
      <c r="AG121" s="13"/>
    </row>
    <row r="122" spans="1:33" s="12" customFormat="1" ht="15">
      <c r="A122" s="13"/>
      <c r="B122" s="37"/>
      <c r="C122" s="37"/>
      <c r="D122" s="37"/>
      <c r="E122" s="37"/>
      <c r="F122" s="37"/>
      <c r="G122" s="37"/>
      <c r="H122" s="37"/>
      <c r="I122" s="37"/>
      <c r="J122" s="37"/>
      <c r="K122" s="37"/>
      <c r="L122" s="37"/>
      <c r="M122" s="13"/>
      <c r="N122" s="13"/>
      <c r="O122" s="13"/>
      <c r="P122" s="13"/>
      <c r="Q122" s="13"/>
      <c r="R122" s="13"/>
      <c r="S122" s="13"/>
      <c r="T122" s="13"/>
      <c r="U122" s="13"/>
      <c r="V122" s="13"/>
      <c r="W122" s="13"/>
      <c r="X122" s="13"/>
      <c r="Y122" s="13"/>
      <c r="Z122" s="13"/>
      <c r="AA122" s="13"/>
      <c r="AB122" s="13"/>
      <c r="AC122" s="13"/>
      <c r="AD122" s="13"/>
      <c r="AE122" s="13"/>
      <c r="AF122" s="13"/>
      <c r="AG122" s="13"/>
    </row>
    <row r="123" spans="1:33" s="12" customFormat="1" ht="15">
      <c r="A123" s="13"/>
      <c r="B123" s="37"/>
      <c r="C123" s="37"/>
      <c r="D123" s="37"/>
      <c r="E123" s="37"/>
      <c r="F123" s="37"/>
      <c r="G123" s="37"/>
      <c r="H123" s="37"/>
      <c r="I123" s="37"/>
      <c r="J123" s="37"/>
      <c r="K123" s="37"/>
      <c r="L123" s="37"/>
      <c r="M123" s="13"/>
      <c r="N123" s="13"/>
      <c r="O123" s="13"/>
      <c r="P123" s="13"/>
      <c r="Q123" s="13"/>
      <c r="R123" s="13"/>
      <c r="S123" s="13"/>
      <c r="T123" s="13"/>
      <c r="U123" s="13"/>
      <c r="V123" s="13"/>
      <c r="W123" s="13"/>
      <c r="X123" s="13"/>
      <c r="Y123" s="13"/>
      <c r="Z123" s="13"/>
      <c r="AA123" s="13"/>
      <c r="AB123" s="13"/>
      <c r="AC123" s="13"/>
      <c r="AD123" s="13"/>
      <c r="AE123" s="13"/>
      <c r="AF123" s="13"/>
      <c r="AG123" s="13"/>
    </row>
    <row r="124" spans="1:33" s="12" customFormat="1" ht="15">
      <c r="A124" s="13"/>
      <c r="B124" s="37"/>
      <c r="C124" s="37"/>
      <c r="D124" s="37"/>
      <c r="E124" s="37"/>
      <c r="F124" s="37"/>
      <c r="G124" s="37"/>
      <c r="H124" s="37"/>
      <c r="I124" s="37"/>
      <c r="J124" s="37"/>
      <c r="K124" s="37"/>
      <c r="L124" s="37"/>
      <c r="M124" s="13"/>
      <c r="N124" s="13"/>
      <c r="O124" s="13"/>
      <c r="P124" s="13"/>
      <c r="Q124" s="13"/>
      <c r="R124" s="13"/>
      <c r="S124" s="13"/>
      <c r="T124" s="13"/>
      <c r="U124" s="13"/>
      <c r="V124" s="13"/>
      <c r="W124" s="13"/>
      <c r="X124" s="13"/>
      <c r="Y124" s="13"/>
      <c r="Z124" s="13"/>
      <c r="AA124" s="13"/>
      <c r="AB124" s="13"/>
      <c r="AC124" s="13"/>
      <c r="AD124" s="13"/>
      <c r="AE124" s="13"/>
      <c r="AF124" s="13"/>
      <c r="AG124" s="13"/>
    </row>
    <row r="125" spans="1:33" s="12" customFormat="1" ht="15">
      <c r="A125" s="13"/>
      <c r="B125" s="37"/>
      <c r="C125" s="37"/>
      <c r="D125" s="37"/>
      <c r="E125" s="37"/>
      <c r="F125" s="37"/>
      <c r="G125" s="37"/>
      <c r="H125" s="37"/>
      <c r="I125" s="37"/>
      <c r="J125" s="37"/>
      <c r="K125" s="37"/>
      <c r="L125" s="37"/>
      <c r="M125" s="13"/>
      <c r="N125" s="13"/>
      <c r="O125" s="13"/>
      <c r="P125" s="13"/>
      <c r="Q125" s="13"/>
      <c r="R125" s="13"/>
      <c r="S125" s="13"/>
      <c r="T125" s="13"/>
      <c r="U125" s="13"/>
      <c r="V125" s="13"/>
      <c r="W125" s="13"/>
      <c r="X125" s="13"/>
      <c r="Y125" s="13"/>
      <c r="Z125" s="13"/>
      <c r="AA125" s="13"/>
      <c r="AB125" s="13"/>
      <c r="AC125" s="13"/>
      <c r="AD125" s="13"/>
      <c r="AE125" s="13"/>
      <c r="AF125" s="13"/>
      <c r="AG125" s="13"/>
    </row>
    <row r="126" spans="1:33" s="12" customFormat="1" ht="15">
      <c r="A126" s="13"/>
      <c r="B126" s="37"/>
      <c r="C126" s="37"/>
      <c r="D126" s="37"/>
      <c r="E126" s="37"/>
      <c r="F126" s="37"/>
      <c r="G126" s="37"/>
      <c r="H126" s="37"/>
      <c r="I126" s="37"/>
      <c r="J126" s="37"/>
      <c r="K126" s="37"/>
      <c r="L126" s="37"/>
      <c r="M126" s="13"/>
      <c r="N126" s="13"/>
      <c r="O126" s="13"/>
      <c r="P126" s="13"/>
      <c r="Q126" s="13"/>
      <c r="R126" s="13"/>
      <c r="S126" s="13"/>
      <c r="T126" s="13"/>
      <c r="U126" s="13"/>
      <c r="V126" s="13"/>
      <c r="W126" s="13"/>
      <c r="X126" s="13"/>
      <c r="Y126" s="13"/>
      <c r="Z126" s="13"/>
      <c r="AA126" s="13"/>
      <c r="AB126" s="13"/>
      <c r="AC126" s="13"/>
      <c r="AD126" s="13"/>
      <c r="AE126" s="13"/>
      <c r="AF126" s="13"/>
      <c r="AG126" s="13"/>
    </row>
    <row r="127" spans="1:33" s="12" customFormat="1" ht="15">
      <c r="A127" s="13"/>
      <c r="B127" s="37"/>
      <c r="C127" s="37"/>
      <c r="D127" s="37"/>
      <c r="E127" s="37"/>
      <c r="F127" s="37"/>
      <c r="G127" s="37"/>
      <c r="H127" s="37"/>
      <c r="I127" s="37"/>
      <c r="J127" s="37"/>
      <c r="K127" s="37"/>
      <c r="L127" s="37"/>
      <c r="M127" s="13"/>
      <c r="N127" s="13"/>
      <c r="O127" s="13"/>
      <c r="P127" s="13"/>
      <c r="Q127" s="13"/>
      <c r="R127" s="13"/>
      <c r="S127" s="13"/>
      <c r="T127" s="13"/>
      <c r="U127" s="13"/>
      <c r="V127" s="13"/>
      <c r="W127" s="13"/>
      <c r="X127" s="13"/>
      <c r="Y127" s="13"/>
      <c r="Z127" s="13"/>
      <c r="AA127" s="13"/>
      <c r="AB127" s="13"/>
      <c r="AC127" s="13"/>
      <c r="AD127" s="13"/>
      <c r="AE127" s="13"/>
      <c r="AF127" s="13"/>
      <c r="AG127" s="13"/>
    </row>
  </sheetData>
  <sheetProtection sheet="1" formatRows="0"/>
  <mergeCells count="36">
    <mergeCell ref="C17:F17"/>
    <mergeCell ref="C11:F11"/>
    <mergeCell ref="C14:F14"/>
    <mergeCell ref="D31:K31"/>
    <mergeCell ref="E41:G41"/>
    <mergeCell ref="C19:F19"/>
    <mergeCell ref="C36:G36"/>
    <mergeCell ref="C21:E21"/>
    <mergeCell ref="C37:K37"/>
    <mergeCell ref="C22:K22"/>
    <mergeCell ref="D30:K30"/>
    <mergeCell ref="E39:G39"/>
    <mergeCell ref="E40:G40"/>
    <mergeCell ref="E45:J45"/>
    <mergeCell ref="E42:G42"/>
    <mergeCell ref="E43:G43"/>
    <mergeCell ref="D33:K33"/>
    <mergeCell ref="D34:G34"/>
    <mergeCell ref="C18:F18"/>
    <mergeCell ref="D32:K32"/>
    <mergeCell ref="H34:L34"/>
    <mergeCell ref="C15:F15"/>
    <mergeCell ref="B2:E2"/>
    <mergeCell ref="C6:F6"/>
    <mergeCell ref="C28:J28"/>
    <mergeCell ref="C7:F7"/>
    <mergeCell ref="C8:F8"/>
    <mergeCell ref="D29:K29"/>
    <mergeCell ref="C13:F13"/>
    <mergeCell ref="C12:F12"/>
    <mergeCell ref="C9:F9"/>
    <mergeCell ref="C16:F16"/>
    <mergeCell ref="C10:F10"/>
    <mergeCell ref="B3:K3"/>
    <mergeCell ref="B4:K4"/>
    <mergeCell ref="B5:K5"/>
  </mergeCells>
  <conditionalFormatting sqref="G8:G10 G15:G17">
    <cfRule type="expression" priority="3" dxfId="4" stopIfTrue="1">
      <formula>#REF!=""</formula>
    </cfRule>
    <cfRule type="expression" priority="4" dxfId="4" stopIfTrue="1">
      <formula>#REF!="No"</formula>
    </cfRule>
  </conditionalFormatting>
  <dataValidations count="9">
    <dataValidation type="decimal" operator="greaterThan" allowBlank="1" showInputMessage="1" showErrorMessage="1" error="Entered value must be greater than 0." sqref="H39:I43">
      <formula1>0</formula1>
    </dataValidation>
    <dataValidation type="list" allowBlank="1" showInputMessage="1" showErrorMessage="1" sqref="G12">
      <formula1>"Sand Filter,Sorptive Media Filter,Cartridge Unit,Industrial or Pre-Coat Filter"</formula1>
    </dataValidation>
    <dataValidation type="list" allowBlank="1" showInputMessage="1" showErrorMessage="1" sqref="G18 G11 G14 G7">
      <formula1>"Yes,No"</formula1>
    </dataValidation>
    <dataValidation type="decimal" operator="greaterThan" allowBlank="1" showInputMessage="1" showErrorMessage="1" prompt="If you have multiple pools, add the square footage together to get the total square footage of your pools." error="The pool surface area must be greater than 0." sqref="G8">
      <formula1>0</formula1>
    </dataValidation>
    <dataValidation type="decimal" operator="greaterThan" allowBlank="1" showInputMessage="1" showErrorMessage="1" prompt="If you have multiple pools, add the volume together to get the total volume of your pools." error="The pool volume must be greater than 0." sqref="G9">
      <formula1>0</formula1>
    </dataValidation>
    <dataValidation type="decimal" operator="greaterThan" allowBlank="1" showInputMessage="1" showErrorMessage="1" prompt="If you have multiple hot tubs, add the square footage together to get the total square footage of your hot tubs." error="The hot tub surface area must be greater than 0." sqref="G15">
      <formula1>0</formula1>
    </dataValidation>
    <dataValidation type="decimal" operator="greaterThan" allowBlank="1" showInputMessage="1" showErrorMessage="1" prompt="If you have multiple hot tubs, add the volume together to get the total volume of your hot tubs." error="The hot tub volume must be greater than 0." sqref="G16">
      <formula1>0</formula1>
    </dataValidation>
    <dataValidation type="decimal" allowBlank="1" showInputMessage="1" showErrorMessage="1" error="The number of operating days must be between 0 and 365." sqref="G17 G10">
      <formula1>0</formula1>
      <formula2>365</formula2>
    </dataValidation>
    <dataValidation type="list" allowBlank="1" showInputMessage="1" showErrorMessage="1" sqref="G19">
      <formula1>"Sand Filter,Sorptive Media Filter,Cartridge Unit"</formula1>
    </dataValidation>
  </dataValidations>
  <hyperlinks>
    <hyperlink ref="H34" r:id="rId1" display="Pool and Spa BMPs "/>
  </hyperlinks>
  <printOptions/>
  <pageMargins left="0.7" right="0.7" top="0.75" bottom="0.75" header="0.3" footer="0.3"/>
  <pageSetup horizontalDpi="1200" verticalDpi="1200" orientation="portrait" r:id="rId4"/>
  <drawing r:id="rId3"/>
  <legacyDrawing r:id="rId2"/>
</worksheet>
</file>

<file path=xl/worksheets/sheet15.xml><?xml version="1.0" encoding="utf-8"?>
<worksheet xmlns="http://schemas.openxmlformats.org/spreadsheetml/2006/main" xmlns:r="http://schemas.openxmlformats.org/officeDocument/2006/relationships">
  <sheetPr codeName="x_Clothes_Washer_Calcs">
    <tabColor theme="0" tint="-0.3499799966812134"/>
  </sheetPr>
  <dimension ref="A1:X44"/>
  <sheetViews>
    <sheetView zoomScalePageLayoutView="0" workbookViewId="0" topLeftCell="A1">
      <selection activeCell="G14" sqref="G14"/>
    </sheetView>
  </sheetViews>
  <sheetFormatPr defaultColWidth="15.00390625" defaultRowHeight="15"/>
  <cols>
    <col min="1" max="1" width="3.00390625" style="330" customWidth="1"/>
    <col min="2" max="4" width="15.421875" style="378" customWidth="1"/>
    <col min="5" max="5" width="15.421875" style="379" customWidth="1"/>
    <col min="6" max="6" width="15.421875" style="332" customWidth="1"/>
    <col min="7" max="7" width="19.28125" style="333" customWidth="1"/>
    <col min="8" max="13" width="15.421875" style="333" customWidth="1"/>
    <col min="14" max="16" width="15.00390625" style="333" customWidth="1"/>
    <col min="17" max="16384" width="15.00390625" style="332" customWidth="1"/>
  </cols>
  <sheetData>
    <row r="1" spans="1:12" s="314" customFormat="1" ht="30" customHeight="1">
      <c r="A1" s="311" t="s">
        <v>227</v>
      </c>
      <c r="B1" s="312"/>
      <c r="C1" s="312"/>
      <c r="D1" s="312"/>
      <c r="E1" s="313"/>
      <c r="F1" s="313"/>
      <c r="H1" s="601" t="s">
        <v>456</v>
      </c>
      <c r="I1" s="315"/>
      <c r="J1" s="316"/>
      <c r="K1" s="317"/>
      <c r="L1" s="318"/>
    </row>
    <row r="2" spans="1:12" s="314" customFormat="1" ht="16.5">
      <c r="A2" s="311" t="s">
        <v>478</v>
      </c>
      <c r="B2" s="312"/>
      <c r="C2" s="312"/>
      <c r="D2" s="312"/>
      <c r="E2" s="313"/>
      <c r="F2" s="313"/>
      <c r="H2" s="601"/>
      <c r="I2" s="315"/>
      <c r="J2" s="316"/>
      <c r="K2" s="317"/>
      <c r="L2" s="318"/>
    </row>
    <row r="3" spans="1:8" s="325" customFormat="1" ht="29.25" customHeight="1">
      <c r="A3" s="319" t="s">
        <v>230</v>
      </c>
      <c r="B3" s="329"/>
      <c r="C3" s="329"/>
      <c r="D3" s="329"/>
      <c r="E3" s="329"/>
      <c r="H3" s="316"/>
    </row>
    <row r="4" spans="1:16" s="321" customFormat="1" ht="12.75" customHeight="1">
      <c r="A4" s="320"/>
      <c r="B4" s="1047"/>
      <c r="C4" s="1048"/>
      <c r="D4" s="1049"/>
      <c r="E4" s="203" t="s">
        <v>289</v>
      </c>
      <c r="H4" s="382" t="s">
        <v>233</v>
      </c>
      <c r="I4" s="383"/>
      <c r="J4" s="384"/>
      <c r="K4" s="317"/>
      <c r="L4" s="316"/>
      <c r="M4" s="314"/>
      <c r="N4" s="322"/>
      <c r="O4" s="322"/>
      <c r="P4" s="322"/>
    </row>
    <row r="5" spans="1:13" s="325" customFormat="1" ht="12.75" customHeight="1">
      <c r="A5" s="311"/>
      <c r="B5" s="1028" t="s">
        <v>115</v>
      </c>
      <c r="C5" s="1029"/>
      <c r="D5" s="1030"/>
      <c r="E5" s="327">
        <f>HotWaterFuelType</f>
        <v>0</v>
      </c>
      <c r="H5" s="334" t="s">
        <v>234</v>
      </c>
      <c r="I5" s="335"/>
      <c r="J5" s="336">
        <v>2.2</v>
      </c>
      <c r="K5" s="315"/>
      <c r="L5" s="324"/>
      <c r="M5" s="314"/>
    </row>
    <row r="6" spans="2:13" ht="15">
      <c r="B6" s="1045" t="s">
        <v>231</v>
      </c>
      <c r="C6" s="1045"/>
      <c r="D6" s="1046"/>
      <c r="E6" s="380">
        <f>J7</f>
        <v>97</v>
      </c>
      <c r="F6" s="331" t="s">
        <v>232</v>
      </c>
      <c r="G6" s="332"/>
      <c r="H6" s="334" t="s">
        <v>236</v>
      </c>
      <c r="I6" s="335"/>
      <c r="J6" s="577">
        <v>4.5</v>
      </c>
      <c r="K6" s="315"/>
      <c r="L6" s="324"/>
      <c r="M6" s="314"/>
    </row>
    <row r="7" spans="1:13" s="316" customFormat="1" ht="12.75" customHeight="1">
      <c r="A7" s="328"/>
      <c r="B7" s="1036" t="s">
        <v>291</v>
      </c>
      <c r="C7" s="1037"/>
      <c r="D7" s="1038"/>
      <c r="E7" s="380">
        <f>J12</f>
        <v>241</v>
      </c>
      <c r="F7" s="331" t="s">
        <v>232</v>
      </c>
      <c r="H7" s="334" t="s">
        <v>238</v>
      </c>
      <c r="I7" s="335"/>
      <c r="J7" s="573">
        <v>97</v>
      </c>
      <c r="K7" s="315"/>
      <c r="L7" s="324"/>
      <c r="M7" s="314"/>
    </row>
    <row r="8" spans="1:13" s="316" customFormat="1" ht="12.75" customHeight="1">
      <c r="A8" s="328"/>
      <c r="B8" s="1036" t="s">
        <v>229</v>
      </c>
      <c r="C8" s="1037"/>
      <c r="D8" s="1038"/>
      <c r="E8" s="381">
        <v>2.8</v>
      </c>
      <c r="F8" s="331" t="s">
        <v>235</v>
      </c>
      <c r="H8" s="341" t="s">
        <v>239</v>
      </c>
      <c r="I8" s="335" t="s">
        <v>240</v>
      </c>
      <c r="J8" s="336">
        <v>2</v>
      </c>
      <c r="K8" s="325"/>
      <c r="L8" s="325"/>
      <c r="M8" s="325"/>
    </row>
    <row r="9" spans="1:13" s="316" customFormat="1" ht="12.75" customHeight="1">
      <c r="A9" s="328"/>
      <c r="B9" s="1036" t="s">
        <v>237</v>
      </c>
      <c r="C9" s="1037"/>
      <c r="D9" s="1038"/>
      <c r="E9" s="380">
        <v>24</v>
      </c>
      <c r="F9" s="323" t="s">
        <v>292</v>
      </c>
      <c r="H9" s="385"/>
      <c r="I9" s="335" t="s">
        <v>241</v>
      </c>
      <c r="J9" s="336">
        <v>1.6</v>
      </c>
      <c r="K9" s="315"/>
      <c r="L9" s="324"/>
      <c r="M9" s="314"/>
    </row>
    <row r="10" spans="1:13" s="316" customFormat="1" ht="12.75" customHeight="1">
      <c r="A10" s="328"/>
      <c r="B10" s="1036" t="s">
        <v>243</v>
      </c>
      <c r="C10" s="1037"/>
      <c r="D10" s="1038"/>
      <c r="E10" s="339">
        <v>1</v>
      </c>
      <c r="F10" s="338"/>
      <c r="H10" s="341" t="s">
        <v>242</v>
      </c>
      <c r="I10" s="335" t="s">
        <v>240</v>
      </c>
      <c r="J10" s="577">
        <v>5.5</v>
      </c>
      <c r="K10" s="315"/>
      <c r="L10" s="324"/>
      <c r="M10" s="314"/>
    </row>
    <row r="11" spans="1:13" s="316" customFormat="1" ht="12.75" customHeight="1">
      <c r="A11" s="328"/>
      <c r="B11" s="1036" t="s">
        <v>245</v>
      </c>
      <c r="C11" s="1037"/>
      <c r="D11" s="1038"/>
      <c r="E11" s="582">
        <v>0.75</v>
      </c>
      <c r="F11" s="338"/>
      <c r="H11" s="385"/>
      <c r="I11" s="335" t="s">
        <v>241</v>
      </c>
      <c r="J11" s="577">
        <v>8.5</v>
      </c>
      <c r="K11" s="325"/>
      <c r="L11" s="325"/>
      <c r="M11" s="325"/>
    </row>
    <row r="12" spans="1:13" s="316" customFormat="1" ht="12.75" customHeight="1">
      <c r="A12" s="328"/>
      <c r="B12" s="1036" t="s">
        <v>247</v>
      </c>
      <c r="C12" s="1037"/>
      <c r="D12" s="1038"/>
      <c r="E12" s="340">
        <v>52</v>
      </c>
      <c r="F12" s="338" t="s">
        <v>248</v>
      </c>
      <c r="G12" s="317"/>
      <c r="H12" s="334" t="s">
        <v>244</v>
      </c>
      <c r="I12" s="335"/>
      <c r="J12" s="573">
        <v>241</v>
      </c>
      <c r="K12" s="315"/>
      <c r="L12" s="324"/>
      <c r="M12" s="314"/>
    </row>
    <row r="13" spans="1:13" s="316" customFormat="1" ht="12.75" customHeight="1">
      <c r="A13" s="328"/>
      <c r="B13" s="1039" t="s">
        <v>251</v>
      </c>
      <c r="C13" s="1040"/>
      <c r="D13" s="342" t="s">
        <v>252</v>
      </c>
      <c r="E13" s="343">
        <v>0.2</v>
      </c>
      <c r="F13" s="338"/>
      <c r="G13" s="317"/>
      <c r="H13" s="334" t="s">
        <v>246</v>
      </c>
      <c r="I13" s="335"/>
      <c r="J13" s="577">
        <v>2.8</v>
      </c>
      <c r="K13" s="315"/>
      <c r="L13" s="324"/>
      <c r="M13" s="314"/>
    </row>
    <row r="14" spans="1:13" s="316" customFormat="1" ht="12.75" customHeight="1">
      <c r="A14" s="328"/>
      <c r="B14" s="1041"/>
      <c r="C14" s="1042"/>
      <c r="D14" s="342" t="s">
        <v>254</v>
      </c>
      <c r="E14" s="574">
        <f>1-E13</f>
        <v>0.8</v>
      </c>
      <c r="F14" s="338"/>
      <c r="G14" s="317"/>
      <c r="H14" s="341" t="s">
        <v>249</v>
      </c>
      <c r="I14" s="335" t="s">
        <v>250</v>
      </c>
      <c r="J14" s="337">
        <f>3.4*365</f>
        <v>1241</v>
      </c>
      <c r="K14" s="325"/>
      <c r="L14" s="325"/>
      <c r="M14" s="325"/>
    </row>
    <row r="15" spans="1:13" s="316" customFormat="1" ht="12.75" customHeight="1">
      <c r="A15" s="328"/>
      <c r="B15" s="1036" t="s">
        <v>255</v>
      </c>
      <c r="C15" s="1037"/>
      <c r="D15" s="1038"/>
      <c r="E15" s="578">
        <v>0.03412</v>
      </c>
      <c r="F15" s="338" t="s">
        <v>256</v>
      </c>
      <c r="G15" s="317"/>
      <c r="H15" s="1043" t="s">
        <v>253</v>
      </c>
      <c r="I15" s="1044"/>
      <c r="J15" s="573">
        <v>392</v>
      </c>
      <c r="K15" s="315"/>
      <c r="L15" s="324"/>
      <c r="M15" s="314"/>
    </row>
    <row r="16" spans="1:13" s="316" customFormat="1" ht="12.75" customHeight="1">
      <c r="A16" s="328"/>
      <c r="G16" s="317"/>
      <c r="K16" s="315"/>
      <c r="L16" s="324"/>
      <c r="M16" s="314"/>
    </row>
    <row r="17" spans="1:7" s="316" customFormat="1" ht="28.5" customHeight="1">
      <c r="A17" s="344" t="s">
        <v>137</v>
      </c>
      <c r="B17" s="329"/>
      <c r="C17" s="329"/>
      <c r="D17" s="329"/>
      <c r="E17" s="345"/>
      <c r="F17" s="346"/>
      <c r="G17" s="329"/>
    </row>
    <row r="18" spans="1:8" s="314" customFormat="1" ht="12.75" customHeight="1">
      <c r="A18" s="311"/>
      <c r="B18" s="1028"/>
      <c r="C18" s="1029"/>
      <c r="D18" s="1030"/>
      <c r="E18" s="1031" t="s">
        <v>135</v>
      </c>
      <c r="F18" s="1034"/>
      <c r="G18" s="1031" t="s">
        <v>136</v>
      </c>
      <c r="H18" s="1034"/>
    </row>
    <row r="19" spans="1:11" s="314" customFormat="1" ht="12.75" customHeight="1">
      <c r="A19" s="311"/>
      <c r="B19" s="1028" t="s">
        <v>257</v>
      </c>
      <c r="C19" s="1029"/>
      <c r="D19" s="1030"/>
      <c r="E19" s="1032">
        <f>E9*E12</f>
        <v>1248</v>
      </c>
      <c r="F19" s="1035"/>
      <c r="G19" s="1032">
        <f>E9*E12</f>
        <v>1248</v>
      </c>
      <c r="H19" s="1035"/>
      <c r="K19" s="316"/>
    </row>
    <row r="20" spans="1:11" s="314" customFormat="1" ht="12.75" customHeight="1">
      <c r="A20" s="311"/>
      <c r="B20" s="1028" t="s">
        <v>258</v>
      </c>
      <c r="C20" s="1029"/>
      <c r="D20" s="1030"/>
      <c r="E20" s="1032">
        <f>E7*E19/J15</f>
        <v>767.265306122449</v>
      </c>
      <c r="F20" s="1033"/>
      <c r="G20" s="1032">
        <f>E6*G19/J15</f>
        <v>308.81632653061223</v>
      </c>
      <c r="H20" s="1033"/>
      <c r="K20" s="316"/>
    </row>
    <row r="21" spans="1:14" s="314" customFormat="1" ht="12.75" customHeight="1">
      <c r="A21" s="311"/>
      <c r="B21" s="1028"/>
      <c r="C21" s="1029"/>
      <c r="D21" s="1030"/>
      <c r="E21" s="348" t="s">
        <v>259</v>
      </c>
      <c r="F21" s="348" t="s">
        <v>125</v>
      </c>
      <c r="G21" s="348" t="s">
        <v>259</v>
      </c>
      <c r="H21" s="348" t="s">
        <v>125</v>
      </c>
      <c r="K21" s="316"/>
      <c r="L21" s="316"/>
      <c r="M21" s="316"/>
      <c r="N21" s="316"/>
    </row>
    <row r="22" spans="1:14" s="314" customFormat="1" ht="12.75" customHeight="1">
      <c r="A22" s="311"/>
      <c r="B22" s="1028" t="s">
        <v>260</v>
      </c>
      <c r="C22" s="1029"/>
      <c r="D22" s="1030"/>
      <c r="E22" s="326">
        <f>E13*E20</f>
        <v>153.4530612244898</v>
      </c>
      <c r="F22" s="326" t="s">
        <v>228</v>
      </c>
      <c r="G22" s="326">
        <f>E13*G20</f>
        <v>61.76326530612245</v>
      </c>
      <c r="H22" s="326" t="s">
        <v>228</v>
      </c>
      <c r="K22" s="316"/>
      <c r="L22" s="316"/>
      <c r="M22" s="316"/>
      <c r="N22" s="316"/>
    </row>
    <row r="23" spans="1:14" s="314" customFormat="1" ht="12.75" customHeight="1">
      <c r="A23" s="311"/>
      <c r="B23" s="1028" t="s">
        <v>261</v>
      </c>
      <c r="C23" s="1029"/>
      <c r="D23" s="1030"/>
      <c r="E23" s="326">
        <f>IF(E5="electric",E14*E20,0)</f>
        <v>0</v>
      </c>
      <c r="F23" s="576">
        <f>IF(E5="natural gas",E14*E20/E11*E15,0)</f>
        <v>0</v>
      </c>
      <c r="G23" s="326">
        <f>IF(E5="electric",E14*G20,0)</f>
        <v>0</v>
      </c>
      <c r="H23" s="576">
        <f>IF(E5="natural gas",E14*G20/E11*E15,0)</f>
        <v>0</v>
      </c>
      <c r="K23" s="350"/>
      <c r="L23" s="350"/>
      <c r="M23" s="316"/>
      <c r="N23" s="316"/>
    </row>
    <row r="24" spans="1:24" s="333" customFormat="1" ht="12.75" customHeight="1">
      <c r="A24" s="330"/>
      <c r="B24" s="1028"/>
      <c r="C24" s="1029"/>
      <c r="D24" s="1030"/>
      <c r="E24" s="351" t="s">
        <v>180</v>
      </c>
      <c r="F24" s="351" t="s">
        <v>262</v>
      </c>
      <c r="G24" s="351" t="s">
        <v>180</v>
      </c>
      <c r="H24" s="351" t="s">
        <v>262</v>
      </c>
      <c r="Q24" s="332"/>
      <c r="R24" s="332"/>
      <c r="S24" s="332"/>
      <c r="T24" s="332"/>
      <c r="U24" s="332"/>
      <c r="V24" s="332"/>
      <c r="W24" s="332"/>
      <c r="X24" s="332"/>
    </row>
    <row r="25" spans="1:14" s="316" customFormat="1" ht="28.5" customHeight="1">
      <c r="A25" s="344" t="s">
        <v>263</v>
      </c>
      <c r="B25" s="329"/>
      <c r="C25" s="329"/>
      <c r="D25" s="329"/>
      <c r="E25" s="345"/>
      <c r="F25" s="346"/>
      <c r="G25" s="329"/>
      <c r="H25" s="352"/>
      <c r="I25" s="353"/>
      <c r="J25" s="354"/>
      <c r="K25" s="355"/>
      <c r="L25" s="355"/>
      <c r="M25" s="356"/>
      <c r="N25" s="356"/>
    </row>
    <row r="26" spans="1:17" s="316" customFormat="1" ht="15">
      <c r="A26" s="344"/>
      <c r="B26" s="329"/>
      <c r="C26" s="329"/>
      <c r="D26" s="329"/>
      <c r="E26" s="1031" t="s">
        <v>290</v>
      </c>
      <c r="F26" s="1031"/>
      <c r="G26" s="1031"/>
      <c r="H26" s="1031" t="s">
        <v>288</v>
      </c>
      <c r="I26" s="1031"/>
      <c r="J26" s="1031"/>
      <c r="K26" s="352"/>
      <c r="L26" s="353"/>
      <c r="M26" s="354"/>
      <c r="N26" s="355"/>
      <c r="O26" s="355"/>
      <c r="P26" s="356"/>
      <c r="Q26" s="356"/>
    </row>
    <row r="27" spans="1:19" s="359" customFormat="1" ht="12.75" customHeight="1">
      <c r="A27" s="322"/>
      <c r="B27" s="1028"/>
      <c r="C27" s="1029"/>
      <c r="D27" s="1030"/>
      <c r="E27" s="347" t="s">
        <v>135</v>
      </c>
      <c r="F27" s="347" t="s">
        <v>136</v>
      </c>
      <c r="G27" s="347" t="s">
        <v>142</v>
      </c>
      <c r="H27" s="347" t="s">
        <v>135</v>
      </c>
      <c r="I27" s="347" t="s">
        <v>136</v>
      </c>
      <c r="J27" s="347" t="s">
        <v>142</v>
      </c>
      <c r="K27" s="357"/>
      <c r="L27" s="358"/>
      <c r="M27" s="354"/>
      <c r="N27" s="355"/>
      <c r="O27" s="355"/>
      <c r="P27" s="356"/>
      <c r="Q27" s="356"/>
      <c r="R27" s="356"/>
      <c r="S27" s="356"/>
    </row>
    <row r="28" spans="1:19" s="359" customFormat="1" ht="12.75" customHeight="1">
      <c r="A28" s="360"/>
      <c r="B28" s="1028" t="s">
        <v>264</v>
      </c>
      <c r="C28" s="1029"/>
      <c r="D28" s="1030"/>
      <c r="E28" s="572">
        <f>SUM($E22:$E23)</f>
        <v>153.4530612244898</v>
      </c>
      <c r="F28" s="572">
        <f>SUM($G22:$G23)</f>
        <v>61.76326530612245</v>
      </c>
      <c r="G28" s="572">
        <f>E28-F28</f>
        <v>91.68979591836735</v>
      </c>
      <c r="H28" s="572">
        <f>SUM($E22:$E23)</f>
        <v>153.4530612244898</v>
      </c>
      <c r="I28" s="572">
        <f>SUM($G22:$G23)</f>
        <v>61.76326530612245</v>
      </c>
      <c r="J28" s="572">
        <f>H28-I28</f>
        <v>91.68979591836735</v>
      </c>
      <c r="K28" s="357" t="s">
        <v>180</v>
      </c>
      <c r="L28" s="358"/>
      <c r="M28" s="354"/>
      <c r="N28" s="355"/>
      <c r="O28" s="355"/>
      <c r="P28" s="356"/>
      <c r="Q28" s="356"/>
      <c r="R28" s="356"/>
      <c r="S28" s="356"/>
    </row>
    <row r="29" spans="1:19" s="359" customFormat="1" ht="12.75" customHeight="1">
      <c r="A29" s="360"/>
      <c r="B29" s="1028" t="s">
        <v>265</v>
      </c>
      <c r="C29" s="1029"/>
      <c r="D29" s="1030"/>
      <c r="E29" s="572">
        <f>$F23</f>
        <v>0</v>
      </c>
      <c r="F29" s="572">
        <f>$H23</f>
        <v>0</v>
      </c>
      <c r="G29" s="572">
        <f>E29-F29</f>
        <v>0</v>
      </c>
      <c r="H29" s="572">
        <f>$F23</f>
        <v>0</v>
      </c>
      <c r="I29" s="572">
        <f>$H23</f>
        <v>0</v>
      </c>
      <c r="J29" s="572">
        <f>H29-I29</f>
        <v>0</v>
      </c>
      <c r="K29" s="357" t="s">
        <v>262</v>
      </c>
      <c r="L29" s="358"/>
      <c r="M29" s="354"/>
      <c r="N29" s="355"/>
      <c r="O29" s="355"/>
      <c r="P29" s="314"/>
      <c r="Q29" s="314"/>
      <c r="R29" s="356"/>
      <c r="S29" s="356"/>
    </row>
    <row r="30" spans="1:17" s="314" customFormat="1" ht="12.75" customHeight="1">
      <c r="A30" s="311"/>
      <c r="B30" s="1028" t="s">
        <v>266</v>
      </c>
      <c r="C30" s="1029"/>
      <c r="D30" s="1030"/>
      <c r="E30" s="361">
        <f>$J$10*$E$8*$E$9*$E$19</f>
        <v>461260.79999999993</v>
      </c>
      <c r="F30" s="349">
        <f>$J$6*$J$13*$E$9*$E$12</f>
        <v>15724.8</v>
      </c>
      <c r="G30" s="361">
        <f>E30-F30</f>
        <v>445535.99999999994</v>
      </c>
      <c r="H30" s="361">
        <f>$J$11*$E$8*$E$9*$E$19</f>
        <v>712857.5999999999</v>
      </c>
      <c r="I30" s="349">
        <f>$J$6*$J$13*$E$9*$E$12</f>
        <v>15724.8</v>
      </c>
      <c r="J30" s="361">
        <f>H30-I30</f>
        <v>697132.7999999998</v>
      </c>
      <c r="K30" s="357" t="s">
        <v>182</v>
      </c>
      <c r="L30" s="362"/>
      <c r="M30" s="354"/>
      <c r="N30" s="333"/>
      <c r="O30" s="333"/>
      <c r="P30" s="333"/>
      <c r="Q30" s="333"/>
    </row>
    <row r="31" spans="1:14" s="314" customFormat="1" ht="21" customHeight="1">
      <c r="A31" s="363"/>
      <c r="B31" s="364"/>
      <c r="C31" s="364"/>
      <c r="D31" s="364"/>
      <c r="E31" s="365"/>
      <c r="F31" s="365"/>
      <c r="G31" s="363"/>
      <c r="H31" s="363"/>
      <c r="I31" s="363"/>
      <c r="J31" s="363"/>
      <c r="K31" s="325"/>
      <c r="L31" s="352"/>
      <c r="M31" s="325"/>
      <c r="N31" s="325"/>
    </row>
    <row r="32" spans="1:14" s="325" customFormat="1" ht="21" customHeight="1">
      <c r="A32" s="366" t="s">
        <v>149</v>
      </c>
      <c r="B32" s="367"/>
      <c r="C32" s="367"/>
      <c r="D32" s="367"/>
      <c r="E32" s="368"/>
      <c r="F32" s="369"/>
      <c r="K32" s="242"/>
      <c r="L32" s="370"/>
      <c r="M32" s="192"/>
      <c r="N32" s="192"/>
    </row>
    <row r="33" spans="1:24" s="228" customFormat="1" ht="18.75" customHeight="1">
      <c r="A33" s="192"/>
      <c r="B33" s="371" t="s">
        <v>267</v>
      </c>
      <c r="C33" s="371"/>
      <c r="D33" s="371"/>
      <c r="E33" s="372" t="s">
        <v>268</v>
      </c>
      <c r="F33" s="1025" t="s">
        <v>269</v>
      </c>
      <c r="G33" s="1026"/>
      <c r="H33" s="1026"/>
      <c r="I33" s="1026"/>
      <c r="J33" s="373"/>
      <c r="M33" s="192"/>
      <c r="N33" s="192"/>
      <c r="O33" s="192"/>
      <c r="P33" s="192"/>
      <c r="Q33" s="192"/>
      <c r="R33" s="192"/>
      <c r="S33" s="192"/>
      <c r="T33" s="192"/>
      <c r="U33" s="192"/>
      <c r="V33" s="192"/>
      <c r="W33" s="192"/>
      <c r="X33" s="192"/>
    </row>
    <row r="34" spans="1:24" s="228" customFormat="1" ht="13.5" customHeight="1">
      <c r="A34" s="192"/>
      <c r="B34" s="371"/>
      <c r="C34" s="371"/>
      <c r="D34" s="371"/>
      <c r="E34" s="372" t="s">
        <v>270</v>
      </c>
      <c r="F34" s="1023" t="s">
        <v>271</v>
      </c>
      <c r="G34" s="1024"/>
      <c r="H34" s="1024"/>
      <c r="I34" s="1024"/>
      <c r="J34" s="1024"/>
      <c r="K34" s="1024"/>
      <c r="M34" s="192"/>
      <c r="N34" s="192"/>
      <c r="O34" s="192"/>
      <c r="P34" s="192"/>
      <c r="Q34" s="192"/>
      <c r="R34" s="192"/>
      <c r="S34" s="192"/>
      <c r="T34" s="192"/>
      <c r="U34" s="192"/>
      <c r="V34" s="192"/>
      <c r="W34" s="192"/>
      <c r="X34" s="192"/>
    </row>
    <row r="35" spans="1:24" s="228" customFormat="1" ht="13.5" customHeight="1">
      <c r="A35" s="192"/>
      <c r="B35" s="371"/>
      <c r="C35" s="371"/>
      <c r="D35" s="371"/>
      <c r="E35" s="372" t="s">
        <v>272</v>
      </c>
      <c r="F35" s="1025" t="s">
        <v>273</v>
      </c>
      <c r="G35" s="1026"/>
      <c r="H35" s="1026"/>
      <c r="I35" s="308"/>
      <c r="M35" s="192"/>
      <c r="N35" s="192"/>
      <c r="O35" s="192"/>
      <c r="P35" s="192"/>
      <c r="Q35" s="192"/>
      <c r="R35" s="192"/>
      <c r="S35" s="192"/>
      <c r="T35" s="192"/>
      <c r="U35" s="192"/>
      <c r="V35" s="192"/>
      <c r="W35" s="192"/>
      <c r="X35" s="192"/>
    </row>
    <row r="36" spans="1:24" s="228" customFormat="1" ht="18.75" customHeight="1">
      <c r="A36" s="192"/>
      <c r="B36" s="371" t="s">
        <v>274</v>
      </c>
      <c r="C36" s="371"/>
      <c r="D36" s="371"/>
      <c r="E36" s="372" t="s">
        <v>275</v>
      </c>
      <c r="F36" s="1025" t="s">
        <v>276</v>
      </c>
      <c r="G36" s="1027"/>
      <c r="I36" s="370"/>
      <c r="K36" s="375"/>
      <c r="L36" s="375"/>
      <c r="M36" s="375"/>
      <c r="N36" s="375"/>
      <c r="O36" s="192"/>
      <c r="P36" s="192"/>
      <c r="Q36" s="192"/>
      <c r="R36" s="192"/>
      <c r="S36" s="192"/>
      <c r="T36" s="192"/>
      <c r="U36" s="192"/>
      <c r="V36" s="192"/>
      <c r="W36" s="192"/>
      <c r="X36" s="192"/>
    </row>
    <row r="37" spans="1:24" s="228" customFormat="1" ht="13.5" customHeight="1">
      <c r="A37" s="192"/>
      <c r="B37" s="371"/>
      <c r="C37" s="371"/>
      <c r="D37" s="371"/>
      <c r="E37" s="376" t="s">
        <v>277</v>
      </c>
      <c r="F37" s="372" t="s">
        <v>278</v>
      </c>
      <c r="G37" s="374"/>
      <c r="I37" s="370"/>
      <c r="K37" s="375"/>
      <c r="L37" s="375"/>
      <c r="M37" s="375"/>
      <c r="N37" s="375"/>
      <c r="O37" s="192"/>
      <c r="P37" s="192"/>
      <c r="Q37" s="192"/>
      <c r="R37" s="192"/>
      <c r="S37" s="192"/>
      <c r="T37" s="192"/>
      <c r="U37" s="192"/>
      <c r="V37" s="192"/>
      <c r="W37" s="192"/>
      <c r="X37" s="192"/>
    </row>
    <row r="38" spans="1:24" s="228" customFormat="1" ht="13.5" customHeight="1">
      <c r="A38" s="192"/>
      <c r="B38" s="377"/>
      <c r="C38" s="377"/>
      <c r="D38" s="377"/>
      <c r="E38" s="372" t="s">
        <v>279</v>
      </c>
      <c r="F38" s="1024" t="s">
        <v>280</v>
      </c>
      <c r="G38" s="1024"/>
      <c r="H38" s="1024"/>
      <c r="I38" s="1024"/>
      <c r="J38" s="1024"/>
      <c r="K38" s="375"/>
      <c r="L38" s="375"/>
      <c r="M38" s="375"/>
      <c r="N38" s="375"/>
      <c r="O38" s="192"/>
      <c r="P38" s="192"/>
      <c r="Q38" s="192"/>
      <c r="R38" s="192"/>
      <c r="S38" s="192"/>
      <c r="T38" s="192"/>
      <c r="U38" s="192"/>
      <c r="V38" s="192"/>
      <c r="W38" s="192"/>
      <c r="X38" s="192"/>
    </row>
    <row r="39" spans="1:24" s="228" customFormat="1" ht="13.5" customHeight="1">
      <c r="A39" s="192"/>
      <c r="B39" s="377"/>
      <c r="C39" s="377"/>
      <c r="D39" s="377"/>
      <c r="E39" s="372"/>
      <c r="F39" s="1024" t="s">
        <v>281</v>
      </c>
      <c r="G39" s="1024"/>
      <c r="H39" s="1024"/>
      <c r="I39" s="1024"/>
      <c r="J39" s="1024"/>
      <c r="K39" s="375"/>
      <c r="L39" s="375"/>
      <c r="M39" s="375"/>
      <c r="N39" s="375"/>
      <c r="O39" s="192"/>
      <c r="P39" s="192"/>
      <c r="Q39" s="192"/>
      <c r="R39" s="192"/>
      <c r="S39" s="192"/>
      <c r="T39" s="192"/>
      <c r="U39" s="192"/>
      <c r="V39" s="192"/>
      <c r="W39" s="192"/>
      <c r="X39" s="192"/>
    </row>
    <row r="40" spans="1:24" s="228" customFormat="1" ht="13.5" customHeight="1">
      <c r="A40" s="192"/>
      <c r="B40" s="377"/>
      <c r="C40" s="377"/>
      <c r="D40" s="377"/>
      <c r="E40" s="376" t="s">
        <v>277</v>
      </c>
      <c r="F40" s="372" t="s">
        <v>278</v>
      </c>
      <c r="G40" s="198"/>
      <c r="H40" s="198"/>
      <c r="I40" s="198"/>
      <c r="J40" s="198"/>
      <c r="K40" s="375"/>
      <c r="L40" s="375"/>
      <c r="M40" s="375"/>
      <c r="N40" s="375"/>
      <c r="O40" s="192"/>
      <c r="P40" s="192"/>
      <c r="Q40" s="192"/>
      <c r="R40" s="192"/>
      <c r="S40" s="192"/>
      <c r="T40" s="192"/>
      <c r="U40" s="192"/>
      <c r="V40" s="192"/>
      <c r="W40" s="192"/>
      <c r="X40" s="192"/>
    </row>
    <row r="41" spans="2:5" s="375" customFormat="1" ht="18.75" customHeight="1">
      <c r="B41" s="371" t="s">
        <v>282</v>
      </c>
      <c r="C41" s="371"/>
      <c r="D41" s="371"/>
      <c r="E41" s="372" t="s">
        <v>283</v>
      </c>
    </row>
    <row r="42" spans="2:10" s="375" customFormat="1" ht="18.75" customHeight="1">
      <c r="B42" s="371" t="s">
        <v>284</v>
      </c>
      <c r="C42" s="371"/>
      <c r="D42" s="371"/>
      <c r="E42" s="1023" t="s">
        <v>285</v>
      </c>
      <c r="F42" s="1024"/>
      <c r="G42" s="1024"/>
      <c r="H42" s="1024"/>
      <c r="I42" s="1024"/>
      <c r="J42" s="1024"/>
    </row>
    <row r="43" spans="1:24" s="228" customFormat="1" ht="18.75" customHeight="1">
      <c r="A43" s="192"/>
      <c r="B43" s="371" t="s">
        <v>157</v>
      </c>
      <c r="C43" s="371"/>
      <c r="D43" s="371"/>
      <c r="E43" s="372" t="s">
        <v>286</v>
      </c>
      <c r="I43" s="370"/>
      <c r="K43" s="375"/>
      <c r="L43" s="375"/>
      <c r="M43" s="375"/>
      <c r="N43" s="375"/>
      <c r="O43" s="192"/>
      <c r="P43" s="192"/>
      <c r="Q43" s="192"/>
      <c r="R43" s="192"/>
      <c r="S43" s="192"/>
      <c r="T43" s="192"/>
      <c r="U43" s="192"/>
      <c r="V43" s="192"/>
      <c r="W43" s="192"/>
      <c r="X43" s="192"/>
    </row>
    <row r="44" spans="2:14" s="375" customFormat="1" ht="18.75" customHeight="1">
      <c r="B44" s="371" t="s">
        <v>287</v>
      </c>
      <c r="C44" s="371"/>
      <c r="D44" s="371"/>
      <c r="E44" s="372" t="s">
        <v>283</v>
      </c>
      <c r="K44" s="333"/>
      <c r="L44" s="333"/>
      <c r="M44" s="333"/>
      <c r="N44" s="333"/>
    </row>
  </sheetData>
  <sheetProtection sheet="1"/>
  <mergeCells count="39">
    <mergeCell ref="B9:D9"/>
    <mergeCell ref="B6:D6"/>
    <mergeCell ref="B7:D7"/>
    <mergeCell ref="B4:D4"/>
    <mergeCell ref="B5:D5"/>
    <mergeCell ref="B8:D8"/>
    <mergeCell ref="B15:D15"/>
    <mergeCell ref="B12:D12"/>
    <mergeCell ref="B13:C14"/>
    <mergeCell ref="H15:I15"/>
    <mergeCell ref="B10:D10"/>
    <mergeCell ref="B11:D11"/>
    <mergeCell ref="B18:D18"/>
    <mergeCell ref="E18:F18"/>
    <mergeCell ref="G18:H18"/>
    <mergeCell ref="B19:D19"/>
    <mergeCell ref="E19:F19"/>
    <mergeCell ref="G19:H19"/>
    <mergeCell ref="B20:D20"/>
    <mergeCell ref="E20:F20"/>
    <mergeCell ref="G20:H20"/>
    <mergeCell ref="B21:D21"/>
    <mergeCell ref="B22:D22"/>
    <mergeCell ref="B23:D23"/>
    <mergeCell ref="B24:D24"/>
    <mergeCell ref="B27:D27"/>
    <mergeCell ref="B28:D28"/>
    <mergeCell ref="B29:D29"/>
    <mergeCell ref="B30:D30"/>
    <mergeCell ref="F33:I33"/>
    <mergeCell ref="E26:G26"/>
    <mergeCell ref="H26:J26"/>
    <mergeCell ref="F34:K34"/>
    <mergeCell ref="F35:H35"/>
    <mergeCell ref="F36:G36"/>
    <mergeCell ref="F38:J38"/>
    <mergeCell ref="F39:J39"/>
    <mergeCell ref="E42:J42"/>
  </mergeCells>
  <dataValidations count="7">
    <dataValidation type="decimal" allowBlank="1" showInputMessage="1" showErrorMessage="1" sqref="E10">
      <formula1>0</formula1>
      <formula2>1</formula2>
    </dataValidation>
    <dataValidation type="decimal" allowBlank="1" showInputMessage="1" showErrorMessage="1" sqref="E11">
      <formula1>0.01</formula1>
      <formula2>1</formula2>
    </dataValidation>
    <dataValidation type="whole" allowBlank="1" showInputMessage="1" showErrorMessage="1" sqref="E12">
      <formula1>0</formula1>
      <formula2>52</formula2>
    </dataValidation>
    <dataValidation type="whole" allowBlank="1" showInputMessage="1" showErrorMessage="1" sqref="E6">
      <formula1>1</formula1>
      <formula2>1500</formula2>
    </dataValidation>
    <dataValidation type="whole" allowBlank="1" showInputMessage="1" showErrorMessage="1" sqref="E7">
      <formula1>1</formula1>
      <formula2>2500</formula2>
    </dataValidation>
    <dataValidation type="decimal" allowBlank="1" showInputMessage="1" showErrorMessage="1" sqref="E8">
      <formula1>0.1</formula1>
      <formula2>10</formula2>
    </dataValidation>
    <dataValidation type="decimal" allowBlank="1" showInputMessage="1" showErrorMessage="1" sqref="E9">
      <formula1>0.1</formula1>
      <formula2>300</formula2>
    </dataValidation>
  </dataValidations>
  <hyperlinks>
    <hyperlink ref="F35:H35" r:id="rId1" display="DOE Technical Support Document, 2009"/>
    <hyperlink ref="F38:J38" r:id="rId2" display="Federal standard, Code of Federal Regulations, Title 10, Part 430, Subpart C"/>
    <hyperlink ref="E42:J42" r:id="rId3" display="- DOE Federal Test Procedure, Code of Federal Regulations, Title 10, Part 430, Subpart B, Appendix J"/>
    <hyperlink ref="F34:K34" r:id="rId4" display="- DOE Federal Test Procedure, Code of Federal Regulations, Title 10, Part 430, Subpart B, Appendix J"/>
    <hyperlink ref="F33:I33" r:id="rId5" display="DOE Federal Test procedure, Federal Register, 77 FR 13888"/>
    <hyperlink ref="F36" r:id="rId6" display="ENERGY STAR specification"/>
    <hyperlink ref="F39:J39" r:id="rId7" display="Commercial - Federal standard, Code of Federal Regulations, Title 10, Part 431, Subpart I"/>
  </hyperlinks>
  <printOptions/>
  <pageMargins left="0.7" right="0.7" top="0.75" bottom="0.75" header="0.3" footer="0.3"/>
  <pageSetup horizontalDpi="600" verticalDpi="600" orientation="portrait" r:id="rId8"/>
</worksheet>
</file>

<file path=xl/worksheets/sheet16.xml><?xml version="1.0" encoding="utf-8"?>
<worksheet xmlns="http://schemas.openxmlformats.org/spreadsheetml/2006/main" xmlns:r="http://schemas.openxmlformats.org/officeDocument/2006/relationships">
  <sheetPr codeName="x_Dishwasher_Calcs">
    <tabColor theme="0" tint="-0.3499799966812134"/>
    <pageSetUpPr fitToPage="1"/>
  </sheetPr>
  <dimension ref="A1:M96"/>
  <sheetViews>
    <sheetView showGridLines="0" zoomScaleSheetLayoutView="85" zoomScalePageLayoutView="0" workbookViewId="0" topLeftCell="A1">
      <pane ySplit="1" topLeftCell="A2" activePane="bottomLeft" state="frozen"/>
      <selection pane="topLeft" activeCell="J6" sqref="J6"/>
      <selection pane="bottomLeft" activeCell="A2" sqref="A2"/>
    </sheetView>
  </sheetViews>
  <sheetFormatPr defaultColWidth="14.00390625" defaultRowHeight="15"/>
  <cols>
    <col min="1" max="1" width="4.00390625" style="119" customWidth="1"/>
    <col min="2" max="2" width="27.8515625" style="199" customWidth="1"/>
    <col min="3" max="3" width="14.57421875" style="200" customWidth="1"/>
    <col min="4" max="4" width="14.57421875" style="113" customWidth="1"/>
    <col min="5" max="13" width="14.57421875" style="129" customWidth="1"/>
    <col min="14" max="16384" width="14.00390625" style="113" customWidth="1"/>
  </cols>
  <sheetData>
    <row r="1" spans="1:9" s="95" customFormat="1" ht="21" customHeight="1">
      <c r="A1" s="91" t="s">
        <v>109</v>
      </c>
      <c r="B1" s="92"/>
      <c r="C1" s="93"/>
      <c r="D1" s="93"/>
      <c r="E1" s="94"/>
      <c r="F1" s="94"/>
      <c r="G1" s="94"/>
      <c r="I1" s="96"/>
    </row>
    <row r="2" spans="1:9" s="95" customFormat="1" ht="21" customHeight="1">
      <c r="A2" s="311" t="s">
        <v>479</v>
      </c>
      <c r="B2" s="92"/>
      <c r="C2" s="93"/>
      <c r="D2" s="93"/>
      <c r="E2" s="94"/>
      <c r="F2" s="94"/>
      <c r="G2" s="94"/>
      <c r="I2" s="96"/>
    </row>
    <row r="3" spans="1:13" s="99" customFormat="1" ht="16.5" customHeight="1">
      <c r="A3" s="97" t="s">
        <v>190</v>
      </c>
      <c r="B3" s="98"/>
      <c r="H3" s="100"/>
      <c r="K3" s="101"/>
      <c r="L3" s="102"/>
      <c r="M3" s="103"/>
    </row>
    <row r="4" spans="1:10" s="105" customFormat="1" ht="12.75">
      <c r="A4" s="104"/>
      <c r="B4" s="1052"/>
      <c r="C4" s="1054" t="s">
        <v>110</v>
      </c>
      <c r="D4" s="1053"/>
      <c r="E4" s="1053"/>
      <c r="F4" s="1054" t="s">
        <v>111</v>
      </c>
      <c r="G4" s="1053"/>
      <c r="H4" s="1053"/>
      <c r="I4" s="1053"/>
      <c r="J4" s="1053"/>
    </row>
    <row r="5" spans="1:13" s="105" customFormat="1" ht="24">
      <c r="A5" s="104"/>
      <c r="B5" s="1053"/>
      <c r="C5" s="106" t="s">
        <v>112</v>
      </c>
      <c r="D5" s="106" t="s">
        <v>113</v>
      </c>
      <c r="E5" s="106" t="s">
        <v>114</v>
      </c>
      <c r="F5" s="253" t="s">
        <v>112</v>
      </c>
      <c r="G5" s="253" t="s">
        <v>113</v>
      </c>
      <c r="H5" s="276" t="s">
        <v>114</v>
      </c>
      <c r="I5" s="253" t="s">
        <v>115</v>
      </c>
      <c r="J5" s="276" t="s">
        <v>116</v>
      </c>
      <c r="K5" s="107"/>
      <c r="M5" s="107"/>
    </row>
    <row r="6" spans="1:13" s="105" customFormat="1" ht="12.75">
      <c r="A6" s="104"/>
      <c r="B6" s="287" t="s">
        <v>117</v>
      </c>
      <c r="C6" s="127"/>
      <c r="D6" s="127"/>
      <c r="E6" s="127"/>
      <c r="F6" s="247"/>
      <c r="G6" s="247"/>
      <c r="H6" s="284"/>
      <c r="I6" s="246"/>
      <c r="J6" s="278"/>
      <c r="K6" s="107"/>
      <c r="M6" s="107"/>
    </row>
    <row r="7" spans="1:13" s="105" customFormat="1" ht="12">
      <c r="A7" s="274"/>
      <c r="B7" s="288" t="s">
        <v>118</v>
      </c>
      <c r="C7" s="109">
        <v>365</v>
      </c>
      <c r="D7" s="109">
        <v>75</v>
      </c>
      <c r="E7" s="110">
        <v>50</v>
      </c>
      <c r="F7" s="245">
        <f>IF('8 Dishwashing'!OperatingDays&gt;0,'8 Dishwashing'!OperatingDays,C7)</f>
        <v>365</v>
      </c>
      <c r="G7" s="245" t="e">
        <f>VLOOKUP("Low_"&amp;B7,'8 Dishwashing'!A$17:H$19,8,FALSE)</f>
        <v>#N/A</v>
      </c>
      <c r="H7" s="277">
        <v>50</v>
      </c>
      <c r="I7" s="246">
        <f>HotWaterFuelType</f>
        <v>0</v>
      </c>
      <c r="J7" s="279" t="s">
        <v>39</v>
      </c>
      <c r="K7" s="107"/>
      <c r="M7" s="107"/>
    </row>
    <row r="8" spans="1:13" s="105" customFormat="1" ht="12" customHeight="1">
      <c r="A8" s="274"/>
      <c r="B8" s="288" t="s">
        <v>221</v>
      </c>
      <c r="C8" s="109">
        <v>365</v>
      </c>
      <c r="D8" s="109">
        <v>280</v>
      </c>
      <c r="E8" s="110">
        <v>0</v>
      </c>
      <c r="F8" s="245">
        <f>IF('8 Dishwashing'!OperatingDays&gt;0,'8 Dishwashing'!OperatingDays,C8)</f>
        <v>365</v>
      </c>
      <c r="G8" s="245" t="e">
        <f>VLOOKUP("Low_"&amp;B8,'8 Dishwashing'!A$17:H$19,8,FALSE)</f>
        <v>#N/A</v>
      </c>
      <c r="H8" s="277">
        <v>0</v>
      </c>
      <c r="I8" s="246">
        <f>HotWaterFuelType</f>
        <v>0</v>
      </c>
      <c r="J8" s="280"/>
      <c r="K8" s="107"/>
      <c r="M8" s="107"/>
    </row>
    <row r="9" spans="1:13" s="105" customFormat="1" ht="12.75">
      <c r="A9" s="274"/>
      <c r="B9" s="288" t="s">
        <v>220</v>
      </c>
      <c r="C9" s="109">
        <v>365</v>
      </c>
      <c r="D9" s="109">
        <v>400</v>
      </c>
      <c r="E9" s="110">
        <v>0</v>
      </c>
      <c r="F9" s="245">
        <f>IF('8 Dishwashing'!OperatingDays&gt;0,'8 Dishwashing'!OperatingDays,C9)</f>
        <v>365</v>
      </c>
      <c r="G9" s="245" t="e">
        <f>VLOOKUP("Low_"&amp;B9,'8 Dishwashing'!A$17:H$19,8,FALSE)</f>
        <v>#N/A</v>
      </c>
      <c r="H9" s="277">
        <v>0</v>
      </c>
      <c r="I9" s="246">
        <f>HotWaterFuelType</f>
        <v>0</v>
      </c>
      <c r="J9" s="280"/>
      <c r="K9" s="107"/>
      <c r="L9" s="111"/>
      <c r="M9" s="107"/>
    </row>
    <row r="10" spans="1:13" s="105" customFormat="1" ht="12" customHeight="1">
      <c r="A10" s="274"/>
      <c r="B10" s="288" t="s">
        <v>219</v>
      </c>
      <c r="C10" s="109">
        <v>365</v>
      </c>
      <c r="D10" s="109">
        <v>600</v>
      </c>
      <c r="E10" s="110">
        <v>970</v>
      </c>
      <c r="F10" s="245">
        <f>IF('8 Dishwashing'!OperatingDays&gt;0,'8 Dishwashing'!OperatingDays,C10)</f>
        <v>365</v>
      </c>
      <c r="G10" s="245" t="e">
        <f>VLOOKUP("Low_"&amp;B10,'8 Dishwashing'!A$17:H$19,8,FALSE)</f>
        <v>#N/A</v>
      </c>
      <c r="H10" s="277">
        <v>970</v>
      </c>
      <c r="I10" s="246">
        <f>HotWaterFuelType</f>
        <v>0</v>
      </c>
      <c r="J10" s="281"/>
      <c r="K10" s="107"/>
      <c r="M10" s="107"/>
    </row>
    <row r="11" spans="1:13" s="105" customFormat="1" ht="12.75">
      <c r="A11" s="274"/>
      <c r="B11" s="287" t="s">
        <v>119</v>
      </c>
      <c r="C11" s="239"/>
      <c r="D11" s="239"/>
      <c r="E11" s="239"/>
      <c r="F11" s="247"/>
      <c r="G11" s="247"/>
      <c r="H11" s="284"/>
      <c r="I11" s="246"/>
      <c r="J11" s="282"/>
      <c r="K11" s="107"/>
      <c r="M11" s="107"/>
    </row>
    <row r="12" spans="1:10" s="105" customFormat="1" ht="12">
      <c r="A12" s="274"/>
      <c r="B12" s="288" t="s">
        <v>118</v>
      </c>
      <c r="C12" s="109">
        <v>365</v>
      </c>
      <c r="D12" s="109">
        <v>75</v>
      </c>
      <c r="E12" s="110">
        <v>120</v>
      </c>
      <c r="F12" s="245">
        <f>IF('8 Dishwashing'!OperatingDays&gt;0,'8 Dishwashing'!OperatingDays,C12)</f>
        <v>365</v>
      </c>
      <c r="G12" s="245" t="e">
        <f>VLOOKUP("High_"&amp;B12,'8 Dishwashing'!A$17:H$19,8,FALSE)</f>
        <v>#N/A</v>
      </c>
      <c r="H12" s="277">
        <v>120</v>
      </c>
      <c r="I12" s="246">
        <f>HotWaterFuelType</f>
        <v>0</v>
      </c>
      <c r="J12" s="283" t="s">
        <v>187</v>
      </c>
    </row>
    <row r="13" spans="1:13" s="105" customFormat="1" ht="12">
      <c r="A13" s="274"/>
      <c r="B13" s="288" t="s">
        <v>221</v>
      </c>
      <c r="C13" s="109">
        <v>365</v>
      </c>
      <c r="D13" s="109">
        <v>280</v>
      </c>
      <c r="E13" s="110">
        <v>770</v>
      </c>
      <c r="F13" s="245">
        <f>IF('8 Dishwashing'!OperatingDays&gt;0,'8 Dishwashing'!OperatingDays,C13)</f>
        <v>365</v>
      </c>
      <c r="G13" s="245" t="e">
        <f>VLOOKUP("High_"&amp;B13,'8 Dishwashing'!A$17:H$19,8,FALSE)</f>
        <v>#N/A</v>
      </c>
      <c r="H13" s="277">
        <v>770</v>
      </c>
      <c r="I13" s="246">
        <f>HotWaterFuelType</f>
        <v>0</v>
      </c>
      <c r="J13" s="282" t="s">
        <v>187</v>
      </c>
      <c r="K13" s="107"/>
      <c r="M13" s="107"/>
    </row>
    <row r="14" spans="1:13" s="105" customFormat="1" ht="12">
      <c r="A14" s="274"/>
      <c r="B14" s="288" t="s">
        <v>220</v>
      </c>
      <c r="C14" s="109">
        <v>365</v>
      </c>
      <c r="D14" s="109">
        <v>400</v>
      </c>
      <c r="E14" s="110">
        <v>2050</v>
      </c>
      <c r="F14" s="245">
        <f>IF('8 Dishwashing'!OperatingDays&gt;0,'8 Dishwashing'!OperatingDays,C14)</f>
        <v>365</v>
      </c>
      <c r="G14" s="245" t="e">
        <f>VLOOKUP("High_"&amp;B14,'8 Dishwashing'!A$17:H$19,8,FALSE)</f>
        <v>#N/A</v>
      </c>
      <c r="H14" s="277">
        <v>2050</v>
      </c>
      <c r="I14" s="246">
        <f>HotWaterFuelType</f>
        <v>0</v>
      </c>
      <c r="J14" s="282" t="s">
        <v>187</v>
      </c>
      <c r="M14" s="107"/>
    </row>
    <row r="15" spans="1:13" s="105" customFormat="1" ht="12">
      <c r="A15" s="274"/>
      <c r="B15" s="288" t="s">
        <v>219</v>
      </c>
      <c r="C15" s="109">
        <v>365</v>
      </c>
      <c r="D15" s="109">
        <v>600</v>
      </c>
      <c r="E15" s="110">
        <v>970</v>
      </c>
      <c r="F15" s="245">
        <f>IF('8 Dishwashing'!OperatingDays&gt;0,'8 Dishwashing'!OperatingDays,C15)</f>
        <v>365</v>
      </c>
      <c r="G15" s="245" t="e">
        <f>VLOOKUP("High_"&amp;B15,'8 Dishwashing'!A$17:H$19,8,FALSE)</f>
        <v>#N/A</v>
      </c>
      <c r="H15" s="277">
        <v>970</v>
      </c>
      <c r="I15" s="246">
        <f>HotWaterFuelType</f>
        <v>0</v>
      </c>
      <c r="J15" s="282" t="s">
        <v>187</v>
      </c>
      <c r="K15" s="107"/>
      <c r="M15" s="107"/>
    </row>
    <row r="16" spans="1:13" s="105" customFormat="1" ht="12">
      <c r="A16" s="274"/>
      <c r="B16" s="288" t="s">
        <v>120</v>
      </c>
      <c r="C16" s="109">
        <v>365</v>
      </c>
      <c r="D16" s="109">
        <v>280</v>
      </c>
      <c r="E16" s="110">
        <v>1710</v>
      </c>
      <c r="F16" s="245">
        <f>IF('8 Dishwashing'!OperatingDays&gt;0,'8 Dishwashing'!OperatingDays,C16)</f>
        <v>365</v>
      </c>
      <c r="G16" s="245" t="e">
        <f>VLOOKUP("High_"&amp;B16,'8 Dishwashing'!A$17:H$19,8,FALSE)</f>
        <v>#N/A</v>
      </c>
      <c r="H16" s="277">
        <v>1710</v>
      </c>
      <c r="I16" s="246">
        <f>HotWaterFuelType</f>
        <v>0</v>
      </c>
      <c r="J16" s="282" t="s">
        <v>187</v>
      </c>
      <c r="K16" s="107"/>
      <c r="M16" s="107"/>
    </row>
    <row r="17" spans="1:2" s="99" customFormat="1" ht="28.5" customHeight="1">
      <c r="A17" s="97" t="s">
        <v>191</v>
      </c>
      <c r="B17" s="98"/>
    </row>
    <row r="18" spans="1:6" s="95" customFormat="1" ht="12" customHeight="1">
      <c r="A18" s="112"/>
      <c r="B18" s="1061"/>
      <c r="C18" s="1064" t="s">
        <v>121</v>
      </c>
      <c r="D18" s="1065"/>
      <c r="E18" s="1055" t="s">
        <v>122</v>
      </c>
      <c r="F18" s="113"/>
    </row>
    <row r="19" spans="1:10" s="95" customFormat="1" ht="12" customHeight="1">
      <c r="A19" s="112"/>
      <c r="B19" s="1062"/>
      <c r="C19" s="1066"/>
      <c r="D19" s="1067"/>
      <c r="E19" s="1068"/>
      <c r="F19" s="113"/>
      <c r="G19" s="1057" t="s">
        <v>123</v>
      </c>
      <c r="H19" s="1053"/>
      <c r="I19" s="115">
        <v>1</v>
      </c>
      <c r="J19" s="116" t="s">
        <v>124</v>
      </c>
    </row>
    <row r="20" spans="1:10" s="95" customFormat="1" ht="12" customHeight="1">
      <c r="A20" s="112"/>
      <c r="B20" s="1063"/>
      <c r="C20" s="117" t="s">
        <v>34</v>
      </c>
      <c r="D20" s="117" t="s">
        <v>125</v>
      </c>
      <c r="E20" s="1069"/>
      <c r="F20" s="113"/>
      <c r="G20" s="1057" t="s">
        <v>126</v>
      </c>
      <c r="H20" s="1053"/>
      <c r="I20" s="115">
        <f>61.4/7.48</f>
        <v>8.208556149732619</v>
      </c>
      <c r="J20" s="118" t="s">
        <v>127</v>
      </c>
    </row>
    <row r="21" spans="2:13" ht="12">
      <c r="B21" s="120" t="s">
        <v>128</v>
      </c>
      <c r="C21" s="121">
        <v>0.98</v>
      </c>
      <c r="D21" s="121">
        <v>0.8</v>
      </c>
      <c r="E21" s="122">
        <v>70</v>
      </c>
      <c r="F21" s="113"/>
      <c r="G21" s="113"/>
      <c r="H21" s="113"/>
      <c r="I21" s="113"/>
      <c r="J21" s="113"/>
      <c r="K21" s="113"/>
      <c r="L21" s="113"/>
      <c r="M21" s="113"/>
    </row>
    <row r="22" spans="2:13" ht="12">
      <c r="B22" s="120" t="s">
        <v>129</v>
      </c>
      <c r="C22" s="121">
        <v>0.98</v>
      </c>
      <c r="D22" s="121">
        <v>0.8</v>
      </c>
      <c r="E22" s="122">
        <v>40</v>
      </c>
      <c r="F22" s="113"/>
      <c r="G22" s="113"/>
      <c r="H22" s="113"/>
      <c r="I22" s="113"/>
      <c r="J22" s="113"/>
      <c r="K22" s="113"/>
      <c r="L22" s="113"/>
      <c r="M22" s="113"/>
    </row>
    <row r="23" spans="1:2" s="95" customFormat="1" ht="12" customHeight="1">
      <c r="A23" s="112"/>
      <c r="B23" s="123"/>
    </row>
    <row r="24" spans="1:10" s="99" customFormat="1" ht="13.5" customHeight="1">
      <c r="A24" s="124"/>
      <c r="B24" s="1070"/>
      <c r="C24" s="1055" t="s">
        <v>130</v>
      </c>
      <c r="D24" s="1050" t="s">
        <v>131</v>
      </c>
      <c r="E24" s="1051"/>
      <c r="F24" s="1050" t="s">
        <v>132</v>
      </c>
      <c r="G24" s="1051"/>
      <c r="H24" s="1050" t="s">
        <v>133</v>
      </c>
      <c r="I24" s="1051"/>
      <c r="J24" s="1055" t="s">
        <v>134</v>
      </c>
    </row>
    <row r="25" spans="1:10" s="99" customFormat="1" ht="13.5" customHeight="1">
      <c r="A25" s="124"/>
      <c r="B25" s="1071"/>
      <c r="C25" s="1056"/>
      <c r="D25" s="125" t="s">
        <v>135</v>
      </c>
      <c r="E25" s="125" t="s">
        <v>136</v>
      </c>
      <c r="F25" s="125" t="s">
        <v>135</v>
      </c>
      <c r="G25" s="125" t="s">
        <v>136</v>
      </c>
      <c r="H25" s="106" t="s">
        <v>135</v>
      </c>
      <c r="I25" s="106" t="s">
        <v>136</v>
      </c>
      <c r="J25" s="1056"/>
    </row>
    <row r="26" spans="1:13" s="95" customFormat="1" ht="12" customHeight="1">
      <c r="A26" s="112"/>
      <c r="B26" s="126" t="str">
        <f>B6</f>
        <v>Low Temperature</v>
      </c>
      <c r="C26" s="127"/>
      <c r="D26" s="127"/>
      <c r="E26" s="127"/>
      <c r="F26" s="127"/>
      <c r="G26" s="127"/>
      <c r="H26" s="127"/>
      <c r="I26" s="127"/>
      <c r="J26" s="128"/>
      <c r="K26" s="129"/>
      <c r="L26" s="129"/>
      <c r="M26" s="129"/>
    </row>
    <row r="27" spans="1:10" s="95" customFormat="1" ht="12" customHeight="1">
      <c r="A27" s="112"/>
      <c r="B27" s="108" t="str">
        <f aca="true" t="shared" si="0" ref="B27:B36">B7</f>
        <v>Under Counter</v>
      </c>
      <c r="C27" s="130">
        <v>18</v>
      </c>
      <c r="D27" s="131">
        <v>2</v>
      </c>
      <c r="E27" s="132">
        <v>2</v>
      </c>
      <c r="F27" s="133">
        <v>1.73</v>
      </c>
      <c r="G27" s="134">
        <v>1.19</v>
      </c>
      <c r="H27" s="133">
        <v>0.5</v>
      </c>
      <c r="I27" s="134">
        <v>0.5</v>
      </c>
      <c r="J27" s="135">
        <v>10</v>
      </c>
    </row>
    <row r="28" spans="1:11" s="95" customFormat="1" ht="12" customHeight="1">
      <c r="A28" s="112"/>
      <c r="B28" s="108" t="str">
        <f t="shared" si="0"/>
        <v>Stationary Single-Tank Door</v>
      </c>
      <c r="C28" s="130">
        <v>18</v>
      </c>
      <c r="D28" s="131">
        <v>1.5</v>
      </c>
      <c r="E28" s="132">
        <v>1.5</v>
      </c>
      <c r="F28" s="133">
        <v>2.1</v>
      </c>
      <c r="G28" s="134">
        <v>1.18</v>
      </c>
      <c r="H28" s="133">
        <v>0.6</v>
      </c>
      <c r="I28" s="134">
        <v>0.6</v>
      </c>
      <c r="J28" s="130">
        <v>15</v>
      </c>
      <c r="K28" s="99"/>
    </row>
    <row r="29" spans="1:10" s="95" customFormat="1" ht="12" customHeight="1">
      <c r="A29" s="112"/>
      <c r="B29" s="108" t="str">
        <f t="shared" si="0"/>
        <v>Single-Tank Conveyor</v>
      </c>
      <c r="C29" s="130">
        <v>18</v>
      </c>
      <c r="D29" s="131">
        <v>0.3</v>
      </c>
      <c r="E29" s="132">
        <v>0.3</v>
      </c>
      <c r="F29" s="133">
        <v>1.31</v>
      </c>
      <c r="G29" s="134">
        <v>0.79</v>
      </c>
      <c r="H29" s="133">
        <v>1.6</v>
      </c>
      <c r="I29" s="134">
        <v>1.5</v>
      </c>
      <c r="J29" s="130">
        <v>20</v>
      </c>
    </row>
    <row r="30" spans="1:11" s="95" customFormat="1" ht="12" customHeight="1">
      <c r="A30" s="112"/>
      <c r="B30" s="108" t="str">
        <f t="shared" si="0"/>
        <v>Multi-Tank Conveyor</v>
      </c>
      <c r="C30" s="130">
        <v>18</v>
      </c>
      <c r="D30" s="131">
        <v>0.3</v>
      </c>
      <c r="E30" s="132">
        <v>0.3</v>
      </c>
      <c r="F30" s="133">
        <v>1.04</v>
      </c>
      <c r="G30" s="134">
        <v>0.54</v>
      </c>
      <c r="H30" s="133">
        <v>2</v>
      </c>
      <c r="I30" s="134">
        <v>2</v>
      </c>
      <c r="J30" s="130">
        <v>20</v>
      </c>
      <c r="K30" s="99"/>
    </row>
    <row r="31" spans="1:11" s="95" customFormat="1" ht="12" customHeight="1">
      <c r="A31" s="112"/>
      <c r="B31" s="172" t="str">
        <f t="shared" si="0"/>
        <v>High Temperature</v>
      </c>
      <c r="C31" s="272"/>
      <c r="D31" s="272"/>
      <c r="E31" s="272"/>
      <c r="F31" s="272"/>
      <c r="G31" s="272"/>
      <c r="H31" s="272"/>
      <c r="I31" s="272"/>
      <c r="J31" s="273"/>
      <c r="K31" s="99"/>
    </row>
    <row r="32" spans="1:13" s="95" customFormat="1" ht="12" customHeight="1">
      <c r="A32" s="112"/>
      <c r="B32" s="108" t="str">
        <f t="shared" si="0"/>
        <v>Under Counter</v>
      </c>
      <c r="C32" s="130">
        <v>18</v>
      </c>
      <c r="D32" s="131">
        <v>2</v>
      </c>
      <c r="E32" s="132">
        <v>2</v>
      </c>
      <c r="F32" s="133">
        <v>1.09</v>
      </c>
      <c r="G32" s="134">
        <v>0.86</v>
      </c>
      <c r="H32" s="133">
        <v>0.76</v>
      </c>
      <c r="I32" s="134">
        <v>0.5</v>
      </c>
      <c r="J32" s="135">
        <v>10</v>
      </c>
      <c r="K32" s="99"/>
      <c r="L32" s="129"/>
      <c r="M32" s="129"/>
    </row>
    <row r="33" spans="1:13" s="95" customFormat="1" ht="12" customHeight="1">
      <c r="A33" s="112"/>
      <c r="B33" s="108" t="str">
        <f t="shared" si="0"/>
        <v>Stationary Single-Tank Door</v>
      </c>
      <c r="C33" s="130">
        <v>18</v>
      </c>
      <c r="D33" s="131">
        <v>1</v>
      </c>
      <c r="E33" s="132">
        <v>1</v>
      </c>
      <c r="F33" s="133">
        <v>1.29</v>
      </c>
      <c r="G33" s="134">
        <v>0.89</v>
      </c>
      <c r="H33" s="133">
        <v>0.87</v>
      </c>
      <c r="I33" s="134">
        <v>0.7</v>
      </c>
      <c r="J33" s="130">
        <v>15</v>
      </c>
      <c r="K33" s="129"/>
      <c r="L33" s="129"/>
      <c r="M33" s="129"/>
    </row>
    <row r="34" spans="1:11" s="95" customFormat="1" ht="12" customHeight="1">
      <c r="A34" s="112"/>
      <c r="B34" s="108" t="str">
        <f t="shared" si="0"/>
        <v>Single-Tank Conveyor</v>
      </c>
      <c r="C34" s="130">
        <v>18</v>
      </c>
      <c r="D34" s="131">
        <v>0.3</v>
      </c>
      <c r="E34" s="132">
        <v>0.3</v>
      </c>
      <c r="F34" s="133">
        <v>0.87</v>
      </c>
      <c r="G34" s="134">
        <v>0.7</v>
      </c>
      <c r="H34" s="133">
        <v>1.93</v>
      </c>
      <c r="I34" s="134">
        <v>1.5</v>
      </c>
      <c r="J34" s="130">
        <v>20</v>
      </c>
      <c r="K34" s="99"/>
    </row>
    <row r="35" spans="1:13" s="95" customFormat="1" ht="12" customHeight="1">
      <c r="A35" s="112"/>
      <c r="B35" s="108" t="str">
        <f t="shared" si="0"/>
        <v>Multi-Tank Conveyor</v>
      </c>
      <c r="C35" s="130">
        <v>18</v>
      </c>
      <c r="D35" s="131">
        <v>0.2</v>
      </c>
      <c r="E35" s="132">
        <v>0.2</v>
      </c>
      <c r="F35" s="133">
        <v>0.97</v>
      </c>
      <c r="G35" s="134">
        <v>0.54</v>
      </c>
      <c r="H35" s="133">
        <v>2.59</v>
      </c>
      <c r="I35" s="134">
        <v>2.25</v>
      </c>
      <c r="J35" s="130">
        <v>20</v>
      </c>
      <c r="K35" s="129"/>
      <c r="L35" s="129"/>
      <c r="M35" s="129"/>
    </row>
    <row r="36" spans="1:11" s="95" customFormat="1" ht="12" customHeight="1">
      <c r="A36" s="112"/>
      <c r="B36" s="108" t="str">
        <f t="shared" si="0"/>
        <v>Pot, Pan, and Utensil</v>
      </c>
      <c r="C36" s="130">
        <v>18</v>
      </c>
      <c r="D36" s="131">
        <v>3</v>
      </c>
      <c r="E36" s="132">
        <v>3</v>
      </c>
      <c r="F36" s="133">
        <v>0.7</v>
      </c>
      <c r="G36" s="134">
        <v>0.58</v>
      </c>
      <c r="H36" s="133">
        <v>1.2</v>
      </c>
      <c r="I36" s="134">
        <v>1.2</v>
      </c>
      <c r="J36" s="130">
        <v>10</v>
      </c>
      <c r="K36" s="99"/>
    </row>
    <row r="37" spans="1:12" s="99" customFormat="1" ht="28.5" customHeight="1">
      <c r="A37" s="97" t="s">
        <v>137</v>
      </c>
      <c r="B37" s="98"/>
      <c r="E37" s="136"/>
      <c r="F37" s="137"/>
      <c r="G37" s="138"/>
      <c r="H37" s="139"/>
      <c r="I37" s="140"/>
      <c r="J37" s="141"/>
      <c r="K37" s="142"/>
      <c r="L37" s="143"/>
    </row>
    <row r="38" spans="1:4" s="95" customFormat="1" ht="12" customHeight="1">
      <c r="A38" s="112"/>
      <c r="B38" s="114" t="s">
        <v>138</v>
      </c>
      <c r="C38" s="106" t="s">
        <v>34</v>
      </c>
      <c r="D38" s="106" t="s">
        <v>125</v>
      </c>
    </row>
    <row r="39" spans="1:4" s="95" customFormat="1" ht="12" customHeight="1">
      <c r="A39" s="112"/>
      <c r="B39" s="114"/>
      <c r="C39" s="144" t="s">
        <v>139</v>
      </c>
      <c r="D39" s="144" t="s">
        <v>140</v>
      </c>
    </row>
    <row r="40" spans="1:4" s="95" customFormat="1" ht="12" customHeight="1">
      <c r="A40" s="112"/>
      <c r="B40" s="145" t="s">
        <v>128</v>
      </c>
      <c r="C40" s="146">
        <f>E21*I19*I20/C21/VLOOKUP("kWh",Conversions!D29:E30,2,FALSE)</f>
        <v>0.17179180757885015</v>
      </c>
      <c r="D40" s="147">
        <f>E21*I19*I20/D21/VLOOKUP("Therm",Conversions!D29:E30,2,FALSE)</f>
        <v>0.007182486631016042</v>
      </c>
    </row>
    <row r="41" spans="1:4" s="95" customFormat="1" ht="12" customHeight="1">
      <c r="A41" s="112"/>
      <c r="B41" s="145" t="s">
        <v>129</v>
      </c>
      <c r="C41" s="146">
        <f>E22*I19*I20/C22/VLOOKUP("kWh",Conversions!D29:E30,2,FALSE)</f>
        <v>0.09816674718791438</v>
      </c>
      <c r="D41" s="147">
        <f>E22*I19*I20/D22/VLOOKUP("Therm",Conversions!D29:E30,2,FALSE)</f>
        <v>0.004104278074866309</v>
      </c>
    </row>
    <row r="42" spans="1:2" s="95" customFormat="1" ht="12" customHeight="1">
      <c r="A42" s="112"/>
      <c r="B42" s="123"/>
    </row>
    <row r="43" spans="1:5" s="149" customFormat="1" ht="13.5" customHeight="1">
      <c r="A43" s="148"/>
      <c r="B43" s="1057"/>
      <c r="C43" s="1059" t="s">
        <v>141</v>
      </c>
      <c r="D43" s="1060"/>
      <c r="E43" s="1060"/>
    </row>
    <row r="44" spans="2:5" s="150" customFormat="1" ht="11.25" customHeight="1">
      <c r="B44" s="1058"/>
      <c r="C44" s="106" t="s">
        <v>135</v>
      </c>
      <c r="D44" s="106" t="s">
        <v>136</v>
      </c>
      <c r="E44" s="106" t="s">
        <v>142</v>
      </c>
    </row>
    <row r="45" spans="2:9" s="150" customFormat="1" ht="11.25" customHeight="1">
      <c r="B45" s="126" t="str">
        <f>B6</f>
        <v>Low Temperature</v>
      </c>
      <c r="C45" s="127"/>
      <c r="D45" s="127"/>
      <c r="E45" s="128"/>
      <c r="F45" s="151"/>
      <c r="G45" s="151"/>
      <c r="H45" s="151"/>
      <c r="I45" s="151"/>
    </row>
    <row r="46" spans="1:5" s="152" customFormat="1" ht="11.25" customHeight="1">
      <c r="A46" s="152" t="str">
        <f>"Low_"&amp;B46</f>
        <v>Low_Under Counter</v>
      </c>
      <c r="B46" s="108" t="str">
        <f aca="true" t="shared" si="1" ref="B46:B55">B7</f>
        <v>Under Counter</v>
      </c>
      <c r="C46" s="291" t="e">
        <f>F27*G7*F7</f>
        <v>#N/A</v>
      </c>
      <c r="D46" s="291" t="e">
        <f>G27*G7*F7</f>
        <v>#N/A</v>
      </c>
      <c r="E46" s="291">
        <f>IF(ISNA(C46),0,C46-D46)</f>
        <v>0</v>
      </c>
    </row>
    <row r="47" spans="1:5" s="152" customFormat="1" ht="11.25" customHeight="1">
      <c r="A47" s="152" t="str">
        <f>"Low_"&amp;B47</f>
        <v>Low_Stationary Single-Tank Door</v>
      </c>
      <c r="B47" s="108" t="str">
        <f t="shared" si="1"/>
        <v>Stationary Single-Tank Door</v>
      </c>
      <c r="C47" s="291" t="e">
        <f>F28*G8*F8</f>
        <v>#N/A</v>
      </c>
      <c r="D47" s="291" t="e">
        <f>G28*G8*F8</f>
        <v>#N/A</v>
      </c>
      <c r="E47" s="291">
        <f aca="true" t="shared" si="2" ref="E47:E55">IF(ISNA(C47),0,C47-D47)</f>
        <v>0</v>
      </c>
    </row>
    <row r="48" spans="1:5" s="152" customFormat="1" ht="11.25" customHeight="1">
      <c r="A48" s="152" t="str">
        <f>"Low_"&amp;B48</f>
        <v>Low_Single-Tank Conveyor</v>
      </c>
      <c r="B48" s="108" t="str">
        <f t="shared" si="1"/>
        <v>Single-Tank Conveyor</v>
      </c>
      <c r="C48" s="291" t="e">
        <f>F29*G9*F9</f>
        <v>#N/A</v>
      </c>
      <c r="D48" s="291" t="e">
        <f>G29*G9*F9</f>
        <v>#N/A</v>
      </c>
      <c r="E48" s="291">
        <f t="shared" si="2"/>
        <v>0</v>
      </c>
    </row>
    <row r="49" spans="1:5" s="152" customFormat="1" ht="11.25" customHeight="1">
      <c r="A49" s="152" t="str">
        <f>"Low_"&amp;B49</f>
        <v>Low_Multi-Tank Conveyor</v>
      </c>
      <c r="B49" s="108" t="str">
        <f t="shared" si="1"/>
        <v>Multi-Tank Conveyor</v>
      </c>
      <c r="C49" s="291" t="e">
        <f>F30*G10*F10</f>
        <v>#N/A</v>
      </c>
      <c r="D49" s="291" t="e">
        <f>G30*G10*F10</f>
        <v>#N/A</v>
      </c>
      <c r="E49" s="291">
        <f t="shared" si="2"/>
        <v>0</v>
      </c>
    </row>
    <row r="50" spans="1:9" s="149" customFormat="1" ht="11.25" customHeight="1">
      <c r="A50" s="148"/>
      <c r="B50" s="172" t="str">
        <f t="shared" si="1"/>
        <v>High Temperature</v>
      </c>
      <c r="C50" s="292"/>
      <c r="D50" s="292"/>
      <c r="E50" s="292"/>
      <c r="F50" s="151"/>
      <c r="G50" s="151"/>
      <c r="H50" s="151"/>
      <c r="I50" s="151"/>
    </row>
    <row r="51" spans="1:5" s="155" customFormat="1" ht="11.25" customHeight="1">
      <c r="A51" s="152" t="str">
        <f>"High_"&amp;B51</f>
        <v>High_Under Counter</v>
      </c>
      <c r="B51" s="108" t="str">
        <f t="shared" si="1"/>
        <v>Under Counter</v>
      </c>
      <c r="C51" s="291" t="e">
        <f>F32*G12*F12</f>
        <v>#N/A</v>
      </c>
      <c r="D51" s="291" t="e">
        <f>G32*G12*F12</f>
        <v>#N/A</v>
      </c>
      <c r="E51" s="291">
        <f t="shared" si="2"/>
        <v>0</v>
      </c>
    </row>
    <row r="52" spans="1:5" s="155" customFormat="1" ht="11.25" customHeight="1">
      <c r="A52" s="152" t="str">
        <f>"High_"&amp;B52</f>
        <v>High_Stationary Single-Tank Door</v>
      </c>
      <c r="B52" s="108" t="str">
        <f t="shared" si="1"/>
        <v>Stationary Single-Tank Door</v>
      </c>
      <c r="C52" s="291" t="e">
        <f>F33*G13*F13</f>
        <v>#N/A</v>
      </c>
      <c r="D52" s="291" t="e">
        <f>G33*G13*F13</f>
        <v>#N/A</v>
      </c>
      <c r="E52" s="291">
        <f t="shared" si="2"/>
        <v>0</v>
      </c>
    </row>
    <row r="53" spans="1:5" s="155" customFormat="1" ht="11.25" customHeight="1">
      <c r="A53" s="152" t="str">
        <f>"High_"&amp;B53</f>
        <v>High_Single-Tank Conveyor</v>
      </c>
      <c r="B53" s="108" t="str">
        <f t="shared" si="1"/>
        <v>Single-Tank Conveyor</v>
      </c>
      <c r="C53" s="291" t="e">
        <f>F34*G14*F14</f>
        <v>#N/A</v>
      </c>
      <c r="D53" s="291" t="e">
        <f>G34*G14*F14</f>
        <v>#N/A</v>
      </c>
      <c r="E53" s="291">
        <f t="shared" si="2"/>
        <v>0</v>
      </c>
    </row>
    <row r="54" spans="1:5" s="155" customFormat="1" ht="11.25" customHeight="1">
      <c r="A54" s="152" t="str">
        <f>"High_"&amp;B54</f>
        <v>High_Multi-Tank Conveyor</v>
      </c>
      <c r="B54" s="108" t="str">
        <f t="shared" si="1"/>
        <v>Multi-Tank Conveyor</v>
      </c>
      <c r="C54" s="291" t="e">
        <f>F35*G15*F15</f>
        <v>#N/A</v>
      </c>
      <c r="D54" s="291" t="e">
        <f>G35*G15*F15</f>
        <v>#N/A</v>
      </c>
      <c r="E54" s="291">
        <f t="shared" si="2"/>
        <v>0</v>
      </c>
    </row>
    <row r="55" spans="1:13" s="155" customFormat="1" ht="11.25" customHeight="1">
      <c r="A55" s="152" t="str">
        <f>"High_"&amp;B55</f>
        <v>High_Pot, Pan, and Utensil</v>
      </c>
      <c r="B55" s="108" t="str">
        <f t="shared" si="1"/>
        <v>Pot, Pan, and Utensil</v>
      </c>
      <c r="C55" s="291" t="e">
        <f>F36*G16*F16</f>
        <v>#N/A</v>
      </c>
      <c r="D55" s="291" t="e">
        <f>G36*G16*F16</f>
        <v>#N/A</v>
      </c>
      <c r="E55" s="291">
        <f t="shared" si="2"/>
        <v>0</v>
      </c>
      <c r="J55" s="156"/>
      <c r="K55" s="157"/>
      <c r="L55" s="158"/>
      <c r="M55" s="156"/>
    </row>
    <row r="56" spans="1:13" s="155" customFormat="1" ht="11.25" customHeight="1">
      <c r="A56" s="154"/>
      <c r="B56" s="159"/>
      <c r="C56" s="156"/>
      <c r="D56" s="156"/>
      <c r="E56" s="156"/>
      <c r="F56" s="156"/>
      <c r="G56" s="156"/>
      <c r="H56" s="156"/>
      <c r="I56" s="156"/>
      <c r="J56" s="156"/>
      <c r="K56" s="157"/>
      <c r="L56" s="158"/>
      <c r="M56" s="156"/>
    </row>
    <row r="57" spans="1:12" s="155" customFormat="1" ht="11.25" customHeight="1">
      <c r="A57" s="154"/>
      <c r="B57" s="1057"/>
      <c r="C57" s="1059" t="s">
        <v>143</v>
      </c>
      <c r="D57" s="1060"/>
      <c r="E57" s="1060"/>
      <c r="F57" s="1060"/>
      <c r="G57" s="1059" t="s">
        <v>144</v>
      </c>
      <c r="H57" s="1059"/>
      <c r="I57" s="1059"/>
      <c r="J57" s="1072"/>
      <c r="K57" s="1059" t="s">
        <v>145</v>
      </c>
      <c r="L57" s="1072"/>
    </row>
    <row r="58" spans="1:12" s="155" customFormat="1" ht="11.25" customHeight="1">
      <c r="A58" s="154"/>
      <c r="B58" s="1057"/>
      <c r="C58" s="1059" t="s">
        <v>135</v>
      </c>
      <c r="D58" s="1059"/>
      <c r="E58" s="1059" t="s">
        <v>136</v>
      </c>
      <c r="F58" s="1058"/>
      <c r="G58" s="1059" t="s">
        <v>135</v>
      </c>
      <c r="H58" s="1059"/>
      <c r="I58" s="1059" t="s">
        <v>136</v>
      </c>
      <c r="J58" s="1058"/>
      <c r="K58" s="1072"/>
      <c r="L58" s="1072"/>
    </row>
    <row r="59" spans="1:12" s="155" customFormat="1" ht="11.25" customHeight="1">
      <c r="A59" s="154"/>
      <c r="B59" s="1058"/>
      <c r="C59" s="106" t="s">
        <v>146</v>
      </c>
      <c r="D59" s="106" t="s">
        <v>147</v>
      </c>
      <c r="E59" s="106" t="s">
        <v>146</v>
      </c>
      <c r="F59" s="106" t="s">
        <v>147</v>
      </c>
      <c r="G59" s="106" t="s">
        <v>146</v>
      </c>
      <c r="H59" s="106" t="s">
        <v>147</v>
      </c>
      <c r="I59" s="106" t="s">
        <v>146</v>
      </c>
      <c r="J59" s="106" t="s">
        <v>147</v>
      </c>
      <c r="K59" s="106" t="s">
        <v>135</v>
      </c>
      <c r="L59" s="106" t="s">
        <v>136</v>
      </c>
    </row>
    <row r="60" spans="1:12" s="155" customFormat="1" ht="11.25" customHeight="1">
      <c r="A60" s="154"/>
      <c r="B60" s="126" t="str">
        <f>B6</f>
        <v>Low Temperature</v>
      </c>
      <c r="C60" s="243"/>
      <c r="D60" s="243"/>
      <c r="E60" s="243"/>
      <c r="F60" s="243"/>
      <c r="G60" s="243"/>
      <c r="H60" s="243"/>
      <c r="I60" s="243"/>
      <c r="J60" s="243"/>
      <c r="K60" s="243"/>
      <c r="L60" s="244"/>
    </row>
    <row r="61" spans="1:12" s="155" customFormat="1" ht="11.25" customHeight="1">
      <c r="A61" s="154"/>
      <c r="B61" s="108" t="str">
        <f aca="true" t="shared" si="3" ref="B61:B70">B7</f>
        <v>Under Counter</v>
      </c>
      <c r="C61" s="153" t="e">
        <f>C46*(IF(I7="electric",C$40,0))</f>
        <v>#N/A</v>
      </c>
      <c r="D61" s="153" t="e">
        <f>C46*(IF(I7="natural gas",D$40,0))</f>
        <v>#N/A</v>
      </c>
      <c r="E61" s="153" t="e">
        <f>D46*(IF(I7="electric",C$40,0))</f>
        <v>#N/A</v>
      </c>
      <c r="F61" s="153" t="e">
        <f>D46*(IF(I7="natural gas",D$40,0))</f>
        <v>#N/A</v>
      </c>
      <c r="G61" s="1076" t="s">
        <v>39</v>
      </c>
      <c r="H61" s="1077"/>
      <c r="I61" s="1077"/>
      <c r="J61" s="1078"/>
      <c r="K61" s="153" t="e">
        <f>H27*(C27*F7-F7*G7*D27/60)</f>
        <v>#N/A</v>
      </c>
      <c r="L61" s="153" t="e">
        <f>I27*(C27*F7-F7*G7*E27/60)</f>
        <v>#N/A</v>
      </c>
    </row>
    <row r="62" spans="1:12" s="155" customFormat="1" ht="11.25" customHeight="1">
      <c r="A62" s="154"/>
      <c r="B62" s="108" t="str">
        <f t="shared" si="3"/>
        <v>Stationary Single-Tank Door</v>
      </c>
      <c r="C62" s="153" t="e">
        <f>C47*(IF(I8="electric",C$40,0))</f>
        <v>#N/A</v>
      </c>
      <c r="D62" s="153" t="e">
        <f aca="true" t="shared" si="4" ref="D62:D70">C47*(IF(I8="natural gas",D$40,0))</f>
        <v>#N/A</v>
      </c>
      <c r="E62" s="153" t="e">
        <f aca="true" t="shared" si="5" ref="E62:E70">D47*(IF(I8="electric",C$40,0))</f>
        <v>#N/A</v>
      </c>
      <c r="F62" s="153" t="e">
        <f aca="true" t="shared" si="6" ref="F62:F70">D47*(IF(I8="natural gas",D$40,0))</f>
        <v>#N/A</v>
      </c>
      <c r="G62" s="1079"/>
      <c r="H62" s="1080"/>
      <c r="I62" s="1080"/>
      <c r="J62" s="1081"/>
      <c r="K62" s="153" t="e">
        <f>H28*(C28*F8-F8*G8*D28/60)</f>
        <v>#N/A</v>
      </c>
      <c r="L62" s="153" t="e">
        <f>I28*(C28*F8-F8*G8*E28/60)</f>
        <v>#N/A</v>
      </c>
    </row>
    <row r="63" spans="1:12" s="155" customFormat="1" ht="11.25" customHeight="1">
      <c r="A63" s="154"/>
      <c r="B63" s="108" t="str">
        <f t="shared" si="3"/>
        <v>Single-Tank Conveyor</v>
      </c>
      <c r="C63" s="153" t="e">
        <f>C48*(IF(I9="electric",C$40,0))</f>
        <v>#N/A</v>
      </c>
      <c r="D63" s="153" t="e">
        <f t="shared" si="4"/>
        <v>#N/A</v>
      </c>
      <c r="E63" s="153" t="e">
        <f t="shared" si="5"/>
        <v>#N/A</v>
      </c>
      <c r="F63" s="153" t="e">
        <f t="shared" si="6"/>
        <v>#N/A</v>
      </c>
      <c r="G63" s="1079"/>
      <c r="H63" s="1080"/>
      <c r="I63" s="1080"/>
      <c r="J63" s="1081"/>
      <c r="K63" s="153" t="e">
        <f>H29*(C29*F9-F9*G9*D29/60)</f>
        <v>#N/A</v>
      </c>
      <c r="L63" s="153" t="e">
        <f>I29*(C29*F9-F9*G9*E29/60)</f>
        <v>#N/A</v>
      </c>
    </row>
    <row r="64" spans="1:12" s="155" customFormat="1" ht="11.25" customHeight="1">
      <c r="A64" s="154"/>
      <c r="B64" s="108" t="str">
        <f t="shared" si="3"/>
        <v>Multi-Tank Conveyor</v>
      </c>
      <c r="C64" s="153" t="e">
        <f>C49*(IF(I10="electric",C$40,0))</f>
        <v>#N/A</v>
      </c>
      <c r="D64" s="153" t="e">
        <f t="shared" si="4"/>
        <v>#N/A</v>
      </c>
      <c r="E64" s="153" t="e">
        <f t="shared" si="5"/>
        <v>#N/A</v>
      </c>
      <c r="F64" s="153" t="e">
        <f t="shared" si="6"/>
        <v>#N/A</v>
      </c>
      <c r="G64" s="1082"/>
      <c r="H64" s="1083"/>
      <c r="I64" s="1083"/>
      <c r="J64" s="1084"/>
      <c r="K64" s="153" t="e">
        <f>H30*(C30*F10-F10*G10*D30/60)</f>
        <v>#N/A</v>
      </c>
      <c r="L64" s="153" t="e">
        <f>I30*(C30*F10-F10*G10*E30/60)</f>
        <v>#N/A</v>
      </c>
    </row>
    <row r="65" spans="1:12" s="155" customFormat="1" ht="11.25" customHeight="1">
      <c r="A65" s="154"/>
      <c r="B65" s="172" t="str">
        <f t="shared" si="3"/>
        <v>High Temperature</v>
      </c>
      <c r="C65" s="243"/>
      <c r="D65" s="243"/>
      <c r="E65" s="243"/>
      <c r="F65" s="243"/>
      <c r="G65" s="243"/>
      <c r="H65" s="243"/>
      <c r="I65" s="243"/>
      <c r="J65" s="243"/>
      <c r="K65" s="243"/>
      <c r="L65" s="244"/>
    </row>
    <row r="66" spans="1:12" s="155" customFormat="1" ht="11.25" customHeight="1">
      <c r="A66" s="154"/>
      <c r="B66" s="108" t="str">
        <f t="shared" si="3"/>
        <v>Under Counter</v>
      </c>
      <c r="C66" s="153" t="e">
        <f>C51*(IF(I12="electric",C$40,0))</f>
        <v>#N/A</v>
      </c>
      <c r="D66" s="153" t="e">
        <f t="shared" si="4"/>
        <v>#N/A</v>
      </c>
      <c r="E66" s="153" t="e">
        <f t="shared" si="5"/>
        <v>#N/A</v>
      </c>
      <c r="F66" s="153" t="e">
        <f t="shared" si="6"/>
        <v>#N/A</v>
      </c>
      <c r="G66" s="109" t="e">
        <f>C51*(IF(I12="electric",C$41,0))</f>
        <v>#N/A</v>
      </c>
      <c r="H66" s="109" t="e">
        <f>C51*(IF(I12="natural gas",D$41,0))</f>
        <v>#N/A</v>
      </c>
      <c r="I66" s="109" t="e">
        <f>D51*(IF(I12="electric",C$41,0))</f>
        <v>#N/A</v>
      </c>
      <c r="J66" s="109" t="e">
        <f>D51*(IF(I12="natural gas",D$41,0))</f>
        <v>#N/A</v>
      </c>
      <c r="K66" s="109" t="e">
        <f>H32*(C32*F12-F12*G12*D32/60)</f>
        <v>#N/A</v>
      </c>
      <c r="L66" s="109" t="e">
        <f>I32*(C32*F12-F12*G12*E32/60)</f>
        <v>#N/A</v>
      </c>
    </row>
    <row r="67" spans="1:12" s="155" customFormat="1" ht="11.25" customHeight="1">
      <c r="A67" s="154"/>
      <c r="B67" s="108" t="str">
        <f t="shared" si="3"/>
        <v>Stationary Single-Tank Door</v>
      </c>
      <c r="C67" s="153" t="e">
        <f>C52*(IF(I13="electric",C$40,0))</f>
        <v>#N/A</v>
      </c>
      <c r="D67" s="153" t="e">
        <f t="shared" si="4"/>
        <v>#N/A</v>
      </c>
      <c r="E67" s="153" t="e">
        <f t="shared" si="5"/>
        <v>#N/A</v>
      </c>
      <c r="F67" s="153" t="e">
        <f t="shared" si="6"/>
        <v>#N/A</v>
      </c>
      <c r="G67" s="109" t="e">
        <f>C52*(IF(I13="electric",C$41,0))</f>
        <v>#N/A</v>
      </c>
      <c r="H67" s="109" t="e">
        <f>C52*(IF(I13="natural gas",D$41,0))</f>
        <v>#N/A</v>
      </c>
      <c r="I67" s="109" t="e">
        <f>D52*(IF(I13="electric",C$41,0))</f>
        <v>#N/A</v>
      </c>
      <c r="J67" s="109" t="e">
        <f>D52*(IF(I13="natural gas",D$41,0))</f>
        <v>#N/A</v>
      </c>
      <c r="K67" s="109" t="e">
        <f>H33*(C33*F13-F13*G13*D33/60)</f>
        <v>#N/A</v>
      </c>
      <c r="L67" s="109" t="e">
        <f>I33*(C33*F13-F13*G13*E33/60)</f>
        <v>#N/A</v>
      </c>
    </row>
    <row r="68" spans="1:12" s="155" customFormat="1" ht="11.25" customHeight="1">
      <c r="A68" s="154"/>
      <c r="B68" s="108" t="str">
        <f t="shared" si="3"/>
        <v>Single-Tank Conveyor</v>
      </c>
      <c r="C68" s="153" t="e">
        <f>C53*(IF(I14="electric",C$40,0))</f>
        <v>#N/A</v>
      </c>
      <c r="D68" s="153" t="e">
        <f t="shared" si="4"/>
        <v>#N/A</v>
      </c>
      <c r="E68" s="153" t="e">
        <f t="shared" si="5"/>
        <v>#N/A</v>
      </c>
      <c r="F68" s="153" t="e">
        <f t="shared" si="6"/>
        <v>#N/A</v>
      </c>
      <c r="G68" s="109" t="e">
        <f>C53*(IF(I14="electric",C$41,0))</f>
        <v>#N/A</v>
      </c>
      <c r="H68" s="109" t="e">
        <f>C53*(IF(I14="natural gas",D$41,0))</f>
        <v>#N/A</v>
      </c>
      <c r="I68" s="109" t="e">
        <f>D53*(IF(I14="electric",C$41,0))</f>
        <v>#N/A</v>
      </c>
      <c r="J68" s="109" t="e">
        <f>D53*(IF(I14="natural gas",D$41,0))</f>
        <v>#N/A</v>
      </c>
      <c r="K68" s="109" t="e">
        <f>H34*(C34*F14-F14*G14*D34/60)</f>
        <v>#N/A</v>
      </c>
      <c r="L68" s="109" t="e">
        <f>I34*(C34*F14-F14*G14*E34/60)</f>
        <v>#N/A</v>
      </c>
    </row>
    <row r="69" spans="1:12" s="155" customFormat="1" ht="11.25" customHeight="1">
      <c r="A69" s="154"/>
      <c r="B69" s="108" t="str">
        <f t="shared" si="3"/>
        <v>Multi-Tank Conveyor</v>
      </c>
      <c r="C69" s="153" t="e">
        <f>C54*(IF(I15="electric",C$40,0))</f>
        <v>#N/A</v>
      </c>
      <c r="D69" s="153" t="e">
        <f t="shared" si="4"/>
        <v>#N/A</v>
      </c>
      <c r="E69" s="153" t="e">
        <f t="shared" si="5"/>
        <v>#N/A</v>
      </c>
      <c r="F69" s="153" t="e">
        <f t="shared" si="6"/>
        <v>#N/A</v>
      </c>
      <c r="G69" s="109" t="e">
        <f>C54*(IF(I15="electric",C$41,0))</f>
        <v>#N/A</v>
      </c>
      <c r="H69" s="109" t="e">
        <f>C54*(IF(I15="natural gas",D$41,0))</f>
        <v>#N/A</v>
      </c>
      <c r="I69" s="109" t="e">
        <f>D54*(IF(I15="electric",C$41,0))</f>
        <v>#N/A</v>
      </c>
      <c r="J69" s="109" t="e">
        <f>D54*(IF(I15="natural gas",D$41,0))</f>
        <v>#N/A</v>
      </c>
      <c r="K69" s="109" t="e">
        <f>H35*(C35*F15-F15*G15*D35/60)</f>
        <v>#N/A</v>
      </c>
      <c r="L69" s="109" t="e">
        <f>I35*(C35*F15-F15*G15*E35/60)</f>
        <v>#N/A</v>
      </c>
    </row>
    <row r="70" spans="1:12" s="155" customFormat="1" ht="11.25" customHeight="1">
      <c r="A70" s="154"/>
      <c r="B70" s="108" t="str">
        <f t="shared" si="3"/>
        <v>Pot, Pan, and Utensil</v>
      </c>
      <c r="C70" s="153" t="e">
        <f>C55*(IF(I16="electric",C$40,0))</f>
        <v>#N/A</v>
      </c>
      <c r="D70" s="153" t="e">
        <f t="shared" si="4"/>
        <v>#N/A</v>
      </c>
      <c r="E70" s="153" t="e">
        <f t="shared" si="5"/>
        <v>#N/A</v>
      </c>
      <c r="F70" s="153" t="e">
        <f t="shared" si="6"/>
        <v>#N/A</v>
      </c>
      <c r="G70" s="109" t="e">
        <f>C55*(IF(I16="electric",C$41,0))</f>
        <v>#N/A</v>
      </c>
      <c r="H70" s="109" t="e">
        <f>C55*(IF(I16="natural gas",D$41,0))</f>
        <v>#N/A</v>
      </c>
      <c r="I70" s="109" t="e">
        <f>D55*(IF(I16="electric",C$41,0))</f>
        <v>#N/A</v>
      </c>
      <c r="J70" s="109" t="e">
        <f>D55*(IF(I16="natural gas",D$41,0))</f>
        <v>#N/A</v>
      </c>
      <c r="K70" s="109" t="e">
        <f>H36*(C36*F16-F16*G16*D36/60)</f>
        <v>#N/A</v>
      </c>
      <c r="L70" s="109" t="e">
        <f>I36*(C36*F16-F16*G16*E36/60)</f>
        <v>#N/A</v>
      </c>
    </row>
    <row r="71" spans="1:11" s="166" customFormat="1" ht="28.5" customHeight="1">
      <c r="A71" s="160" t="s">
        <v>148</v>
      </c>
      <c r="B71" s="161"/>
      <c r="C71" s="162"/>
      <c r="D71" s="163"/>
      <c r="E71" s="164"/>
      <c r="F71" s="165"/>
      <c r="G71" s="165"/>
      <c r="H71" s="165"/>
      <c r="I71" s="165"/>
      <c r="J71" s="165"/>
      <c r="K71" s="165"/>
    </row>
    <row r="72" spans="1:11" s="170" customFormat="1" ht="12.75" customHeight="1">
      <c r="A72" s="154"/>
      <c r="B72" s="1085"/>
      <c r="C72" s="1086" t="s">
        <v>135</v>
      </c>
      <c r="D72" s="1086"/>
      <c r="E72" s="1086" t="s">
        <v>136</v>
      </c>
      <c r="F72" s="1087"/>
      <c r="G72" s="1086" t="s">
        <v>142</v>
      </c>
      <c r="H72" s="1087"/>
      <c r="I72" s="168"/>
      <c r="J72" s="169"/>
      <c r="K72" s="168"/>
    </row>
    <row r="73" spans="2:11" s="171" customFormat="1" ht="11.25" customHeight="1">
      <c r="B73" s="1085"/>
      <c r="C73" s="167" t="s">
        <v>146</v>
      </c>
      <c r="D73" s="167" t="s">
        <v>147</v>
      </c>
      <c r="E73" s="167" t="s">
        <v>146</v>
      </c>
      <c r="F73" s="167" t="s">
        <v>147</v>
      </c>
      <c r="G73" s="167" t="s">
        <v>146</v>
      </c>
      <c r="H73" s="167" t="s">
        <v>147</v>
      </c>
      <c r="I73" s="299" t="s">
        <v>225</v>
      </c>
      <c r="J73" s="168"/>
      <c r="K73" s="168"/>
    </row>
    <row r="74" spans="2:11" s="171" customFormat="1" ht="11.25" customHeight="1">
      <c r="B74" s="126" t="str">
        <f>B6</f>
        <v>Low Temperature</v>
      </c>
      <c r="C74" s="127"/>
      <c r="D74" s="127"/>
      <c r="E74" s="127"/>
      <c r="F74" s="127"/>
      <c r="G74" s="127"/>
      <c r="H74" s="128"/>
      <c r="I74" s="300"/>
      <c r="J74" s="173"/>
      <c r="K74" s="174"/>
    </row>
    <row r="75" spans="1:11" s="175" customFormat="1" ht="11.25" customHeight="1">
      <c r="A75" s="152" t="str">
        <f>"Low_"&amp;B75</f>
        <v>Low_Under Counter</v>
      </c>
      <c r="B75" s="108" t="str">
        <f aca="true" t="shared" si="7" ref="B75:B84">B7</f>
        <v>Under Counter</v>
      </c>
      <c r="C75" s="109" t="e">
        <f>C61+K61</f>
        <v>#N/A</v>
      </c>
      <c r="D75" s="109" t="e">
        <f>D61</f>
        <v>#N/A</v>
      </c>
      <c r="E75" s="109" t="e">
        <f>E61+L61</f>
        <v>#N/A</v>
      </c>
      <c r="F75" s="109" t="e">
        <f>F61</f>
        <v>#N/A</v>
      </c>
      <c r="G75" s="291" t="e">
        <f aca="true" t="shared" si="8" ref="G75:H78">C75-E75</f>
        <v>#N/A</v>
      </c>
      <c r="H75" s="291" t="e">
        <f t="shared" si="8"/>
        <v>#N/A</v>
      </c>
      <c r="I75" s="301" t="e">
        <f>H75*VLOOKUP("Therms",Conversions!$D$13:$E$20,2,FALSE)</f>
        <v>#N/A</v>
      </c>
      <c r="J75" s="176"/>
      <c r="K75" s="177"/>
    </row>
    <row r="76" spans="1:11" s="175" customFormat="1" ht="11.25" customHeight="1">
      <c r="A76" s="152" t="str">
        <f>"Low_"&amp;B76</f>
        <v>Low_Stationary Single-Tank Door</v>
      </c>
      <c r="B76" s="108" t="str">
        <f t="shared" si="7"/>
        <v>Stationary Single-Tank Door</v>
      </c>
      <c r="C76" s="109" t="e">
        <f>C62+K62</f>
        <v>#N/A</v>
      </c>
      <c r="D76" s="109" t="e">
        <f>D62</f>
        <v>#N/A</v>
      </c>
      <c r="E76" s="109" t="e">
        <f>E62+L62</f>
        <v>#N/A</v>
      </c>
      <c r="F76" s="109" t="e">
        <f>F62</f>
        <v>#N/A</v>
      </c>
      <c r="G76" s="291" t="e">
        <f t="shared" si="8"/>
        <v>#N/A</v>
      </c>
      <c r="H76" s="291" t="e">
        <f t="shared" si="8"/>
        <v>#N/A</v>
      </c>
      <c r="I76" s="301" t="e">
        <f>H76*VLOOKUP("Therms",Conversions!$D$13:$E$20,2,FALSE)</f>
        <v>#N/A</v>
      </c>
      <c r="J76" s="176"/>
      <c r="K76" s="177"/>
    </row>
    <row r="77" spans="1:11" s="175" customFormat="1" ht="11.25" customHeight="1">
      <c r="A77" s="152" t="str">
        <f>"Low_"&amp;B77</f>
        <v>Low_Single-Tank Conveyor</v>
      </c>
      <c r="B77" s="108" t="str">
        <f t="shared" si="7"/>
        <v>Single-Tank Conveyor</v>
      </c>
      <c r="C77" s="109" t="e">
        <f>C63+K63</f>
        <v>#N/A</v>
      </c>
      <c r="D77" s="109" t="e">
        <f>D63</f>
        <v>#N/A</v>
      </c>
      <c r="E77" s="109" t="e">
        <f>E63+L63</f>
        <v>#N/A</v>
      </c>
      <c r="F77" s="109" t="e">
        <f>F63</f>
        <v>#N/A</v>
      </c>
      <c r="G77" s="291" t="e">
        <f t="shared" si="8"/>
        <v>#N/A</v>
      </c>
      <c r="H77" s="291" t="e">
        <f t="shared" si="8"/>
        <v>#N/A</v>
      </c>
      <c r="I77" s="301" t="e">
        <f>H77*VLOOKUP("Therms",Conversions!$D$13:$E$20,2,FALSE)</f>
        <v>#N/A</v>
      </c>
      <c r="J77" s="176"/>
      <c r="K77" s="177"/>
    </row>
    <row r="78" spans="1:11" s="175" customFormat="1" ht="11.25" customHeight="1">
      <c r="A78" s="152" t="str">
        <f>"Low_"&amp;B78</f>
        <v>Low_Multi-Tank Conveyor</v>
      </c>
      <c r="B78" s="108" t="str">
        <f t="shared" si="7"/>
        <v>Multi-Tank Conveyor</v>
      </c>
      <c r="C78" s="109" t="e">
        <f>C64+K64</f>
        <v>#N/A</v>
      </c>
      <c r="D78" s="109" t="e">
        <f>D64</f>
        <v>#N/A</v>
      </c>
      <c r="E78" s="109" t="e">
        <f>E64+L64</f>
        <v>#N/A</v>
      </c>
      <c r="F78" s="109" t="e">
        <f>F64</f>
        <v>#N/A</v>
      </c>
      <c r="G78" s="291" t="e">
        <f t="shared" si="8"/>
        <v>#N/A</v>
      </c>
      <c r="H78" s="291" t="e">
        <f t="shared" si="8"/>
        <v>#N/A</v>
      </c>
      <c r="I78" s="301" t="e">
        <f>H78*VLOOKUP("Therms",Conversions!$D$13:$E$20,2,FALSE)</f>
        <v>#N/A</v>
      </c>
      <c r="J78" s="176"/>
      <c r="K78" s="177"/>
    </row>
    <row r="79" spans="1:11" s="170" customFormat="1" ht="11.25" customHeight="1">
      <c r="A79" s="148"/>
      <c r="B79" s="172" t="str">
        <f t="shared" si="7"/>
        <v>High Temperature</v>
      </c>
      <c r="C79" s="127"/>
      <c r="D79" s="127"/>
      <c r="E79" s="127"/>
      <c r="F79" s="127"/>
      <c r="G79" s="292"/>
      <c r="H79" s="294"/>
      <c r="I79" s="301">
        <f>H79*VLOOKUP("Therms",Conversions!$D$13:$E$20,2,FALSE)</f>
        <v>0</v>
      </c>
      <c r="J79" s="174"/>
      <c r="K79" s="174"/>
    </row>
    <row r="80" spans="1:11" s="155" customFormat="1" ht="11.25" customHeight="1">
      <c r="A80" s="152" t="str">
        <f>"High_"&amp;B80</f>
        <v>High_Under Counter</v>
      </c>
      <c r="B80" s="108" t="str">
        <f t="shared" si="7"/>
        <v>Under Counter</v>
      </c>
      <c r="C80" s="109" t="e">
        <f>C66+G66+K66</f>
        <v>#N/A</v>
      </c>
      <c r="D80" s="109" t="e">
        <f>D66+H66</f>
        <v>#N/A</v>
      </c>
      <c r="E80" s="109" t="e">
        <f>E66+I66+L66</f>
        <v>#N/A</v>
      </c>
      <c r="F80" s="109" t="e">
        <f>F66+J66</f>
        <v>#N/A</v>
      </c>
      <c r="G80" s="291" t="e">
        <f aca="true" t="shared" si="9" ref="G80:H84">C80-E80</f>
        <v>#N/A</v>
      </c>
      <c r="H80" s="291" t="e">
        <f t="shared" si="9"/>
        <v>#N/A</v>
      </c>
      <c r="I80" s="301" t="e">
        <f>H80*VLOOKUP("Therms",Conversions!$D$13:$E$20,2,FALSE)</f>
        <v>#N/A</v>
      </c>
      <c r="K80" s="176"/>
    </row>
    <row r="81" spans="1:11" s="155" customFormat="1" ht="11.25" customHeight="1">
      <c r="A81" s="152" t="str">
        <f>"High_"&amp;B81</f>
        <v>High_Stationary Single-Tank Door</v>
      </c>
      <c r="B81" s="108" t="str">
        <f t="shared" si="7"/>
        <v>Stationary Single-Tank Door</v>
      </c>
      <c r="C81" s="109" t="e">
        <f>C67+G67+K67</f>
        <v>#N/A</v>
      </c>
      <c r="D81" s="109" t="e">
        <f>D67+H67</f>
        <v>#N/A</v>
      </c>
      <c r="E81" s="109" t="e">
        <f>E67+I67+L67</f>
        <v>#N/A</v>
      </c>
      <c r="F81" s="109" t="e">
        <f>F67+J67</f>
        <v>#N/A</v>
      </c>
      <c r="G81" s="291" t="e">
        <f t="shared" si="9"/>
        <v>#N/A</v>
      </c>
      <c r="H81" s="291" t="e">
        <f t="shared" si="9"/>
        <v>#N/A</v>
      </c>
      <c r="I81" s="301" t="e">
        <f>H81*VLOOKUP("Therms",Conversions!$D$13:$E$20,2,FALSE)</f>
        <v>#N/A</v>
      </c>
      <c r="K81" s="176"/>
    </row>
    <row r="82" spans="1:11" s="155" customFormat="1" ht="11.25" customHeight="1">
      <c r="A82" s="152" t="str">
        <f>"High_"&amp;B82</f>
        <v>High_Single-Tank Conveyor</v>
      </c>
      <c r="B82" s="108" t="str">
        <f t="shared" si="7"/>
        <v>Single-Tank Conveyor</v>
      </c>
      <c r="C82" s="109" t="e">
        <f>C68+G68+K68</f>
        <v>#N/A</v>
      </c>
      <c r="D82" s="109" t="e">
        <f>D68+H68</f>
        <v>#N/A</v>
      </c>
      <c r="E82" s="109" t="e">
        <f>E68+I68+L68</f>
        <v>#N/A</v>
      </c>
      <c r="F82" s="109" t="e">
        <f>F68+J68</f>
        <v>#N/A</v>
      </c>
      <c r="G82" s="291" t="e">
        <f t="shared" si="9"/>
        <v>#N/A</v>
      </c>
      <c r="H82" s="291" t="e">
        <f t="shared" si="9"/>
        <v>#N/A</v>
      </c>
      <c r="I82" s="301" t="e">
        <f>H82*VLOOKUP("Therms",Conversions!$D$13:$E$20,2,FALSE)</f>
        <v>#N/A</v>
      </c>
      <c r="K82" s="176"/>
    </row>
    <row r="83" spans="1:11" s="155" customFormat="1" ht="11.25" customHeight="1">
      <c r="A83" s="152" t="str">
        <f>"High_"&amp;B83</f>
        <v>High_Multi-Tank Conveyor</v>
      </c>
      <c r="B83" s="108" t="str">
        <f t="shared" si="7"/>
        <v>Multi-Tank Conveyor</v>
      </c>
      <c r="C83" s="109" t="e">
        <f>C69+G69+K69</f>
        <v>#N/A</v>
      </c>
      <c r="D83" s="109" t="e">
        <f>D69+H69</f>
        <v>#N/A</v>
      </c>
      <c r="E83" s="109" t="e">
        <f>E69+I69+L69</f>
        <v>#N/A</v>
      </c>
      <c r="F83" s="109" t="e">
        <f>F69+J69</f>
        <v>#N/A</v>
      </c>
      <c r="G83" s="291" t="e">
        <f t="shared" si="9"/>
        <v>#N/A</v>
      </c>
      <c r="H83" s="291" t="e">
        <f t="shared" si="9"/>
        <v>#N/A</v>
      </c>
      <c r="I83" s="301" t="e">
        <f>H83*VLOOKUP("Therms",Conversions!$D$13:$E$20,2,FALSE)</f>
        <v>#N/A</v>
      </c>
      <c r="K83" s="176"/>
    </row>
    <row r="84" spans="1:11" s="155" customFormat="1" ht="11.25" customHeight="1">
      <c r="A84" s="152" t="str">
        <f>"High_"&amp;B84</f>
        <v>High_Pot, Pan, and Utensil</v>
      </c>
      <c r="B84" s="108" t="str">
        <f t="shared" si="7"/>
        <v>Pot, Pan, and Utensil</v>
      </c>
      <c r="C84" s="109" t="e">
        <f>C70+G70+K70</f>
        <v>#N/A</v>
      </c>
      <c r="D84" s="109" t="e">
        <f>D70+H70</f>
        <v>#N/A</v>
      </c>
      <c r="E84" s="109" t="e">
        <f>E70+I70+L70</f>
        <v>#N/A</v>
      </c>
      <c r="F84" s="109" t="e">
        <f>F70+J70</f>
        <v>#N/A</v>
      </c>
      <c r="G84" s="291" t="e">
        <f t="shared" si="9"/>
        <v>#N/A</v>
      </c>
      <c r="H84" s="291" t="e">
        <f t="shared" si="9"/>
        <v>#N/A</v>
      </c>
      <c r="I84" s="301" t="e">
        <f>H84*VLOOKUP("Therms",Conversions!$D$13:$E$20,2,FALSE)</f>
        <v>#N/A</v>
      </c>
      <c r="K84" s="176"/>
    </row>
    <row r="85" spans="1:13" s="149" customFormat="1" ht="21" customHeight="1">
      <c r="A85" s="178"/>
      <c r="B85" s="179"/>
      <c r="C85" s="180"/>
      <c r="D85" s="180"/>
      <c r="E85" s="178"/>
      <c r="F85" s="178"/>
      <c r="G85" s="178"/>
      <c r="H85" s="178"/>
      <c r="I85" s="178"/>
      <c r="J85" s="178"/>
      <c r="K85" s="178"/>
      <c r="L85" s="178"/>
      <c r="M85" s="150"/>
    </row>
    <row r="86" spans="1:13" s="99" customFormat="1" ht="21" customHeight="1">
      <c r="A86" s="181" t="s">
        <v>149</v>
      </c>
      <c r="B86" s="182"/>
      <c r="C86" s="183"/>
      <c r="D86" s="183"/>
      <c r="K86" s="184"/>
      <c r="L86" s="184"/>
      <c r="M86" s="184"/>
    </row>
    <row r="87" spans="2:13" s="185" customFormat="1" ht="12.75" customHeight="1">
      <c r="B87" s="186" t="s">
        <v>150</v>
      </c>
      <c r="C87" s="1073" t="s">
        <v>151</v>
      </c>
      <c r="D87" s="1026"/>
      <c r="F87" s="187"/>
      <c r="G87" s="188"/>
      <c r="J87" s="189"/>
      <c r="K87" s="189"/>
      <c r="L87" s="189"/>
      <c r="M87" s="189"/>
    </row>
    <row r="88" spans="1:13" s="185" customFormat="1" ht="12" customHeight="1">
      <c r="A88" s="189"/>
      <c r="B88" s="190"/>
      <c r="C88" s="191" t="s">
        <v>152</v>
      </c>
      <c r="D88" s="192"/>
      <c r="F88" s="192"/>
      <c r="G88" s="189"/>
      <c r="J88" s="189"/>
      <c r="K88" s="189"/>
      <c r="L88" s="189"/>
      <c r="M88" s="189"/>
    </row>
    <row r="89" spans="2:7" s="193" customFormat="1" ht="18.75" customHeight="1">
      <c r="B89" s="186" t="s">
        <v>153</v>
      </c>
      <c r="C89" s="191" t="s">
        <v>154</v>
      </c>
      <c r="D89" s="194"/>
      <c r="F89" s="194"/>
      <c r="G89" s="195"/>
    </row>
    <row r="90" spans="1:13" s="185" customFormat="1" ht="18.75" customHeight="1">
      <c r="A90" s="189"/>
      <c r="B90" s="186" t="s">
        <v>155</v>
      </c>
      <c r="C90" s="191" t="s">
        <v>156</v>
      </c>
      <c r="D90" s="187"/>
      <c r="F90" s="187"/>
      <c r="G90" s="188"/>
      <c r="J90" s="189"/>
      <c r="K90" s="189"/>
      <c r="L90" s="189"/>
      <c r="M90" s="189"/>
    </row>
    <row r="91" spans="1:13" s="185" customFormat="1" ht="18.75" customHeight="1">
      <c r="A91" s="189"/>
      <c r="B91" s="186" t="s">
        <v>157</v>
      </c>
      <c r="C91" s="191" t="s">
        <v>158</v>
      </c>
      <c r="D91" s="187"/>
      <c r="F91" s="187"/>
      <c r="G91" s="188"/>
      <c r="J91" s="189"/>
      <c r="K91" s="189"/>
      <c r="L91" s="189"/>
      <c r="M91" s="189"/>
    </row>
    <row r="92" spans="1:13" s="185" customFormat="1" ht="18.75" customHeight="1">
      <c r="A92" s="189"/>
      <c r="B92" s="186" t="s">
        <v>159</v>
      </c>
      <c r="C92" s="196" t="s">
        <v>160</v>
      </c>
      <c r="D92" s="197"/>
      <c r="E92" s="197"/>
      <c r="F92" s="197"/>
      <c r="G92" s="197"/>
      <c r="H92" s="197"/>
      <c r="I92" s="197"/>
      <c r="J92" s="198"/>
      <c r="K92" s="198"/>
      <c r="L92" s="189"/>
      <c r="M92" s="189"/>
    </row>
    <row r="93" spans="1:13" s="185" customFormat="1" ht="18.75" customHeight="1">
      <c r="A93" s="189"/>
      <c r="B93" s="186" t="s">
        <v>161</v>
      </c>
      <c r="C93" s="191" t="s">
        <v>162</v>
      </c>
      <c r="D93" s="187"/>
      <c r="F93" s="187"/>
      <c r="G93" s="188"/>
      <c r="J93" s="189"/>
      <c r="K93" s="189"/>
      <c r="L93" s="189"/>
      <c r="M93" s="189"/>
    </row>
    <row r="95" ht="12">
      <c r="C95" s="191"/>
    </row>
    <row r="96" spans="1:6" s="129" customFormat="1" ht="12.75">
      <c r="A96" s="119"/>
      <c r="B96" s="199"/>
      <c r="C96" s="1074"/>
      <c r="D96" s="1075"/>
      <c r="E96" s="1075"/>
      <c r="F96" s="1075"/>
    </row>
  </sheetData>
  <sheetProtection sheet="1" objects="1" scenarios="1"/>
  <mergeCells count="31">
    <mergeCell ref="C87:D87"/>
    <mergeCell ref="C96:F96"/>
    <mergeCell ref="G61:J64"/>
    <mergeCell ref="B72:B73"/>
    <mergeCell ref="C72:D72"/>
    <mergeCell ref="E72:F72"/>
    <mergeCell ref="G72:H72"/>
    <mergeCell ref="B57:B59"/>
    <mergeCell ref="C57:F57"/>
    <mergeCell ref="G57:J57"/>
    <mergeCell ref="K57:L58"/>
    <mergeCell ref="C58:D58"/>
    <mergeCell ref="E58:F58"/>
    <mergeCell ref="G58:H58"/>
    <mergeCell ref="I58:J58"/>
    <mergeCell ref="B43:B44"/>
    <mergeCell ref="C43:E43"/>
    <mergeCell ref="B18:B20"/>
    <mergeCell ref="C18:D19"/>
    <mergeCell ref="E18:E20"/>
    <mergeCell ref="G19:H19"/>
    <mergeCell ref="G20:H20"/>
    <mergeCell ref="B24:B25"/>
    <mergeCell ref="C24:C25"/>
    <mergeCell ref="D24:E24"/>
    <mergeCell ref="F24:G24"/>
    <mergeCell ref="H24:I24"/>
    <mergeCell ref="B4:B5"/>
    <mergeCell ref="C4:E4"/>
    <mergeCell ref="F4:J4"/>
    <mergeCell ref="J24:J25"/>
  </mergeCells>
  <hyperlinks>
    <hyperlink ref="C87:D87" r:id="rId1" display="- ENERGY STAR specification"/>
  </hyperlinks>
  <printOptions horizontalCentered="1"/>
  <pageMargins left="0.5" right="0.5" top="0.5" bottom="0.5" header="0.5" footer="0.25"/>
  <pageSetup fitToHeight="2" fitToWidth="1" horizontalDpi="600" verticalDpi="600" orientation="landscape" scale="65" r:id="rId2"/>
  <ignoredErrors>
    <ignoredError sqref="A46:B49 A51:A55" unlockedFormula="1"/>
  </ignoredErrors>
</worksheet>
</file>

<file path=xl/worksheets/sheet17.xml><?xml version="1.0" encoding="utf-8"?>
<worksheet xmlns="http://schemas.openxmlformats.org/spreadsheetml/2006/main" xmlns:r="http://schemas.openxmlformats.org/officeDocument/2006/relationships">
  <sheetPr codeName="x_Ice_Machine_Calcs">
    <tabColor theme="0" tint="-0.3499799966812134"/>
    <pageSetUpPr fitToPage="1"/>
  </sheetPr>
  <dimension ref="A1:P39"/>
  <sheetViews>
    <sheetView showGridLines="0" zoomScaleSheetLayoutView="85" zoomScalePageLayoutView="0" workbookViewId="0" topLeftCell="A1">
      <pane ySplit="1" topLeftCell="A2" activePane="bottomLeft" state="frozen"/>
      <selection pane="topLeft" activeCell="J6" sqref="J6"/>
      <selection pane="bottomLeft" activeCell="D26" sqref="D26"/>
    </sheetView>
  </sheetViews>
  <sheetFormatPr defaultColWidth="15.00390625" defaultRowHeight="15"/>
  <cols>
    <col min="1" max="1" width="3.00390625" style="119" customWidth="1"/>
    <col min="2" max="2" width="11.57421875" style="199" customWidth="1"/>
    <col min="3" max="3" width="31.7109375" style="199" bestFit="1" customWidth="1"/>
    <col min="4" max="4" width="12.57421875" style="199" customWidth="1"/>
    <col min="5" max="5" width="12.57421875" style="200" customWidth="1"/>
    <col min="6" max="6" width="12.57421875" style="113" customWidth="1"/>
    <col min="7" max="17" width="12.57421875" style="129" customWidth="1"/>
    <col min="18" max="16384" width="15.00390625" style="113" customWidth="1"/>
  </cols>
  <sheetData>
    <row r="1" spans="1:12" s="95" customFormat="1" ht="23.25" customHeight="1">
      <c r="A1" s="1112" t="s">
        <v>163</v>
      </c>
      <c r="B1" s="1112"/>
      <c r="C1" s="1112"/>
      <c r="D1" s="1112"/>
      <c r="E1" s="1112"/>
      <c r="F1" s="1112"/>
      <c r="G1" s="1112"/>
      <c r="H1" s="1112"/>
      <c r="I1" s="1112"/>
      <c r="L1" s="96"/>
    </row>
    <row r="2" spans="1:12" s="95" customFormat="1" ht="23.25" customHeight="1">
      <c r="A2" s="311" t="s">
        <v>479</v>
      </c>
      <c r="B2" s="91"/>
      <c r="C2" s="91"/>
      <c r="D2" s="91"/>
      <c r="E2" s="91"/>
      <c r="F2" s="91"/>
      <c r="G2" s="91"/>
      <c r="H2" s="91"/>
      <c r="I2" s="91"/>
      <c r="L2" s="96"/>
    </row>
    <row r="3" spans="1:14" s="99" customFormat="1" ht="16.5" customHeight="1">
      <c r="A3" s="97" t="s">
        <v>190</v>
      </c>
      <c r="B3" s="98"/>
      <c r="C3" s="98"/>
      <c r="D3" s="98"/>
      <c r="E3" s="102"/>
      <c r="F3" s="201"/>
      <c r="G3" s="102"/>
      <c r="H3" s="201"/>
      <c r="I3" s="201"/>
      <c r="J3" s="96"/>
      <c r="K3" s="142"/>
      <c r="L3" s="141"/>
      <c r="M3" s="142"/>
      <c r="N3" s="143"/>
    </row>
    <row r="4" spans="1:16" s="99" customFormat="1" ht="12.75" customHeight="1">
      <c r="A4" s="124"/>
      <c r="B4" s="1099"/>
      <c r="C4" s="1100"/>
      <c r="D4" s="1088" t="s">
        <v>110</v>
      </c>
      <c r="E4" s="1089"/>
      <c r="F4" s="1089"/>
      <c r="G4" s="1053"/>
      <c r="H4" s="1053"/>
      <c r="I4" s="1053"/>
      <c r="J4" s="1088" t="s">
        <v>111</v>
      </c>
      <c r="K4" s="1089"/>
      <c r="L4" s="1089"/>
      <c r="M4" s="1053"/>
      <c r="N4" s="1053"/>
      <c r="O4" s="1053"/>
      <c r="P4" s="1090"/>
    </row>
    <row r="5" spans="1:16" s="99" customFormat="1" ht="12.75" customHeight="1">
      <c r="A5" s="124"/>
      <c r="B5" s="1101"/>
      <c r="C5" s="1102"/>
      <c r="D5" s="1091" t="s">
        <v>56</v>
      </c>
      <c r="E5" s="1092"/>
      <c r="F5" s="1093"/>
      <c r="G5" s="1091" t="s">
        <v>164</v>
      </c>
      <c r="H5" s="1092"/>
      <c r="I5" s="1093"/>
      <c r="J5" s="1091" t="s">
        <v>56</v>
      </c>
      <c r="K5" s="1092"/>
      <c r="L5" s="1093"/>
      <c r="M5" s="1091" t="s">
        <v>164</v>
      </c>
      <c r="N5" s="1092"/>
      <c r="O5" s="1093"/>
      <c r="P5" s="1090"/>
    </row>
    <row r="6" spans="1:16" s="105" customFormat="1" ht="36">
      <c r="A6" s="104"/>
      <c r="B6" s="1103"/>
      <c r="C6" s="1104"/>
      <c r="D6" s="203" t="s">
        <v>165</v>
      </c>
      <c r="E6" s="203" t="s">
        <v>166</v>
      </c>
      <c r="F6" s="203" t="s">
        <v>167</v>
      </c>
      <c r="G6" s="203" t="s">
        <v>165</v>
      </c>
      <c r="H6" s="203" t="s">
        <v>166</v>
      </c>
      <c r="I6" s="203" t="s">
        <v>167</v>
      </c>
      <c r="J6" s="248" t="s">
        <v>165</v>
      </c>
      <c r="K6" s="248" t="s">
        <v>166</v>
      </c>
      <c r="L6" s="248" t="s">
        <v>167</v>
      </c>
      <c r="M6" s="248" t="s">
        <v>165</v>
      </c>
      <c r="N6" s="248" t="s">
        <v>166</v>
      </c>
      <c r="O6" s="248" t="s">
        <v>167</v>
      </c>
      <c r="P6" s="1089"/>
    </row>
    <row r="7" spans="1:16" s="99" customFormat="1" ht="12" customHeight="1">
      <c r="A7" s="112"/>
      <c r="B7" s="1094" t="s">
        <v>168</v>
      </c>
      <c r="C7" s="1095"/>
      <c r="D7" s="204">
        <v>650</v>
      </c>
      <c r="E7" s="204">
        <v>1150</v>
      </c>
      <c r="F7" s="204">
        <v>170</v>
      </c>
      <c r="G7" s="204">
        <v>680</v>
      </c>
      <c r="H7" s="204">
        <v>1170</v>
      </c>
      <c r="I7" s="204">
        <v>240</v>
      </c>
      <c r="J7" s="249">
        <v>650</v>
      </c>
      <c r="K7" s="249">
        <v>1150</v>
      </c>
      <c r="L7" s="249">
        <v>170</v>
      </c>
      <c r="M7" s="249">
        <v>680</v>
      </c>
      <c r="N7" s="249">
        <v>1170</v>
      </c>
      <c r="O7" s="249">
        <v>240</v>
      </c>
      <c r="P7" s="205" t="s">
        <v>169</v>
      </c>
    </row>
    <row r="8" spans="1:16" s="99" customFormat="1" ht="12" customHeight="1">
      <c r="A8" s="112"/>
      <c r="B8" s="1094" t="s">
        <v>170</v>
      </c>
      <c r="C8" s="1095"/>
      <c r="D8" s="206">
        <v>18.3</v>
      </c>
      <c r="E8" s="206">
        <v>18</v>
      </c>
      <c r="F8" s="206">
        <v>19.5</v>
      </c>
      <c r="G8" s="206">
        <v>12</v>
      </c>
      <c r="H8" s="206">
        <v>12</v>
      </c>
      <c r="I8" s="206">
        <v>12</v>
      </c>
      <c r="J8" s="250">
        <v>18.3</v>
      </c>
      <c r="K8" s="250">
        <v>18</v>
      </c>
      <c r="L8" s="250">
        <v>19.5</v>
      </c>
      <c r="M8" s="250">
        <v>12</v>
      </c>
      <c r="N8" s="250">
        <v>12</v>
      </c>
      <c r="O8" s="250">
        <v>12</v>
      </c>
      <c r="P8" s="207" t="s">
        <v>171</v>
      </c>
    </row>
    <row r="9" spans="1:16" s="99" customFormat="1" ht="12" customHeight="1">
      <c r="A9" s="112"/>
      <c r="B9" s="1094" t="s">
        <v>112</v>
      </c>
      <c r="C9" s="1095"/>
      <c r="D9" s="594">
        <v>365</v>
      </c>
      <c r="E9" s="208">
        <v>365</v>
      </c>
      <c r="F9" s="208">
        <v>365</v>
      </c>
      <c r="G9" s="208">
        <v>365</v>
      </c>
      <c r="H9" s="208">
        <v>365</v>
      </c>
      <c r="I9" s="208">
        <v>365</v>
      </c>
      <c r="J9" s="251">
        <f>IF('7 Commercial Kitchens'!OperatingDays&gt;0,'7 Commercial Kitchens'!OperatingDays,'Ice Machine Calcs'!D9)</f>
        <v>365</v>
      </c>
      <c r="K9" s="251">
        <f>IF('7 Commercial Kitchens'!OperatingDays&gt;0,'7 Commercial Kitchens'!OperatingDays,'Ice Machine Calcs'!E9)</f>
        <v>365</v>
      </c>
      <c r="L9" s="251">
        <f>IF('7 Commercial Kitchens'!OperatingDays&gt;0,'7 Commercial Kitchens'!OperatingDays,'Ice Machine Calcs'!F9)</f>
        <v>365</v>
      </c>
      <c r="M9" s="251">
        <f>IF('7 Commercial Kitchens'!OperatingDays&gt;0,'7 Commercial Kitchens'!OperatingDays,'Ice Machine Calcs'!G9)</f>
        <v>365</v>
      </c>
      <c r="N9" s="251">
        <f>IF('7 Commercial Kitchens'!OperatingDays&gt;0,'7 Commercial Kitchens'!OperatingDays,'Ice Machine Calcs'!H9)</f>
        <v>365</v>
      </c>
      <c r="O9" s="251">
        <f>IF('7 Commercial Kitchens'!OperatingDays&gt;0,'7 Commercial Kitchens'!OperatingDays,'Ice Machine Calcs'!I9)</f>
        <v>365</v>
      </c>
      <c r="P9" s="202" t="s">
        <v>172</v>
      </c>
    </row>
    <row r="10" spans="1:16" s="212" customFormat="1" ht="12" customHeight="1">
      <c r="A10" s="209"/>
      <c r="B10" s="1094" t="s">
        <v>114</v>
      </c>
      <c r="C10" s="1095"/>
      <c r="D10" s="210">
        <v>0</v>
      </c>
      <c r="E10" s="210">
        <v>0</v>
      </c>
      <c r="F10" s="210">
        <v>0</v>
      </c>
      <c r="G10" s="210">
        <v>0</v>
      </c>
      <c r="H10" s="210">
        <v>0</v>
      </c>
      <c r="I10" s="210">
        <v>0</v>
      </c>
      <c r="J10" s="252">
        <v>0</v>
      </c>
      <c r="K10" s="252">
        <v>0</v>
      </c>
      <c r="L10" s="252">
        <v>0</v>
      </c>
      <c r="M10" s="252">
        <v>0</v>
      </c>
      <c r="N10" s="252">
        <v>0</v>
      </c>
      <c r="O10" s="252">
        <v>0</v>
      </c>
      <c r="P10" s="211"/>
    </row>
    <row r="11" spans="1:14" s="99" customFormat="1" ht="29.25" customHeight="1">
      <c r="A11" s="97" t="s">
        <v>191</v>
      </c>
      <c r="B11" s="98"/>
      <c r="C11" s="98"/>
      <c r="D11" s="98"/>
      <c r="G11" s="136"/>
      <c r="H11" s="137"/>
      <c r="I11" s="138"/>
      <c r="J11" s="139"/>
      <c r="K11" s="140"/>
      <c r="L11" s="141"/>
      <c r="M11" s="142"/>
      <c r="N11" s="143"/>
    </row>
    <row r="12" spans="1:11" s="99" customFormat="1" ht="50.25" customHeight="1">
      <c r="A12" s="97"/>
      <c r="B12" s="1096"/>
      <c r="C12" s="1053"/>
      <c r="D12" s="1097" t="s">
        <v>173</v>
      </c>
      <c r="E12" s="213" t="s">
        <v>174</v>
      </c>
      <c r="F12" s="213" t="s">
        <v>175</v>
      </c>
      <c r="G12" s="1118" t="s">
        <v>176</v>
      </c>
      <c r="H12" s="1118"/>
      <c r="I12" s="1118" t="s">
        <v>177</v>
      </c>
      <c r="J12" s="1118"/>
      <c r="K12" s="1059" t="s">
        <v>178</v>
      </c>
    </row>
    <row r="13" spans="1:11" s="99" customFormat="1" ht="12" customHeight="1">
      <c r="A13" s="97"/>
      <c r="B13" s="1053"/>
      <c r="C13" s="1053"/>
      <c r="D13" s="1098"/>
      <c r="E13" s="214" t="s">
        <v>135</v>
      </c>
      <c r="F13" s="214" t="s">
        <v>135</v>
      </c>
      <c r="G13" s="214" t="s">
        <v>135</v>
      </c>
      <c r="H13" s="214" t="s">
        <v>136</v>
      </c>
      <c r="I13" s="214" t="s">
        <v>135</v>
      </c>
      <c r="J13" s="214" t="s">
        <v>136</v>
      </c>
      <c r="K13" s="1105"/>
    </row>
    <row r="14" spans="1:11" s="99" customFormat="1" ht="12" customHeight="1">
      <c r="A14" s="97"/>
      <c r="B14" s="1106" t="s">
        <v>56</v>
      </c>
      <c r="C14" s="215" t="s">
        <v>199</v>
      </c>
      <c r="D14" s="591">
        <v>0.75</v>
      </c>
      <c r="E14" s="592">
        <f>J7</f>
        <v>650</v>
      </c>
      <c r="F14" s="593">
        <v>21.8</v>
      </c>
      <c r="G14" s="592">
        <f>E14*J9*D14</f>
        <v>177937.5</v>
      </c>
      <c r="H14" s="592">
        <f>J7*J9*D14</f>
        <v>177937.5</v>
      </c>
      <c r="I14" s="593">
        <f>IF(E14&lt;450,10.26-0.0086*E14,6.89-0.0011*E14)</f>
        <v>6.175</v>
      </c>
      <c r="J14" s="593">
        <f>37.72*J7^-0.298</f>
        <v>5.474235841453239</v>
      </c>
      <c r="K14" s="130">
        <v>8</v>
      </c>
    </row>
    <row r="15" spans="1:11" s="99" customFormat="1" ht="12" customHeight="1">
      <c r="A15" s="97"/>
      <c r="B15" s="1107"/>
      <c r="C15" s="256" t="s">
        <v>200</v>
      </c>
      <c r="D15" s="591">
        <v>0.75</v>
      </c>
      <c r="E15" s="592">
        <f>K7</f>
        <v>1150</v>
      </c>
      <c r="F15" s="593">
        <v>20.1</v>
      </c>
      <c r="G15" s="592">
        <f>E15*K9*D15</f>
        <v>314812.5</v>
      </c>
      <c r="H15" s="592">
        <f>K7*K9*D15</f>
        <v>314812.5</v>
      </c>
      <c r="I15" s="593">
        <f>IF(E15&lt;1000,8.85-0.0038*E15,5.1)</f>
        <v>5.1</v>
      </c>
      <c r="J15" s="593">
        <f>IF(K7&lt;1600,22.95*K7^-0.258+1,-0.00011*K7+4.6)</f>
        <v>4.724968864959182</v>
      </c>
      <c r="K15" s="130">
        <v>8</v>
      </c>
    </row>
    <row r="16" spans="1:11" s="99" customFormat="1" ht="12" customHeight="1">
      <c r="A16" s="97"/>
      <c r="B16" s="1107"/>
      <c r="C16" s="215" t="s">
        <v>201</v>
      </c>
      <c r="D16" s="591">
        <v>0.75</v>
      </c>
      <c r="E16" s="592">
        <f>L7</f>
        <v>170</v>
      </c>
      <c r="F16" s="593">
        <v>30.1</v>
      </c>
      <c r="G16" s="592">
        <f>E16*L9*D16</f>
        <v>46537.5</v>
      </c>
      <c r="H16" s="592">
        <f>L7*L9*D16</f>
        <v>46537.5</v>
      </c>
      <c r="I16" s="593">
        <f>IF(E16&lt;175,18-0.0469*E16,9.8)</f>
        <v>10.027000000000001</v>
      </c>
      <c r="J16" s="593">
        <f>48.66*L7^-0.326+0.08</f>
        <v>9.201069316935275</v>
      </c>
      <c r="K16" s="130">
        <v>8</v>
      </c>
    </row>
    <row r="17" spans="1:11" s="99" customFormat="1" ht="12" customHeight="1">
      <c r="A17" s="97"/>
      <c r="B17" s="1106" t="s">
        <v>164</v>
      </c>
      <c r="C17" s="215" t="s">
        <v>202</v>
      </c>
      <c r="D17" s="591">
        <v>0.75</v>
      </c>
      <c r="E17" s="592">
        <f>M7</f>
        <v>680</v>
      </c>
      <c r="F17" s="593">
        <v>12</v>
      </c>
      <c r="G17" s="592">
        <f>E17*M9*D17</f>
        <v>186150</v>
      </c>
      <c r="H17" s="592">
        <f>M7*M9*D17</f>
        <v>186150</v>
      </c>
      <c r="I17" s="593">
        <f>9.18*(G7^-0.057)+1</f>
        <v>7.329795411253572</v>
      </c>
      <c r="J17" s="593">
        <f>9.18*(M7^-0.057)</f>
        <v>6.329795411253572</v>
      </c>
      <c r="K17" s="130">
        <v>8</v>
      </c>
    </row>
    <row r="18" spans="1:11" s="99" customFormat="1" ht="12" customHeight="1">
      <c r="A18" s="97"/>
      <c r="B18" s="1107"/>
      <c r="C18" s="256" t="s">
        <v>203</v>
      </c>
      <c r="D18" s="591">
        <v>0.75</v>
      </c>
      <c r="E18" s="592">
        <f>N7</f>
        <v>1170</v>
      </c>
      <c r="F18" s="593">
        <v>12</v>
      </c>
      <c r="G18" s="592">
        <f>E18*N9*D18</f>
        <v>320287.5</v>
      </c>
      <c r="H18" s="592">
        <f>N7*N9*D18</f>
        <v>320287.5</v>
      </c>
      <c r="I18" s="593">
        <f>6*(H7^-0.162)+4.2</f>
        <v>6.110315681599226</v>
      </c>
      <c r="J18" s="593">
        <f>6*(N7^-0.162)+3.5</f>
        <v>5.410315681599226</v>
      </c>
      <c r="K18" s="130">
        <v>8</v>
      </c>
    </row>
    <row r="19" spans="1:11" s="99" customFormat="1" ht="12" customHeight="1">
      <c r="A19" s="97"/>
      <c r="B19" s="1107"/>
      <c r="C19" s="215" t="s">
        <v>204</v>
      </c>
      <c r="D19" s="591">
        <v>0.75</v>
      </c>
      <c r="E19" s="592">
        <f>O7</f>
        <v>240</v>
      </c>
      <c r="F19" s="593">
        <v>12</v>
      </c>
      <c r="G19" s="592">
        <f>E19*O9*D19</f>
        <v>65700</v>
      </c>
      <c r="H19" s="592">
        <f>O7*O9*D19</f>
        <v>65700</v>
      </c>
      <c r="I19" s="593">
        <f>59.45*(I7^-0.349)+0.68</f>
        <v>9.459264541121813</v>
      </c>
      <c r="J19" s="593">
        <f>59.45*(O7^-0.349)+0.08</f>
        <v>8.859264541121814</v>
      </c>
      <c r="K19" s="130">
        <v>8</v>
      </c>
    </row>
    <row r="20" spans="1:13" s="212" customFormat="1" ht="28.5" customHeight="1">
      <c r="A20" s="97" t="s">
        <v>179</v>
      </c>
      <c r="B20" s="98"/>
      <c r="C20" s="98"/>
      <c r="D20" s="98"/>
      <c r="E20" s="216"/>
      <c r="F20" s="217"/>
      <c r="G20" s="218"/>
      <c r="H20" s="184"/>
      <c r="I20" s="219"/>
      <c r="J20" s="220"/>
      <c r="K20" s="221"/>
      <c r="L20" s="221"/>
      <c r="M20" s="221"/>
    </row>
    <row r="21" spans="1:10" s="212" customFormat="1" ht="12" customHeight="1">
      <c r="A21" s="97"/>
      <c r="B21" s="1096"/>
      <c r="C21" s="1053"/>
      <c r="D21" s="1091" t="s">
        <v>56</v>
      </c>
      <c r="E21" s="1108"/>
      <c r="F21" s="1109"/>
      <c r="G21" s="1091" t="s">
        <v>164</v>
      </c>
      <c r="H21" s="1108"/>
      <c r="I21" s="1109"/>
      <c r="J21" s="1110"/>
    </row>
    <row r="22" spans="1:10" s="212" customFormat="1" ht="12" customHeight="1">
      <c r="A22" s="97"/>
      <c r="B22" s="1096"/>
      <c r="C22" s="1053"/>
      <c r="D22" s="222" t="s">
        <v>135</v>
      </c>
      <c r="E22" s="222" t="s">
        <v>136</v>
      </c>
      <c r="F22" s="222" t="s">
        <v>142</v>
      </c>
      <c r="G22" s="222" t="s">
        <v>135</v>
      </c>
      <c r="H22" s="222" t="s">
        <v>136</v>
      </c>
      <c r="I22" s="222" t="s">
        <v>142</v>
      </c>
      <c r="J22" s="1111"/>
    </row>
    <row r="23" spans="1:10" s="212" customFormat="1" ht="12" customHeight="1">
      <c r="A23" s="97"/>
      <c r="B23" s="255" t="s">
        <v>165</v>
      </c>
      <c r="C23" s="263"/>
      <c r="D23" s="109">
        <f aca="true" t="shared" si="0" ref="D23:E25">I14*G14/100</f>
        <v>10987.640625</v>
      </c>
      <c r="E23" s="109">
        <f t="shared" si="0"/>
        <v>9740.718400385857</v>
      </c>
      <c r="F23" s="109">
        <f>D23-E23</f>
        <v>1246.9222246141435</v>
      </c>
      <c r="G23" s="109">
        <f aca="true" t="shared" si="1" ref="G23:H25">I17*G17/100</f>
        <v>13644.414158048525</v>
      </c>
      <c r="H23" s="109">
        <f t="shared" si="1"/>
        <v>11782.914158048525</v>
      </c>
      <c r="I23" s="109">
        <f>G23-H23</f>
        <v>1861.5</v>
      </c>
      <c r="J23" s="223" t="s">
        <v>180</v>
      </c>
    </row>
    <row r="24" spans="1:10" s="212" customFormat="1" ht="12" customHeight="1">
      <c r="A24" s="97"/>
      <c r="B24" s="256" t="s">
        <v>193</v>
      </c>
      <c r="C24" s="263"/>
      <c r="D24" s="109">
        <f t="shared" si="0"/>
        <v>16055.4375</v>
      </c>
      <c r="E24" s="109">
        <f t="shared" si="0"/>
        <v>14874.792607999625</v>
      </c>
      <c r="F24" s="109">
        <f>D24-E24</f>
        <v>1180.644892000375</v>
      </c>
      <c r="G24" s="109">
        <f t="shared" si="1"/>
        <v>19570.577338702118</v>
      </c>
      <c r="H24" s="109">
        <f t="shared" si="1"/>
        <v>17328.56483870212</v>
      </c>
      <c r="I24" s="109">
        <f>G24-H24</f>
        <v>2242.012499999997</v>
      </c>
      <c r="J24" s="223" t="s">
        <v>180</v>
      </c>
    </row>
    <row r="25" spans="1:10" s="212" customFormat="1" ht="12" customHeight="1">
      <c r="A25" s="97"/>
      <c r="B25" s="255" t="s">
        <v>167</v>
      </c>
      <c r="C25" s="263"/>
      <c r="D25" s="109">
        <f t="shared" si="0"/>
        <v>4666.315125000001</v>
      </c>
      <c r="E25" s="109">
        <f t="shared" si="0"/>
        <v>4281.9476333687535</v>
      </c>
      <c r="F25" s="109">
        <f>D25-E25</f>
        <v>384.3674916312475</v>
      </c>
      <c r="G25" s="109">
        <f t="shared" si="1"/>
        <v>6214.736803517031</v>
      </c>
      <c r="H25" s="109">
        <f t="shared" si="1"/>
        <v>5820.536803517032</v>
      </c>
      <c r="I25" s="109">
        <f>G25-H25</f>
        <v>394.1999999999989</v>
      </c>
      <c r="J25" s="223" t="s">
        <v>180</v>
      </c>
    </row>
    <row r="26" spans="1:13" s="212" customFormat="1" ht="28.5" customHeight="1">
      <c r="A26" s="97" t="s">
        <v>181</v>
      </c>
      <c r="B26" s="98"/>
      <c r="C26" s="98"/>
      <c r="D26" s="587"/>
      <c r="E26" s="588"/>
      <c r="F26" s="589"/>
      <c r="G26" s="218"/>
      <c r="H26" s="590"/>
      <c r="I26" s="165"/>
      <c r="J26" s="219"/>
      <c r="K26" s="219"/>
      <c r="L26" s="219"/>
      <c r="M26" s="219"/>
    </row>
    <row r="27" spans="1:13" s="212" customFormat="1" ht="12" customHeight="1">
      <c r="A27" s="97"/>
      <c r="B27" s="1096"/>
      <c r="C27" s="1053"/>
      <c r="D27" s="1115" t="s">
        <v>56</v>
      </c>
      <c r="E27" s="1116"/>
      <c r="F27" s="1117"/>
      <c r="G27" s="1115" t="s">
        <v>164</v>
      </c>
      <c r="H27" s="1116"/>
      <c r="I27" s="1117"/>
      <c r="J27" s="1110"/>
      <c r="K27" s="221"/>
      <c r="L27" s="221"/>
      <c r="M27" s="221"/>
    </row>
    <row r="28" spans="1:13" s="212" customFormat="1" ht="12" customHeight="1">
      <c r="A28" s="97"/>
      <c r="B28" s="1096"/>
      <c r="C28" s="1053"/>
      <c r="D28" s="222" t="s">
        <v>135</v>
      </c>
      <c r="E28" s="222" t="s">
        <v>136</v>
      </c>
      <c r="F28" s="222" t="s">
        <v>142</v>
      </c>
      <c r="G28" s="222" t="s">
        <v>135</v>
      </c>
      <c r="H28" s="222" t="s">
        <v>136</v>
      </c>
      <c r="I28" s="222" t="s">
        <v>142</v>
      </c>
      <c r="J28" s="1111"/>
      <c r="K28" s="221"/>
      <c r="L28" s="221"/>
      <c r="M28" s="221"/>
    </row>
    <row r="29" spans="1:13" s="212" customFormat="1" ht="12" customHeight="1">
      <c r="A29" s="97"/>
      <c r="B29" s="255" t="s">
        <v>165</v>
      </c>
      <c r="C29" s="128"/>
      <c r="D29" s="109">
        <f>F14*G14/100</f>
        <v>38790.375</v>
      </c>
      <c r="E29" s="109">
        <f>J8*H14/100</f>
        <v>32562.5625</v>
      </c>
      <c r="F29" s="109">
        <f>D29-E29</f>
        <v>6227.8125</v>
      </c>
      <c r="G29" s="109">
        <f>F17*G17/100</f>
        <v>22338</v>
      </c>
      <c r="H29" s="109">
        <f>M8*H17/100</f>
        <v>22338</v>
      </c>
      <c r="I29" s="109">
        <f>G29-H29</f>
        <v>0</v>
      </c>
      <c r="J29" s="223" t="s">
        <v>182</v>
      </c>
      <c r="K29" s="221"/>
      <c r="L29" s="221"/>
      <c r="M29" s="221"/>
    </row>
    <row r="30" spans="1:10" s="212" customFormat="1" ht="12" customHeight="1">
      <c r="A30" s="97"/>
      <c r="B30" s="256" t="s">
        <v>193</v>
      </c>
      <c r="C30" s="257"/>
      <c r="D30" s="109">
        <f>F15*G15/100</f>
        <v>63277.3125</v>
      </c>
      <c r="E30" s="109">
        <f>K8*H15/100</f>
        <v>56666.25</v>
      </c>
      <c r="F30" s="109">
        <f>D30-E30</f>
        <v>6611.0625</v>
      </c>
      <c r="G30" s="109">
        <f>F18*G18/100</f>
        <v>38434.5</v>
      </c>
      <c r="H30" s="109">
        <f>N8*H18/100</f>
        <v>38434.5</v>
      </c>
      <c r="I30" s="109">
        <f>G30-H30</f>
        <v>0</v>
      </c>
      <c r="J30" s="223" t="s">
        <v>182</v>
      </c>
    </row>
    <row r="31" spans="1:10" s="212" customFormat="1" ht="12" customHeight="1">
      <c r="A31" s="97"/>
      <c r="B31" s="255" t="s">
        <v>167</v>
      </c>
      <c r="C31" s="128"/>
      <c r="D31" s="109">
        <f>F16*G16/100</f>
        <v>14007.7875</v>
      </c>
      <c r="E31" s="109">
        <f>L8*H16/100</f>
        <v>9074.8125</v>
      </c>
      <c r="F31" s="109">
        <f>D31-E31</f>
        <v>4932.975</v>
      </c>
      <c r="G31" s="109">
        <f>F19*G19/100</f>
        <v>7884</v>
      </c>
      <c r="H31" s="109">
        <f>O8*H19/100</f>
        <v>7884</v>
      </c>
      <c r="I31" s="109">
        <f>G31-H31</f>
        <v>0</v>
      </c>
      <c r="J31" s="223" t="s">
        <v>182</v>
      </c>
    </row>
    <row r="32" spans="1:13" s="95" customFormat="1" ht="21" customHeight="1">
      <c r="A32" s="224"/>
      <c r="B32" s="225"/>
      <c r="C32" s="225"/>
      <c r="D32" s="225"/>
      <c r="E32" s="226"/>
      <c r="F32" s="226"/>
      <c r="G32" s="224"/>
      <c r="H32" s="224"/>
      <c r="I32" s="224"/>
      <c r="J32" s="224"/>
      <c r="K32" s="224"/>
      <c r="L32" s="224"/>
      <c r="M32" s="227"/>
    </row>
    <row r="33" spans="1:13" s="99" customFormat="1" ht="21" customHeight="1">
      <c r="A33" s="181" t="s">
        <v>149</v>
      </c>
      <c r="B33" s="182"/>
      <c r="C33" s="182"/>
      <c r="D33" s="182"/>
      <c r="E33" s="183"/>
      <c r="F33" s="183"/>
      <c r="M33" s="184"/>
    </row>
    <row r="34" spans="1:14" s="185" customFormat="1" ht="12.75" customHeight="1">
      <c r="A34" s="228"/>
      <c r="B34" s="186" t="s">
        <v>150</v>
      </c>
      <c r="C34" s="186"/>
      <c r="D34" s="1113" t="s">
        <v>151</v>
      </c>
      <c r="E34" s="1114"/>
      <c r="F34" s="229"/>
      <c r="G34" s="188"/>
      <c r="H34" s="188"/>
      <c r="I34" s="230"/>
      <c r="J34" s="189"/>
      <c r="L34" s="231"/>
      <c r="N34" s="232"/>
    </row>
    <row r="35" spans="1:14" s="185" customFormat="1" ht="12" customHeight="1">
      <c r="A35" s="192"/>
      <c r="B35" s="190"/>
      <c r="C35" s="190"/>
      <c r="D35" s="233" t="s">
        <v>183</v>
      </c>
      <c r="E35" s="234"/>
      <c r="F35" s="234"/>
      <c r="G35" s="234"/>
      <c r="H35" s="234"/>
      <c r="I35" s="234"/>
      <c r="J35" s="234"/>
      <c r="K35" s="234"/>
      <c r="L35" s="234"/>
      <c r="N35" s="232"/>
    </row>
    <row r="36" spans="1:14" s="185" customFormat="1" ht="12" customHeight="1">
      <c r="A36" s="192"/>
      <c r="B36" s="190"/>
      <c r="C36" s="190"/>
      <c r="D36" s="191" t="s">
        <v>158</v>
      </c>
      <c r="E36" s="197"/>
      <c r="F36" s="197"/>
      <c r="G36" s="197"/>
      <c r="H36" s="197"/>
      <c r="I36" s="197"/>
      <c r="J36" s="197"/>
      <c r="L36" s="231"/>
      <c r="N36" s="232"/>
    </row>
    <row r="37" spans="1:14" s="238" customFormat="1" ht="18.75" customHeight="1">
      <c r="A37" s="235"/>
      <c r="B37" s="186" t="s">
        <v>184</v>
      </c>
      <c r="C37" s="186"/>
      <c r="D37" s="191" t="s">
        <v>185</v>
      </c>
      <c r="E37" s="236"/>
      <c r="F37" s="237"/>
      <c r="G37" s="237"/>
      <c r="H37" s="237"/>
      <c r="I37" s="230"/>
      <c r="L37" s="231"/>
      <c r="N37" s="232"/>
    </row>
    <row r="38" spans="1:8" s="238" customFormat="1" ht="18.75" customHeight="1">
      <c r="A38" s="235"/>
      <c r="B38" s="186" t="s">
        <v>155</v>
      </c>
      <c r="C38" s="186"/>
      <c r="D38" s="191" t="s">
        <v>156</v>
      </c>
      <c r="E38" s="236"/>
      <c r="F38" s="237"/>
      <c r="G38" s="237"/>
      <c r="H38" s="237"/>
    </row>
    <row r="39" spans="1:14" s="185" customFormat="1" ht="18.75" customHeight="1">
      <c r="A39" s="192"/>
      <c r="B39" s="186" t="s">
        <v>157</v>
      </c>
      <c r="C39" s="186"/>
      <c r="D39" s="191" t="s">
        <v>186</v>
      </c>
      <c r="E39" s="187"/>
      <c r="F39" s="188"/>
      <c r="G39" s="188"/>
      <c r="H39" s="188"/>
      <c r="I39" s="189"/>
      <c r="J39" s="189"/>
      <c r="L39" s="189"/>
      <c r="N39" s="189"/>
    </row>
  </sheetData>
  <sheetProtection sheet="1"/>
  <mergeCells count="29">
    <mergeCell ref="A1:I1"/>
    <mergeCell ref="J27:J28"/>
    <mergeCell ref="D34:E34"/>
    <mergeCell ref="B27:C28"/>
    <mergeCell ref="D27:F27"/>
    <mergeCell ref="G27:I27"/>
    <mergeCell ref="G12:H12"/>
    <mergeCell ref="I12:J12"/>
    <mergeCell ref="B7:C7"/>
    <mergeCell ref="B8:C8"/>
    <mergeCell ref="K12:K13"/>
    <mergeCell ref="B14:B16"/>
    <mergeCell ref="B17:B19"/>
    <mergeCell ref="B21:C22"/>
    <mergeCell ref="D21:F21"/>
    <mergeCell ref="G21:I21"/>
    <mergeCell ref="J21:J22"/>
    <mergeCell ref="B9:C9"/>
    <mergeCell ref="B10:C10"/>
    <mergeCell ref="B12:C13"/>
    <mergeCell ref="D12:D13"/>
    <mergeCell ref="B4:C6"/>
    <mergeCell ref="D4:I4"/>
    <mergeCell ref="J4:O4"/>
    <mergeCell ref="P4:P6"/>
    <mergeCell ref="D5:F5"/>
    <mergeCell ref="G5:I5"/>
    <mergeCell ref="J5:L5"/>
    <mergeCell ref="M5:O5"/>
  </mergeCells>
  <hyperlinks>
    <hyperlink ref="D34" r:id="rId1" display="- ENERGY STAR specification"/>
  </hyperlinks>
  <printOptions horizontalCentered="1"/>
  <pageMargins left="0.5" right="0.5" top="0.5" bottom="0.5" header="0.5" footer="0.25"/>
  <pageSetup fitToHeight="1" fitToWidth="1" horizontalDpi="600" verticalDpi="600" orientation="landscape" r:id="rId2"/>
</worksheet>
</file>

<file path=xl/worksheets/sheet18.xml><?xml version="1.0" encoding="utf-8"?>
<worksheet xmlns="http://schemas.openxmlformats.org/spreadsheetml/2006/main" xmlns:r="http://schemas.openxmlformats.org/officeDocument/2006/relationships">
  <sheetPr codeName="x_Conversions"/>
  <dimension ref="A1:G30"/>
  <sheetViews>
    <sheetView zoomScalePageLayoutView="0" workbookViewId="0" topLeftCell="A1">
      <selection activeCell="D1" sqref="D1"/>
    </sheetView>
  </sheetViews>
  <sheetFormatPr defaultColWidth="9.140625" defaultRowHeight="15"/>
  <cols>
    <col min="1" max="1" width="26.421875" style="0" bestFit="1" customWidth="1"/>
    <col min="2" max="2" width="14.7109375" style="0" bestFit="1" customWidth="1"/>
    <col min="4" max="4" width="26.421875" style="0" bestFit="1" customWidth="1"/>
    <col min="5" max="5" width="10.140625" style="0" bestFit="1" customWidth="1"/>
  </cols>
  <sheetData>
    <row r="1" spans="1:7" ht="15">
      <c r="A1" s="472" t="s">
        <v>363</v>
      </c>
      <c r="B1" s="473" t="s">
        <v>83</v>
      </c>
      <c r="D1" s="472" t="s">
        <v>82</v>
      </c>
      <c r="E1" s="473" t="s">
        <v>83</v>
      </c>
      <c r="F1" s="240"/>
      <c r="G1" s="241"/>
    </row>
    <row r="2" spans="1:7" ht="15">
      <c r="A2" s="468" t="s">
        <v>364</v>
      </c>
      <c r="B2" s="541">
        <f>1/43560</f>
        <v>2.295684113865932E-05</v>
      </c>
      <c r="D2" s="468" t="s">
        <v>182</v>
      </c>
      <c r="E2" s="481">
        <v>1</v>
      </c>
      <c r="G2" s="242"/>
    </row>
    <row r="3" spans="1:7" ht="15">
      <c r="A3" s="468" t="s">
        <v>365</v>
      </c>
      <c r="B3" s="481">
        <v>325850</v>
      </c>
      <c r="D3" s="468" t="s">
        <v>788</v>
      </c>
      <c r="E3" s="469">
        <v>0.264172</v>
      </c>
      <c r="G3" s="242"/>
    </row>
    <row r="4" spans="1:5" ht="15.75" thickBot="1">
      <c r="A4" s="470" t="s">
        <v>443</v>
      </c>
      <c r="B4" s="580">
        <f>0.03412*E17</f>
        <v>0.003319066147859922</v>
      </c>
      <c r="D4" s="468" t="s">
        <v>789</v>
      </c>
      <c r="E4" s="469">
        <v>7.48052</v>
      </c>
    </row>
    <row r="5" spans="4:5" ht="15">
      <c r="D5" s="468" t="s">
        <v>790</v>
      </c>
      <c r="E5" s="469">
        <f>100*E4</f>
        <v>748.052</v>
      </c>
    </row>
    <row r="6" spans="4:5" ht="15">
      <c r="D6" s="468" t="s">
        <v>791</v>
      </c>
      <c r="E6" s="469">
        <f>1000*E4</f>
        <v>7480.52</v>
      </c>
    </row>
    <row r="7" spans="4:5" ht="15">
      <c r="D7" s="468" t="s">
        <v>792</v>
      </c>
      <c r="E7" s="469">
        <v>1000</v>
      </c>
    </row>
    <row r="8" spans="4:5" ht="15">
      <c r="D8" s="468" t="s">
        <v>854</v>
      </c>
      <c r="E8" s="469">
        <v>264.172</v>
      </c>
    </row>
    <row r="9" spans="4:5" ht="15">
      <c r="D9" s="468" t="s">
        <v>793</v>
      </c>
      <c r="E9" s="469">
        <v>325851.427</v>
      </c>
    </row>
    <row r="10" spans="4:5" ht="15.75" thickBot="1">
      <c r="D10" s="470" t="s">
        <v>794</v>
      </c>
      <c r="E10" s="471">
        <v>0</v>
      </c>
    </row>
    <row r="11" ht="15.75" thickBot="1">
      <c r="E11" s="57"/>
    </row>
    <row r="12" spans="4:5" ht="15">
      <c r="D12" s="472" t="s">
        <v>89</v>
      </c>
      <c r="E12" s="480" t="s">
        <v>83</v>
      </c>
    </row>
    <row r="13" spans="4:5" ht="15">
      <c r="D13" s="468" t="s">
        <v>795</v>
      </c>
      <c r="E13" s="481">
        <v>1</v>
      </c>
    </row>
    <row r="14" spans="4:5" ht="17.25">
      <c r="D14" s="468" t="s">
        <v>796</v>
      </c>
      <c r="E14" s="477">
        <f>35.3147/1000</f>
        <v>0.035314700000000004</v>
      </c>
    </row>
    <row r="15" spans="4:5" ht="15">
      <c r="D15" s="468" t="s">
        <v>786</v>
      </c>
      <c r="E15" s="477">
        <f>1/1028</f>
        <v>0.0009727626459143969</v>
      </c>
    </row>
    <row r="16" spans="4:5" ht="15">
      <c r="D16" s="468" t="s">
        <v>787</v>
      </c>
      <c r="E16" s="477">
        <f>E15*1000</f>
        <v>0.9727626459143969</v>
      </c>
    </row>
    <row r="17" spans="4:5" ht="15">
      <c r="D17" s="468" t="s">
        <v>262</v>
      </c>
      <c r="E17" s="477">
        <f>E15*100</f>
        <v>0.09727626459143969</v>
      </c>
    </row>
    <row r="18" spans="4:5" ht="15">
      <c r="D18" s="468" t="s">
        <v>789</v>
      </c>
      <c r="E18" s="477">
        <f>1/1000</f>
        <v>0.001</v>
      </c>
    </row>
    <row r="19" spans="4:5" ht="15">
      <c r="D19" s="468" t="s">
        <v>790</v>
      </c>
      <c r="E19" s="478">
        <f>1/10</f>
        <v>0.1</v>
      </c>
    </row>
    <row r="20" spans="4:5" ht="15.75" thickBot="1">
      <c r="D20" s="470" t="s">
        <v>797</v>
      </c>
      <c r="E20" s="479">
        <v>1000</v>
      </c>
    </row>
    <row r="21" ht="15.75" thickBot="1">
      <c r="E21" s="57"/>
    </row>
    <row r="22" spans="4:5" ht="15">
      <c r="D22" s="472" t="s">
        <v>87</v>
      </c>
      <c r="E22" s="476" t="s">
        <v>83</v>
      </c>
    </row>
    <row r="23" spans="4:5" ht="15">
      <c r="D23" s="468" t="s">
        <v>784</v>
      </c>
      <c r="E23" s="481">
        <v>1</v>
      </c>
    </row>
    <row r="24" spans="4:5" ht="15">
      <c r="D24" s="468" t="s">
        <v>785</v>
      </c>
      <c r="E24" s="474">
        <v>1000</v>
      </c>
    </row>
    <row r="25" spans="4:5" ht="15">
      <c r="D25" s="468" t="s">
        <v>786</v>
      </c>
      <c r="E25" s="474">
        <v>0.29307107017222</v>
      </c>
    </row>
    <row r="26" spans="4:5" ht="15.75" thickBot="1">
      <c r="D26" s="470" t="s">
        <v>787</v>
      </c>
      <c r="E26" s="475">
        <v>293.07107017222</v>
      </c>
    </row>
    <row r="27" ht="15.75" thickBot="1">
      <c r="E27" s="57"/>
    </row>
    <row r="28" spans="4:5" ht="15">
      <c r="D28" s="472" t="s">
        <v>188</v>
      </c>
      <c r="E28" s="480" t="s">
        <v>83</v>
      </c>
    </row>
    <row r="29" spans="4:5" ht="15">
      <c r="D29" s="468" t="s">
        <v>798</v>
      </c>
      <c r="E29" s="481">
        <v>100000</v>
      </c>
    </row>
    <row r="30" spans="4:5" ht="15.75" thickBot="1">
      <c r="D30" s="470" t="s">
        <v>189</v>
      </c>
      <c r="E30" s="482">
        <v>3413</v>
      </c>
    </row>
  </sheetData>
  <sheetProtection sheet="1"/>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sheetPr codeName="Sources">
    <pageSetUpPr fitToPage="1"/>
  </sheetPr>
  <dimension ref="A1:D142"/>
  <sheetViews>
    <sheetView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A1" sqref="A1"/>
    </sheetView>
  </sheetViews>
  <sheetFormatPr defaultColWidth="33.57421875" defaultRowHeight="15"/>
  <cols>
    <col min="1" max="1" width="50.7109375" style="679" customWidth="1"/>
    <col min="2" max="2" width="10.28125" style="688" bestFit="1" customWidth="1"/>
    <col min="3" max="3" width="26.421875" style="689" bestFit="1" customWidth="1"/>
    <col min="4" max="4" width="118.8515625" style="679" customWidth="1"/>
    <col min="5" max="16384" width="33.57421875" style="672" customWidth="1"/>
  </cols>
  <sheetData>
    <row r="1" spans="1:4" ht="15.75" thickBot="1">
      <c r="A1" s="670" t="s">
        <v>517</v>
      </c>
      <c r="B1" s="671" t="s">
        <v>518</v>
      </c>
      <c r="C1" s="671" t="s">
        <v>19</v>
      </c>
      <c r="D1" s="671" t="s">
        <v>519</v>
      </c>
    </row>
    <row r="2" spans="1:4" ht="15.75" thickTop="1">
      <c r="A2" s="673" t="s">
        <v>367</v>
      </c>
      <c r="B2" s="674"/>
      <c r="C2" s="675"/>
      <c r="D2" s="673"/>
    </row>
    <row r="3" spans="1:4" ht="15">
      <c r="A3" s="676" t="s">
        <v>653</v>
      </c>
      <c r="B3" s="677">
        <v>365</v>
      </c>
      <c r="C3" s="678" t="s">
        <v>172</v>
      </c>
      <c r="D3" s="679" t="s">
        <v>520</v>
      </c>
    </row>
    <row r="4" spans="1:4" ht="15">
      <c r="A4" s="676" t="s">
        <v>521</v>
      </c>
      <c r="B4" s="680">
        <v>0.61</v>
      </c>
      <c r="C4" s="678"/>
      <c r="D4" s="679" t="s">
        <v>520</v>
      </c>
    </row>
    <row r="5" spans="1:4" ht="15">
      <c r="A5" s="676" t="s">
        <v>522</v>
      </c>
      <c r="B5" s="677">
        <v>1.4</v>
      </c>
      <c r="C5" s="678" t="s">
        <v>523</v>
      </c>
      <c r="D5" s="679" t="s">
        <v>520</v>
      </c>
    </row>
    <row r="6" spans="1:4" ht="15">
      <c r="A6" s="679" t="s">
        <v>654</v>
      </c>
      <c r="B6" s="681">
        <v>3.81</v>
      </c>
      <c r="C6" s="682" t="s">
        <v>86</v>
      </c>
      <c r="D6" s="679" t="s">
        <v>884</v>
      </c>
    </row>
    <row r="7" spans="1:4" ht="15">
      <c r="A7" s="679" t="s">
        <v>655</v>
      </c>
      <c r="B7" s="681">
        <v>5.06</v>
      </c>
      <c r="C7" s="682" t="s">
        <v>86</v>
      </c>
      <c r="D7" s="679" t="s">
        <v>884</v>
      </c>
    </row>
    <row r="8" spans="1:4" ht="15">
      <c r="A8" s="679" t="s">
        <v>656</v>
      </c>
      <c r="B8" s="806">
        <v>0.1075</v>
      </c>
      <c r="C8" s="682" t="s">
        <v>88</v>
      </c>
      <c r="D8" s="679" t="s">
        <v>885</v>
      </c>
    </row>
    <row r="9" spans="1:4" ht="15.75" thickBot="1">
      <c r="A9" s="679" t="s">
        <v>657</v>
      </c>
      <c r="B9" s="681">
        <v>8.87</v>
      </c>
      <c r="C9" s="682" t="s">
        <v>90</v>
      </c>
      <c r="D9" s="679" t="s">
        <v>885</v>
      </c>
    </row>
    <row r="10" spans="1:4" ht="15.75" thickTop="1">
      <c r="A10" s="683" t="s">
        <v>524</v>
      </c>
      <c r="B10" s="684"/>
      <c r="C10" s="685"/>
      <c r="D10" s="686"/>
    </row>
    <row r="11" spans="1:4" ht="30">
      <c r="A11" s="687" t="s">
        <v>525</v>
      </c>
      <c r="B11" s="688">
        <v>5</v>
      </c>
      <c r="C11" s="689" t="s">
        <v>526</v>
      </c>
      <c r="D11" s="679" t="s">
        <v>527</v>
      </c>
    </row>
    <row r="12" spans="1:4" ht="30">
      <c r="A12" s="687" t="s">
        <v>528</v>
      </c>
      <c r="B12" s="688">
        <v>3.5</v>
      </c>
      <c r="C12" s="689" t="s">
        <v>526</v>
      </c>
      <c r="D12" s="679" t="s">
        <v>529</v>
      </c>
    </row>
    <row r="13" spans="1:4" ht="30">
      <c r="A13" s="687" t="s">
        <v>530</v>
      </c>
      <c r="B13" s="688">
        <v>1.6</v>
      </c>
      <c r="C13" s="689" t="s">
        <v>526</v>
      </c>
      <c r="D13" s="672" t="s">
        <v>531</v>
      </c>
    </row>
    <row r="14" spans="1:4" ht="30">
      <c r="A14" s="687" t="s">
        <v>532</v>
      </c>
      <c r="B14" s="688">
        <v>5</v>
      </c>
      <c r="C14" s="689" t="s">
        <v>526</v>
      </c>
      <c r="D14" s="679" t="s">
        <v>527</v>
      </c>
    </row>
    <row r="15" spans="1:4" ht="30">
      <c r="A15" s="687" t="s">
        <v>533</v>
      </c>
      <c r="B15" s="688">
        <v>3.5</v>
      </c>
      <c r="C15" s="689" t="s">
        <v>526</v>
      </c>
      <c r="D15" s="679" t="s">
        <v>529</v>
      </c>
    </row>
    <row r="16" spans="1:4" ht="30">
      <c r="A16" s="687" t="s">
        <v>534</v>
      </c>
      <c r="B16" s="688">
        <v>1.6</v>
      </c>
      <c r="C16" s="689" t="s">
        <v>526</v>
      </c>
      <c r="D16" s="672" t="s">
        <v>531</v>
      </c>
    </row>
    <row r="17" spans="1:4" ht="30">
      <c r="A17" s="687" t="s">
        <v>535</v>
      </c>
      <c r="B17" s="688">
        <v>1.28</v>
      </c>
      <c r="C17" s="689" t="s">
        <v>526</v>
      </c>
      <c r="D17" s="679" t="s">
        <v>658</v>
      </c>
    </row>
    <row r="18" spans="1:4" ht="15">
      <c r="A18" s="676" t="s">
        <v>536</v>
      </c>
      <c r="B18" s="688">
        <v>2.2</v>
      </c>
      <c r="C18" s="689" t="s">
        <v>537</v>
      </c>
      <c r="D18" s="679" t="s">
        <v>531</v>
      </c>
    </row>
    <row r="19" spans="1:4" ht="15">
      <c r="A19" s="676" t="s">
        <v>538</v>
      </c>
      <c r="B19" s="688">
        <v>2.5</v>
      </c>
      <c r="C19" s="689" t="s">
        <v>537</v>
      </c>
      <c r="D19" s="679" t="s">
        <v>531</v>
      </c>
    </row>
    <row r="20" spans="1:4" ht="30">
      <c r="A20" s="676" t="s">
        <v>659</v>
      </c>
      <c r="B20" s="690">
        <v>1.28</v>
      </c>
      <c r="C20" s="691" t="s">
        <v>526</v>
      </c>
      <c r="D20" s="679" t="s">
        <v>539</v>
      </c>
    </row>
    <row r="21" spans="1:4" ht="30">
      <c r="A21" s="676" t="s">
        <v>660</v>
      </c>
      <c r="B21" s="690">
        <v>1.28</v>
      </c>
      <c r="C21" s="691" t="s">
        <v>526</v>
      </c>
      <c r="D21" s="676" t="s">
        <v>661</v>
      </c>
    </row>
    <row r="22" spans="1:4" ht="30">
      <c r="A22" s="676" t="s">
        <v>662</v>
      </c>
      <c r="B22" s="690">
        <v>1.5</v>
      </c>
      <c r="C22" s="691" t="s">
        <v>537</v>
      </c>
      <c r="D22" s="679" t="s">
        <v>540</v>
      </c>
    </row>
    <row r="23" spans="1:4" ht="30">
      <c r="A23" s="676" t="s">
        <v>541</v>
      </c>
      <c r="B23" s="690">
        <v>2</v>
      </c>
      <c r="C23" s="691" t="s">
        <v>537</v>
      </c>
      <c r="D23" s="679" t="s">
        <v>542</v>
      </c>
    </row>
    <row r="24" spans="1:4" ht="30">
      <c r="A24" s="692" t="s">
        <v>26</v>
      </c>
      <c r="B24" s="655">
        <v>5.05</v>
      </c>
      <c r="C24" s="689" t="s">
        <v>543</v>
      </c>
      <c r="D24" s="679" t="s">
        <v>544</v>
      </c>
    </row>
    <row r="25" spans="1:4" ht="30">
      <c r="A25" s="692" t="s">
        <v>27</v>
      </c>
      <c r="B25" s="655">
        <v>8.1</v>
      </c>
      <c r="C25" s="689" t="s">
        <v>545</v>
      </c>
      <c r="D25" s="679" t="s">
        <v>544</v>
      </c>
    </row>
    <row r="26" spans="1:4" ht="30">
      <c r="A26" s="692" t="s">
        <v>28</v>
      </c>
      <c r="B26" s="655">
        <v>8.2</v>
      </c>
      <c r="C26" s="689" t="s">
        <v>545</v>
      </c>
      <c r="D26" s="679" t="s">
        <v>546</v>
      </c>
    </row>
    <row r="27" spans="1:4" ht="15">
      <c r="A27" s="692" t="s">
        <v>29</v>
      </c>
      <c r="B27" s="655">
        <v>1</v>
      </c>
      <c r="C27" s="691" t="s">
        <v>547</v>
      </c>
      <c r="D27" s="672" t="s">
        <v>548</v>
      </c>
    </row>
    <row r="28" spans="1:4" ht="30">
      <c r="A28" s="692" t="s">
        <v>31</v>
      </c>
      <c r="B28" s="656">
        <v>0.727</v>
      </c>
      <c r="D28" s="679" t="s">
        <v>549</v>
      </c>
    </row>
    <row r="29" spans="1:4" ht="30">
      <c r="A29" s="692" t="s">
        <v>30</v>
      </c>
      <c r="B29" s="656">
        <v>0.731</v>
      </c>
      <c r="D29" s="679" t="s">
        <v>549</v>
      </c>
    </row>
    <row r="30" spans="1:4" ht="90">
      <c r="A30" s="692" t="s">
        <v>35</v>
      </c>
      <c r="B30" s="655">
        <v>0.17664</v>
      </c>
      <c r="C30" s="691" t="s">
        <v>550</v>
      </c>
      <c r="D30" s="679" t="s">
        <v>850</v>
      </c>
    </row>
    <row r="31" spans="1:4" ht="90.75" thickBot="1">
      <c r="A31" s="692" t="s">
        <v>32</v>
      </c>
      <c r="B31" s="655">
        <v>0.0008774</v>
      </c>
      <c r="C31" s="691" t="s">
        <v>551</v>
      </c>
      <c r="D31" s="679" t="s">
        <v>851</v>
      </c>
    </row>
    <row r="32" spans="1:4" ht="15.75" thickTop="1">
      <c r="A32" s="683" t="s">
        <v>377</v>
      </c>
      <c r="B32" s="684"/>
      <c r="C32" s="685"/>
      <c r="D32" s="686"/>
    </row>
    <row r="33" spans="1:4" ht="30">
      <c r="A33" s="687" t="s">
        <v>525</v>
      </c>
      <c r="B33" s="688">
        <v>5</v>
      </c>
      <c r="C33" s="689" t="s">
        <v>526</v>
      </c>
      <c r="D33" s="679" t="s">
        <v>527</v>
      </c>
    </row>
    <row r="34" spans="1:4" ht="30">
      <c r="A34" s="687" t="s">
        <v>528</v>
      </c>
      <c r="B34" s="688">
        <v>3.5</v>
      </c>
      <c r="C34" s="689" t="s">
        <v>526</v>
      </c>
      <c r="D34" s="679" t="s">
        <v>529</v>
      </c>
    </row>
    <row r="35" spans="1:4" ht="30">
      <c r="A35" s="687" t="s">
        <v>530</v>
      </c>
      <c r="B35" s="688">
        <v>1.6</v>
      </c>
      <c r="C35" s="689" t="s">
        <v>526</v>
      </c>
      <c r="D35" s="672" t="s">
        <v>531</v>
      </c>
    </row>
    <row r="36" spans="1:4" ht="30">
      <c r="A36" s="687" t="s">
        <v>532</v>
      </c>
      <c r="B36" s="688">
        <v>5</v>
      </c>
      <c r="C36" s="689" t="s">
        <v>526</v>
      </c>
      <c r="D36" s="679" t="s">
        <v>527</v>
      </c>
    </row>
    <row r="37" spans="1:4" ht="30">
      <c r="A37" s="687" t="s">
        <v>533</v>
      </c>
      <c r="B37" s="688">
        <v>3.5</v>
      </c>
      <c r="C37" s="689" t="s">
        <v>526</v>
      </c>
      <c r="D37" s="679" t="s">
        <v>529</v>
      </c>
    </row>
    <row r="38" spans="1:4" ht="30">
      <c r="A38" s="687" t="s">
        <v>534</v>
      </c>
      <c r="B38" s="688">
        <v>1.6</v>
      </c>
      <c r="C38" s="689" t="s">
        <v>526</v>
      </c>
      <c r="D38" s="672" t="s">
        <v>531</v>
      </c>
    </row>
    <row r="39" spans="1:4" ht="30">
      <c r="A39" s="687" t="s">
        <v>535</v>
      </c>
      <c r="B39" s="688">
        <v>1.28</v>
      </c>
      <c r="C39" s="689" t="s">
        <v>526</v>
      </c>
      <c r="D39" s="679" t="s">
        <v>658</v>
      </c>
    </row>
    <row r="40" spans="1:4" ht="30">
      <c r="A40" s="672" t="s">
        <v>552</v>
      </c>
      <c r="B40" s="693">
        <v>1.5</v>
      </c>
      <c r="C40" s="694" t="s">
        <v>526</v>
      </c>
      <c r="D40" s="695" t="s">
        <v>553</v>
      </c>
    </row>
    <row r="41" spans="1:4" ht="15">
      <c r="A41" s="687" t="s">
        <v>554</v>
      </c>
      <c r="B41" s="693">
        <v>1</v>
      </c>
      <c r="C41" s="694" t="s">
        <v>526</v>
      </c>
      <c r="D41" s="695" t="s">
        <v>531</v>
      </c>
    </row>
    <row r="42" spans="1:4" ht="15">
      <c r="A42" s="687" t="s">
        <v>536</v>
      </c>
      <c r="B42" s="688">
        <v>2.2</v>
      </c>
      <c r="C42" s="689" t="s">
        <v>537</v>
      </c>
      <c r="D42" s="679" t="s">
        <v>531</v>
      </c>
    </row>
    <row r="43" spans="1:4" ht="15">
      <c r="A43" s="676" t="s">
        <v>538</v>
      </c>
      <c r="B43" s="688">
        <v>2.5</v>
      </c>
      <c r="C43" s="689" t="s">
        <v>537</v>
      </c>
      <c r="D43" s="679" t="s">
        <v>531</v>
      </c>
    </row>
    <row r="44" spans="1:4" ht="30">
      <c r="A44" s="676" t="s">
        <v>659</v>
      </c>
      <c r="B44" s="690">
        <v>1.28</v>
      </c>
      <c r="C44" s="691" t="s">
        <v>526</v>
      </c>
      <c r="D44" s="679" t="s">
        <v>539</v>
      </c>
    </row>
    <row r="45" spans="1:4" ht="30">
      <c r="A45" s="676" t="s">
        <v>660</v>
      </c>
      <c r="B45" s="690">
        <v>1.28</v>
      </c>
      <c r="C45" s="691" t="s">
        <v>526</v>
      </c>
      <c r="D45" s="676" t="s">
        <v>661</v>
      </c>
    </row>
    <row r="46" spans="1:4" ht="30">
      <c r="A46" s="676" t="s">
        <v>555</v>
      </c>
      <c r="B46" s="690">
        <v>0.5</v>
      </c>
      <c r="C46" s="691" t="s">
        <v>526</v>
      </c>
      <c r="D46" s="679" t="s">
        <v>556</v>
      </c>
    </row>
    <row r="47" spans="1:4" ht="30">
      <c r="A47" s="687" t="s">
        <v>663</v>
      </c>
      <c r="B47" s="690">
        <v>0.5</v>
      </c>
      <c r="C47" s="691" t="s">
        <v>526</v>
      </c>
      <c r="D47" s="672" t="s">
        <v>664</v>
      </c>
    </row>
    <row r="48" spans="1:4" ht="30">
      <c r="A48" s="687" t="s">
        <v>541</v>
      </c>
      <c r="B48" s="690">
        <v>2</v>
      </c>
      <c r="C48" s="691" t="s">
        <v>537</v>
      </c>
      <c r="D48" s="679" t="s">
        <v>542</v>
      </c>
    </row>
    <row r="49" spans="1:4" ht="15">
      <c r="A49" s="679" t="s">
        <v>347</v>
      </c>
      <c r="B49" s="696">
        <v>0.5</v>
      </c>
      <c r="D49" s="676" t="s">
        <v>557</v>
      </c>
    </row>
    <row r="50" spans="1:4" ht="15">
      <c r="A50" s="679" t="s">
        <v>348</v>
      </c>
      <c r="B50" s="696">
        <v>0.5</v>
      </c>
      <c r="D50" s="676" t="s">
        <v>557</v>
      </c>
    </row>
    <row r="51" spans="1:4" ht="15">
      <c r="A51" s="679" t="s">
        <v>405</v>
      </c>
      <c r="B51" s="655">
        <v>3</v>
      </c>
      <c r="C51" s="689" t="s">
        <v>558</v>
      </c>
      <c r="D51" s="679" t="s">
        <v>559</v>
      </c>
    </row>
    <row r="52" spans="1:4" ht="15">
      <c r="A52" s="679" t="s">
        <v>406</v>
      </c>
      <c r="B52" s="655">
        <v>0.5</v>
      </c>
      <c r="C52" s="689" t="s">
        <v>558</v>
      </c>
      <c r="D52" s="679" t="s">
        <v>559</v>
      </c>
    </row>
    <row r="53" spans="1:4" ht="15">
      <c r="A53" s="679" t="s">
        <v>407</v>
      </c>
      <c r="B53" s="655">
        <v>1</v>
      </c>
      <c r="C53" s="689" t="s">
        <v>558</v>
      </c>
      <c r="D53" s="679" t="s">
        <v>559</v>
      </c>
    </row>
    <row r="54" spans="1:4" ht="15">
      <c r="A54" s="679" t="s">
        <v>408</v>
      </c>
      <c r="B54" s="655">
        <v>0.1</v>
      </c>
      <c r="C54" s="689" t="s">
        <v>558</v>
      </c>
      <c r="D54" s="679" t="s">
        <v>559</v>
      </c>
    </row>
    <row r="55" spans="1:4" ht="15">
      <c r="A55" s="679" t="s">
        <v>409</v>
      </c>
      <c r="B55" s="655">
        <v>2</v>
      </c>
      <c r="C55" s="689" t="s">
        <v>558</v>
      </c>
      <c r="D55" s="679" t="s">
        <v>559</v>
      </c>
    </row>
    <row r="56" spans="1:4" ht="15">
      <c r="A56" s="679" t="s">
        <v>410</v>
      </c>
      <c r="B56" s="655">
        <v>0.4</v>
      </c>
      <c r="C56" s="689" t="s">
        <v>558</v>
      </c>
      <c r="D56" s="679" t="s">
        <v>559</v>
      </c>
    </row>
    <row r="57" spans="1:4" ht="15">
      <c r="A57" s="679" t="s">
        <v>57</v>
      </c>
      <c r="B57" s="655">
        <v>1</v>
      </c>
      <c r="C57" s="689" t="s">
        <v>560</v>
      </c>
      <c r="D57" s="679" t="s">
        <v>559</v>
      </c>
    </row>
    <row r="58" spans="1:4" ht="15">
      <c r="A58" s="679" t="s">
        <v>53</v>
      </c>
      <c r="B58" s="655">
        <v>0.5</v>
      </c>
      <c r="C58" s="691" t="s">
        <v>545</v>
      </c>
      <c r="D58" s="679" t="s">
        <v>559</v>
      </c>
    </row>
    <row r="59" spans="1:4" ht="15">
      <c r="A59" s="679" t="s">
        <v>50</v>
      </c>
      <c r="B59" s="655">
        <v>0.1</v>
      </c>
      <c r="C59" s="689" t="s">
        <v>560</v>
      </c>
      <c r="D59" s="679" t="s">
        <v>559</v>
      </c>
    </row>
    <row r="60" spans="1:4" ht="15">
      <c r="A60" s="679" t="s">
        <v>28</v>
      </c>
      <c r="B60" s="655">
        <v>5</v>
      </c>
      <c r="C60" s="691" t="s">
        <v>545</v>
      </c>
      <c r="D60" s="679" t="s">
        <v>559</v>
      </c>
    </row>
    <row r="61" spans="1:4" ht="30">
      <c r="A61" s="679" t="s">
        <v>31</v>
      </c>
      <c r="B61" s="656">
        <v>0.727</v>
      </c>
      <c r="D61" s="679" t="s">
        <v>549</v>
      </c>
    </row>
    <row r="62" spans="1:4" ht="30">
      <c r="A62" s="679" t="s">
        <v>30</v>
      </c>
      <c r="B62" s="656">
        <v>0.731</v>
      </c>
      <c r="D62" s="679" t="s">
        <v>549</v>
      </c>
    </row>
    <row r="63" spans="1:4" ht="90">
      <c r="A63" s="679" t="s">
        <v>35</v>
      </c>
      <c r="B63" s="655">
        <v>0.17664</v>
      </c>
      <c r="C63" s="689" t="s">
        <v>550</v>
      </c>
      <c r="D63" s="679" t="s">
        <v>850</v>
      </c>
    </row>
    <row r="64" spans="1:4" ht="90.75" thickBot="1">
      <c r="A64" s="679" t="s">
        <v>32</v>
      </c>
      <c r="B64" s="655">
        <v>0.0008774</v>
      </c>
      <c r="C64" s="689" t="s">
        <v>551</v>
      </c>
      <c r="D64" s="679" t="s">
        <v>851</v>
      </c>
    </row>
    <row r="65" spans="1:4" ht="15.75" thickTop="1">
      <c r="A65" s="683" t="s">
        <v>381</v>
      </c>
      <c r="B65" s="684"/>
      <c r="C65" s="685"/>
      <c r="D65" s="686"/>
    </row>
    <row r="66" spans="1:4" ht="30">
      <c r="A66" s="697" t="s">
        <v>561</v>
      </c>
      <c r="B66" s="698" t="s">
        <v>45</v>
      </c>
      <c r="C66" s="699" t="s">
        <v>45</v>
      </c>
      <c r="D66" s="672" t="s">
        <v>562</v>
      </c>
    </row>
    <row r="67" spans="1:4" ht="30">
      <c r="A67" s="679" t="s">
        <v>563</v>
      </c>
      <c r="B67" s="657">
        <v>1.5</v>
      </c>
      <c r="C67" s="664" t="s">
        <v>564</v>
      </c>
      <c r="D67" s="672" t="s">
        <v>565</v>
      </c>
    </row>
    <row r="68" spans="1:4" ht="45">
      <c r="A68" s="676" t="s">
        <v>566</v>
      </c>
      <c r="B68" s="677">
        <v>24</v>
      </c>
      <c r="C68" s="691" t="s">
        <v>567</v>
      </c>
      <c r="D68" s="679" t="s">
        <v>568</v>
      </c>
    </row>
    <row r="69" spans="1:4" ht="30">
      <c r="A69" s="676" t="s">
        <v>569</v>
      </c>
      <c r="B69" s="690">
        <v>4.5</v>
      </c>
      <c r="C69" s="691"/>
      <c r="D69" s="679" t="s">
        <v>570</v>
      </c>
    </row>
    <row r="70" spans="1:4" ht="30">
      <c r="A70" s="676" t="s">
        <v>571</v>
      </c>
      <c r="B70" s="690">
        <v>5.5</v>
      </c>
      <c r="C70" s="691"/>
      <c r="D70" s="700" t="s">
        <v>572</v>
      </c>
    </row>
    <row r="71" spans="1:4" ht="30">
      <c r="A71" s="679" t="s">
        <v>573</v>
      </c>
      <c r="B71" s="690">
        <v>8.5</v>
      </c>
      <c r="C71" s="691"/>
      <c r="D71" s="700" t="s">
        <v>572</v>
      </c>
    </row>
    <row r="72" spans="1:4" ht="15">
      <c r="A72" s="679" t="s">
        <v>574</v>
      </c>
      <c r="B72" s="690">
        <v>2.8</v>
      </c>
      <c r="C72" s="691" t="s">
        <v>235</v>
      </c>
      <c r="D72" s="672" t="s">
        <v>575</v>
      </c>
    </row>
    <row r="73" spans="1:4" ht="30">
      <c r="A73" s="672" t="s">
        <v>576</v>
      </c>
      <c r="B73" s="690">
        <v>241</v>
      </c>
      <c r="C73" s="691" t="s">
        <v>577</v>
      </c>
      <c r="D73" s="672" t="s">
        <v>575</v>
      </c>
    </row>
    <row r="74" spans="1:4" ht="15">
      <c r="A74" s="672" t="s">
        <v>238</v>
      </c>
      <c r="B74" s="690">
        <v>97</v>
      </c>
      <c r="C74" s="691" t="s">
        <v>577</v>
      </c>
      <c r="D74" s="672" t="s">
        <v>575</v>
      </c>
    </row>
    <row r="75" spans="1:4" ht="15">
      <c r="A75" s="676" t="s">
        <v>676</v>
      </c>
      <c r="B75" s="690">
        <v>1241</v>
      </c>
      <c r="C75" s="691" t="s">
        <v>579</v>
      </c>
      <c r="D75" s="672" t="s">
        <v>575</v>
      </c>
    </row>
    <row r="76" spans="1:4" ht="15">
      <c r="A76" s="676" t="s">
        <v>578</v>
      </c>
      <c r="B76" s="690">
        <v>392</v>
      </c>
      <c r="C76" s="691" t="s">
        <v>579</v>
      </c>
      <c r="D76" s="672" t="s">
        <v>575</v>
      </c>
    </row>
    <row r="77" spans="1:4" ht="15">
      <c r="A77" s="679" t="s">
        <v>580</v>
      </c>
      <c r="B77" s="661">
        <v>0.75</v>
      </c>
      <c r="D77" s="700" t="s">
        <v>271</v>
      </c>
    </row>
    <row r="78" spans="1:4" ht="30">
      <c r="A78" s="672" t="s">
        <v>581</v>
      </c>
      <c r="B78" s="661">
        <v>0.8</v>
      </c>
      <c r="D78" s="700" t="s">
        <v>271</v>
      </c>
    </row>
    <row r="79" spans="1:4" ht="30">
      <c r="A79" s="679" t="s">
        <v>582</v>
      </c>
      <c r="B79" s="665">
        <v>0.12295918367346936</v>
      </c>
      <c r="C79" s="691" t="s">
        <v>550</v>
      </c>
      <c r="D79" s="672" t="s">
        <v>575</v>
      </c>
    </row>
    <row r="80" spans="1:4" ht="30">
      <c r="A80" s="679" t="s">
        <v>583</v>
      </c>
      <c r="B80" s="665">
        <v>0.04948979591836734</v>
      </c>
      <c r="C80" s="691" t="s">
        <v>550</v>
      </c>
      <c r="D80" s="672" t="s">
        <v>575</v>
      </c>
    </row>
    <row r="81" spans="1:4" ht="15">
      <c r="A81" s="679" t="s">
        <v>584</v>
      </c>
      <c r="B81" s="665">
        <v>0.002176584875195214</v>
      </c>
      <c r="C81" s="691" t="s">
        <v>551</v>
      </c>
      <c r="D81" s="672" t="s">
        <v>575</v>
      </c>
    </row>
    <row r="82" spans="1:4" ht="15">
      <c r="A82" s="679" t="s">
        <v>585</v>
      </c>
      <c r="B82" s="665">
        <v>0.0008760528335847958</v>
      </c>
      <c r="C82" s="691" t="s">
        <v>551</v>
      </c>
      <c r="D82" s="672" t="s">
        <v>575</v>
      </c>
    </row>
    <row r="83" spans="1:4" ht="30">
      <c r="A83" s="679" t="s">
        <v>586</v>
      </c>
      <c r="B83" s="666">
        <v>23.799999999999997</v>
      </c>
      <c r="C83" s="691" t="s">
        <v>182</v>
      </c>
      <c r="D83" s="672" t="s">
        <v>575</v>
      </c>
    </row>
    <row r="84" spans="1:4" ht="30">
      <c r="A84" s="679" t="s">
        <v>587</v>
      </c>
      <c r="B84" s="666">
        <v>12.6</v>
      </c>
      <c r="C84" s="691" t="s">
        <v>182</v>
      </c>
      <c r="D84" s="672" t="s">
        <v>575</v>
      </c>
    </row>
    <row r="85" spans="1:4" ht="30">
      <c r="A85" s="679" t="s">
        <v>588</v>
      </c>
      <c r="B85" s="666">
        <v>15.399999999999999</v>
      </c>
      <c r="C85" s="691" t="s">
        <v>182</v>
      </c>
      <c r="D85" s="672" t="s">
        <v>575</v>
      </c>
    </row>
    <row r="86" spans="1:4" ht="30.75" thickBot="1">
      <c r="A86" s="679" t="s">
        <v>589</v>
      </c>
      <c r="B86" s="666">
        <v>12.6</v>
      </c>
      <c r="C86" s="691" t="s">
        <v>182</v>
      </c>
      <c r="D86" s="672" t="s">
        <v>575</v>
      </c>
    </row>
    <row r="87" spans="1:4" ht="15.75" thickTop="1">
      <c r="A87" s="683" t="s">
        <v>380</v>
      </c>
      <c r="B87" s="684"/>
      <c r="C87" s="685"/>
      <c r="D87" s="686"/>
    </row>
    <row r="88" spans="1:4" ht="30">
      <c r="A88" s="672" t="s">
        <v>591</v>
      </c>
      <c r="B88" s="661" t="s">
        <v>592</v>
      </c>
      <c r="C88" s="691" t="s">
        <v>593</v>
      </c>
      <c r="D88" s="672" t="s">
        <v>594</v>
      </c>
    </row>
    <row r="89" spans="1:4" ht="30">
      <c r="A89" s="692" t="s">
        <v>446</v>
      </c>
      <c r="B89" s="701">
        <v>0.17</v>
      </c>
      <c r="D89" s="672" t="s">
        <v>590</v>
      </c>
    </row>
    <row r="90" spans="1:4" ht="30">
      <c r="A90" s="692" t="s">
        <v>665</v>
      </c>
      <c r="B90" s="655" t="s">
        <v>666</v>
      </c>
      <c r="D90" s="679" t="s">
        <v>667</v>
      </c>
    </row>
    <row r="91" spans="1:4" ht="30">
      <c r="A91" s="679" t="s">
        <v>668</v>
      </c>
      <c r="B91" s="655" t="s">
        <v>669</v>
      </c>
      <c r="D91" s="679" t="s">
        <v>667</v>
      </c>
    </row>
    <row r="92" spans="1:4" ht="30">
      <c r="A92" s="692" t="s">
        <v>670</v>
      </c>
      <c r="B92" s="655" t="s">
        <v>671</v>
      </c>
      <c r="D92" s="679" t="s">
        <v>667</v>
      </c>
    </row>
    <row r="93" spans="1:4" ht="30">
      <c r="A93" s="679" t="s">
        <v>703</v>
      </c>
      <c r="B93" s="658">
        <v>10</v>
      </c>
      <c r="C93" s="689" t="s">
        <v>595</v>
      </c>
      <c r="D93" s="672" t="s">
        <v>596</v>
      </c>
    </row>
    <row r="94" spans="1:4" ht="30">
      <c r="A94" s="679" t="s">
        <v>704</v>
      </c>
      <c r="B94" s="658" t="s">
        <v>705</v>
      </c>
      <c r="C94" s="689" t="s">
        <v>595</v>
      </c>
      <c r="D94" s="672" t="s">
        <v>706</v>
      </c>
    </row>
    <row r="95" spans="1:4" ht="30">
      <c r="A95" s="679" t="s">
        <v>857</v>
      </c>
      <c r="B95" s="659">
        <v>1.4</v>
      </c>
      <c r="C95" s="689" t="s">
        <v>855</v>
      </c>
      <c r="D95" s="672" t="s">
        <v>856</v>
      </c>
    </row>
    <row r="96" spans="1:4" ht="30">
      <c r="A96" s="679" t="s">
        <v>858</v>
      </c>
      <c r="B96" s="659">
        <v>3</v>
      </c>
      <c r="C96" s="689" t="s">
        <v>855</v>
      </c>
      <c r="D96" s="672" t="s">
        <v>667</v>
      </c>
    </row>
    <row r="97" spans="1:4" ht="30.75" thickBot="1">
      <c r="A97" s="679" t="s">
        <v>859</v>
      </c>
      <c r="B97" s="659">
        <v>2</v>
      </c>
      <c r="C97" s="689" t="s">
        <v>855</v>
      </c>
      <c r="D97" s="672" t="s">
        <v>667</v>
      </c>
    </row>
    <row r="98" spans="1:4" ht="15.75" thickTop="1">
      <c r="A98" s="683" t="s">
        <v>382</v>
      </c>
      <c r="B98" s="684"/>
      <c r="C98" s="685"/>
      <c r="D98" s="686"/>
    </row>
    <row r="99" spans="1:4" ht="15">
      <c r="A99" s="679" t="s">
        <v>597</v>
      </c>
      <c r="B99" s="677">
        <v>12</v>
      </c>
      <c r="C99" s="689" t="s">
        <v>598</v>
      </c>
      <c r="D99" s="672" t="s">
        <v>562</v>
      </c>
    </row>
    <row r="100" spans="1:4" ht="30">
      <c r="A100" s="672" t="s">
        <v>610</v>
      </c>
      <c r="B100" s="659">
        <v>2</v>
      </c>
      <c r="C100" s="691" t="s">
        <v>537</v>
      </c>
      <c r="D100" s="672" t="s">
        <v>599</v>
      </c>
    </row>
    <row r="101" spans="1:4" ht="15">
      <c r="A101" s="672" t="s">
        <v>611</v>
      </c>
      <c r="B101" s="658">
        <v>12</v>
      </c>
      <c r="C101" s="691" t="s">
        <v>598</v>
      </c>
      <c r="D101" s="672" t="s">
        <v>612</v>
      </c>
    </row>
    <row r="102" spans="1:4" ht="30">
      <c r="A102" s="672" t="s">
        <v>613</v>
      </c>
      <c r="B102" s="658">
        <v>9</v>
      </c>
      <c r="C102" s="691" t="s">
        <v>598</v>
      </c>
      <c r="D102" s="672" t="s">
        <v>614</v>
      </c>
    </row>
    <row r="103" spans="1:4" ht="30">
      <c r="A103" s="697" t="s">
        <v>561</v>
      </c>
      <c r="B103" s="698" t="s">
        <v>45</v>
      </c>
      <c r="C103" s="699" t="s">
        <v>45</v>
      </c>
      <c r="D103" s="672" t="s">
        <v>562</v>
      </c>
    </row>
    <row r="104" spans="1:4" ht="30">
      <c r="A104" s="679" t="s">
        <v>600</v>
      </c>
      <c r="B104" s="659">
        <v>1.5</v>
      </c>
      <c r="C104" s="667" t="s">
        <v>564</v>
      </c>
      <c r="D104" s="672" t="s">
        <v>565</v>
      </c>
    </row>
    <row r="105" spans="1:4" ht="30">
      <c r="A105" s="679" t="s">
        <v>601</v>
      </c>
      <c r="B105" s="659">
        <v>40</v>
      </c>
      <c r="C105" s="689" t="s">
        <v>602</v>
      </c>
      <c r="D105" s="679" t="s">
        <v>603</v>
      </c>
    </row>
    <row r="106" spans="1:4" ht="30">
      <c r="A106" s="679" t="s">
        <v>604</v>
      </c>
      <c r="B106" s="659">
        <v>3</v>
      </c>
      <c r="C106" s="689" t="s">
        <v>602</v>
      </c>
      <c r="D106" s="679" t="s">
        <v>603</v>
      </c>
    </row>
    <row r="107" spans="1:4" ht="30">
      <c r="A107" s="679" t="s">
        <v>605</v>
      </c>
      <c r="B107" s="659">
        <v>30</v>
      </c>
      <c r="C107" s="689" t="s">
        <v>602</v>
      </c>
      <c r="D107" s="679" t="s">
        <v>606</v>
      </c>
    </row>
    <row r="108" spans="1:4" ht="30">
      <c r="A108" s="679" t="s">
        <v>607</v>
      </c>
      <c r="B108" s="659">
        <v>15</v>
      </c>
      <c r="C108" s="689" t="s">
        <v>602</v>
      </c>
      <c r="D108" s="679" t="s">
        <v>606</v>
      </c>
    </row>
    <row r="109" spans="1:4" ht="30">
      <c r="A109" s="679" t="s">
        <v>608</v>
      </c>
      <c r="B109" s="660">
        <v>0.3</v>
      </c>
      <c r="C109" s="689" t="s">
        <v>537</v>
      </c>
      <c r="D109" s="679" t="s">
        <v>609</v>
      </c>
    </row>
    <row r="110" spans="1:4" ht="30.75" thickBot="1">
      <c r="A110" s="672" t="s">
        <v>615</v>
      </c>
      <c r="B110" s="659">
        <v>1</v>
      </c>
      <c r="C110" s="691" t="s">
        <v>537</v>
      </c>
      <c r="D110" s="672" t="s">
        <v>616</v>
      </c>
    </row>
    <row r="111" spans="1:4" ht="15.75" thickTop="1">
      <c r="A111" s="683" t="s">
        <v>383</v>
      </c>
      <c r="B111" s="684"/>
      <c r="C111" s="685"/>
      <c r="D111" s="686"/>
    </row>
    <row r="112" spans="1:4" s="697" customFormat="1" ht="45">
      <c r="A112" s="672" t="s">
        <v>808</v>
      </c>
      <c r="B112" s="698" t="s">
        <v>45</v>
      </c>
      <c r="C112" s="699" t="s">
        <v>45</v>
      </c>
      <c r="D112" s="672" t="s">
        <v>562</v>
      </c>
    </row>
    <row r="113" spans="1:4" ht="15">
      <c r="A113" s="672" t="s">
        <v>683</v>
      </c>
      <c r="B113" s="677">
        <v>1.6</v>
      </c>
      <c r="C113" s="691" t="s">
        <v>537</v>
      </c>
      <c r="D113" s="672" t="s">
        <v>617</v>
      </c>
    </row>
    <row r="114" spans="1:4" ht="30">
      <c r="A114" s="679" t="s">
        <v>672</v>
      </c>
      <c r="B114" s="677">
        <v>64</v>
      </c>
      <c r="C114" s="689" t="s">
        <v>545</v>
      </c>
      <c r="D114" s="679" t="s">
        <v>618</v>
      </c>
    </row>
    <row r="115" spans="1:4" ht="30">
      <c r="A115" s="679" t="s">
        <v>619</v>
      </c>
      <c r="B115" s="677">
        <v>1.28</v>
      </c>
      <c r="C115" s="689" t="s">
        <v>537</v>
      </c>
      <c r="D115" s="672" t="s">
        <v>620</v>
      </c>
    </row>
    <row r="116" spans="1:4" ht="30">
      <c r="A116" s="679" t="s">
        <v>673</v>
      </c>
      <c r="B116" s="661">
        <v>1</v>
      </c>
      <c r="D116" s="679" t="s">
        <v>618</v>
      </c>
    </row>
    <row r="117" spans="1:4" ht="30">
      <c r="A117" s="679" t="s">
        <v>674</v>
      </c>
      <c r="B117" s="662">
        <v>0.24457555904897763</v>
      </c>
      <c r="C117" s="689" t="s">
        <v>550</v>
      </c>
      <c r="D117" s="679" t="s">
        <v>618</v>
      </c>
    </row>
    <row r="118" spans="1:4" ht="30.75" thickBot="1">
      <c r="A118" s="679" t="s">
        <v>675</v>
      </c>
      <c r="B118" s="663">
        <v>0.0009110969122644735</v>
      </c>
      <c r="C118" s="689" t="s">
        <v>551</v>
      </c>
      <c r="D118" s="679" t="s">
        <v>618</v>
      </c>
    </row>
    <row r="119" spans="1:4" ht="15.75" thickTop="1">
      <c r="A119" s="683" t="s">
        <v>403</v>
      </c>
      <c r="B119" s="684"/>
      <c r="C119" s="685"/>
      <c r="D119" s="686"/>
    </row>
    <row r="120" spans="1:4" ht="30">
      <c r="A120" s="679" t="s">
        <v>621</v>
      </c>
      <c r="B120" s="659">
        <v>1.8</v>
      </c>
      <c r="C120" s="689" t="s">
        <v>602</v>
      </c>
      <c r="D120" s="679" t="s">
        <v>622</v>
      </c>
    </row>
    <row r="121" spans="1:4" ht="15">
      <c r="A121" s="672" t="s">
        <v>458</v>
      </c>
      <c r="B121" s="661">
        <v>0.3</v>
      </c>
      <c r="D121" s="679" t="s">
        <v>707</v>
      </c>
    </row>
    <row r="122" spans="1:4" ht="15.75" thickBot="1">
      <c r="A122" s="679" t="s">
        <v>337</v>
      </c>
      <c r="B122" s="655">
        <v>6</v>
      </c>
      <c r="D122" s="687" t="s">
        <v>623</v>
      </c>
    </row>
    <row r="123" spans="1:4" ht="15.75" thickTop="1">
      <c r="A123" s="683" t="s">
        <v>366</v>
      </c>
      <c r="B123" s="702"/>
      <c r="C123" s="685"/>
      <c r="D123" s="686"/>
    </row>
    <row r="124" spans="1:4" ht="30">
      <c r="A124" s="679" t="s">
        <v>624</v>
      </c>
      <c r="B124" s="703">
        <v>1500000</v>
      </c>
      <c r="C124" s="689" t="s">
        <v>182</v>
      </c>
      <c r="D124" s="672" t="s">
        <v>625</v>
      </c>
    </row>
    <row r="125" spans="1:4" ht="30">
      <c r="A125" s="672" t="s">
        <v>626</v>
      </c>
      <c r="B125" s="696">
        <v>0.15</v>
      </c>
      <c r="C125" s="691"/>
      <c r="D125" s="672" t="s">
        <v>627</v>
      </c>
    </row>
    <row r="126" spans="1:4" ht="30.75" thickBot="1">
      <c r="A126" s="672" t="s">
        <v>628</v>
      </c>
      <c r="B126" s="704">
        <v>2.5</v>
      </c>
      <c r="C126" s="689" t="s">
        <v>629</v>
      </c>
      <c r="D126" s="679" t="s">
        <v>630</v>
      </c>
    </row>
    <row r="127" spans="1:4" ht="15.75" thickTop="1">
      <c r="A127" s="683" t="s">
        <v>392</v>
      </c>
      <c r="B127" s="684"/>
      <c r="C127" s="685"/>
      <c r="D127" s="686"/>
    </row>
    <row r="128" spans="1:4" ht="30">
      <c r="A128" s="676" t="s">
        <v>631</v>
      </c>
      <c r="B128" s="705">
        <v>1000</v>
      </c>
      <c r="C128" s="689" t="s">
        <v>632</v>
      </c>
      <c r="D128" s="679" t="s">
        <v>633</v>
      </c>
    </row>
    <row r="129" spans="1:4" ht="30">
      <c r="A129" s="676" t="s">
        <v>388</v>
      </c>
      <c r="B129" s="705">
        <v>34000</v>
      </c>
      <c r="C129" s="689" t="s">
        <v>182</v>
      </c>
      <c r="D129" s="679" t="s">
        <v>634</v>
      </c>
    </row>
    <row r="130" spans="1:4" ht="30">
      <c r="A130" s="676" t="s">
        <v>635</v>
      </c>
      <c r="B130" s="705">
        <v>40</v>
      </c>
      <c r="C130" s="689" t="s">
        <v>632</v>
      </c>
      <c r="D130" s="679" t="s">
        <v>633</v>
      </c>
    </row>
    <row r="131" spans="1:4" ht="30">
      <c r="A131" s="679" t="s">
        <v>390</v>
      </c>
      <c r="B131" s="705">
        <v>1100</v>
      </c>
      <c r="C131" s="689" t="s">
        <v>182</v>
      </c>
      <c r="D131" s="679" t="s">
        <v>634</v>
      </c>
    </row>
    <row r="132" spans="1:4" ht="30">
      <c r="A132" s="672" t="s">
        <v>636</v>
      </c>
      <c r="B132" s="658" t="s">
        <v>637</v>
      </c>
      <c r="C132" s="691"/>
      <c r="D132" s="672" t="s">
        <v>638</v>
      </c>
    </row>
    <row r="133" spans="1:4" ht="30">
      <c r="A133" s="679" t="s">
        <v>639</v>
      </c>
      <c r="B133" s="668">
        <v>0.105</v>
      </c>
      <c r="C133" s="691" t="s">
        <v>640</v>
      </c>
      <c r="D133" s="672" t="s">
        <v>641</v>
      </c>
    </row>
    <row r="134" spans="1:4" ht="30">
      <c r="A134" s="679" t="s">
        <v>642</v>
      </c>
      <c r="B134" s="668">
        <v>0.43</v>
      </c>
      <c r="C134" s="691" t="s">
        <v>640</v>
      </c>
      <c r="D134" s="672" t="s">
        <v>641</v>
      </c>
    </row>
    <row r="135" spans="1:4" ht="30">
      <c r="A135" s="679" t="s">
        <v>643</v>
      </c>
      <c r="B135" s="668">
        <v>0.882</v>
      </c>
      <c r="C135" s="691" t="s">
        <v>644</v>
      </c>
      <c r="D135" s="672" t="s">
        <v>641</v>
      </c>
    </row>
    <row r="136" spans="1:4" ht="30">
      <c r="A136" s="679" t="s">
        <v>645</v>
      </c>
      <c r="B136" s="668">
        <v>0.855</v>
      </c>
      <c r="C136" s="669" t="s">
        <v>646</v>
      </c>
      <c r="D136" s="672" t="s">
        <v>641</v>
      </c>
    </row>
    <row r="137" spans="1:4" ht="30">
      <c r="A137" s="679" t="s">
        <v>647</v>
      </c>
      <c r="B137" s="668">
        <v>0.277</v>
      </c>
      <c r="C137" s="691" t="s">
        <v>644</v>
      </c>
      <c r="D137" s="672" t="s">
        <v>641</v>
      </c>
    </row>
    <row r="138" spans="1:4" ht="30">
      <c r="A138" s="679" t="s">
        <v>648</v>
      </c>
      <c r="B138" s="668">
        <v>0.427</v>
      </c>
      <c r="C138" s="669" t="s">
        <v>646</v>
      </c>
      <c r="D138" s="672" t="s">
        <v>641</v>
      </c>
    </row>
    <row r="139" spans="1:4" ht="30">
      <c r="A139" s="679" t="s">
        <v>649</v>
      </c>
      <c r="B139" s="668">
        <v>0.105</v>
      </c>
      <c r="C139" s="691" t="s">
        <v>644</v>
      </c>
      <c r="D139" s="672" t="s">
        <v>641</v>
      </c>
    </row>
    <row r="140" spans="1:4" ht="30">
      <c r="A140" s="679" t="s">
        <v>650</v>
      </c>
      <c r="B140" s="668">
        <v>0.273</v>
      </c>
      <c r="C140" s="669" t="s">
        <v>646</v>
      </c>
      <c r="D140" s="672" t="s">
        <v>641</v>
      </c>
    </row>
    <row r="141" spans="1:4" ht="30">
      <c r="A141" s="679" t="s">
        <v>651</v>
      </c>
      <c r="B141" s="668">
        <v>0.147</v>
      </c>
      <c r="C141" s="691" t="s">
        <v>644</v>
      </c>
      <c r="D141" s="672" t="s">
        <v>641</v>
      </c>
    </row>
    <row r="142" spans="1:4" ht="30">
      <c r="A142" s="679" t="s">
        <v>652</v>
      </c>
      <c r="B142" s="668">
        <v>0.147</v>
      </c>
      <c r="C142" s="669" t="s">
        <v>646</v>
      </c>
      <c r="D142" s="672" t="s">
        <v>641</v>
      </c>
    </row>
  </sheetData>
  <sheetProtection sheet="1" formatRows="0"/>
  <printOptions gridLines="1" horizontalCentered="1"/>
  <pageMargins left="0.25" right="0.25" top="0.75" bottom="0.5" header="0.25" footer="0.25"/>
  <pageSetup fitToHeight="0" fitToWidth="1" horizontalDpi="1200" verticalDpi="1200" orientation="landscape" scale="65" r:id="rId1"/>
  <headerFooter alignWithMargins="0">
    <oddHeader>&amp;C&amp;18Sources for EPA's WaterSense WaterUSE Tool</oddHeader>
    <oddFooter>&amp;C&amp;P of &amp;N</oddFooter>
  </headerFooter>
</worksheet>
</file>

<file path=xl/worksheets/sheet2.xml><?xml version="1.0" encoding="utf-8"?>
<worksheet xmlns="http://schemas.openxmlformats.org/spreadsheetml/2006/main" xmlns:r="http://schemas.openxmlformats.org/officeDocument/2006/relationships">
  <sheetPr codeName="Instructions">
    <pageSetUpPr fitToPage="1"/>
  </sheetPr>
  <dimension ref="A1:AF86"/>
  <sheetViews>
    <sheetView zoomScalePageLayoutView="0" workbookViewId="0" topLeftCell="A1">
      <pane ySplit="2" topLeftCell="A3" activePane="bottomLeft" state="frozen"/>
      <selection pane="topLeft" activeCell="A1" sqref="A1"/>
      <selection pane="bottomLeft" activeCell="B20" sqref="B20:K20"/>
    </sheetView>
  </sheetViews>
  <sheetFormatPr defaultColWidth="9.140625" defaultRowHeight="15"/>
  <cols>
    <col min="1" max="2" width="4.7109375" style="32" customWidth="1"/>
    <col min="3" max="3" width="6.7109375" style="32" customWidth="1"/>
    <col min="4" max="4" width="24.7109375" style="66" customWidth="1"/>
    <col min="5" max="5" width="20.7109375" style="81" customWidth="1"/>
    <col min="6" max="6" width="15.28125" style="66" customWidth="1"/>
    <col min="7" max="7" width="26.7109375" style="66" customWidth="1"/>
    <col min="8" max="8" width="7.7109375" style="66" customWidth="1"/>
    <col min="9" max="9" width="13.00390625" style="66" customWidth="1"/>
    <col min="10" max="10" width="12.7109375" style="66" customWidth="1"/>
    <col min="11" max="11" width="28.28125" style="66" customWidth="1"/>
    <col min="12" max="12" width="4.7109375" style="66" customWidth="1"/>
    <col min="13" max="13" width="9.140625" style="66" customWidth="1"/>
    <col min="14" max="14" width="10.57421875" style="66" bestFit="1" customWidth="1"/>
    <col min="15" max="15" width="18.8515625" style="66" customWidth="1"/>
    <col min="16" max="16384" width="9.140625" style="66" customWidth="1"/>
  </cols>
  <sheetData>
    <row r="1" spans="1:32" s="32" customFormat="1" ht="42" customHeight="1">
      <c r="A1" s="14"/>
      <c r="B1" s="14"/>
      <c r="C1" s="14"/>
      <c r="D1" s="797" t="s">
        <v>783</v>
      </c>
      <c r="E1" s="14"/>
      <c r="F1" s="14"/>
      <c r="G1" s="14"/>
      <c r="H1" s="14"/>
      <c r="I1" s="14"/>
      <c r="J1" s="61"/>
      <c r="K1" s="14"/>
      <c r="L1" s="14"/>
      <c r="M1" s="14"/>
      <c r="N1" s="14"/>
      <c r="O1" s="14"/>
      <c r="P1" s="14"/>
      <c r="Q1" s="14"/>
      <c r="R1" s="14"/>
      <c r="S1" s="14"/>
      <c r="T1" s="14"/>
      <c r="U1" s="14"/>
      <c r="V1" s="14"/>
      <c r="W1" s="14"/>
      <c r="X1" s="14"/>
      <c r="Y1" s="14"/>
      <c r="Z1" s="14"/>
      <c r="AA1" s="14"/>
      <c r="AB1" s="14"/>
      <c r="AC1" s="14"/>
      <c r="AD1" s="14"/>
      <c r="AE1" s="14"/>
      <c r="AF1" s="14"/>
    </row>
    <row r="2" spans="1:32" ht="18.75">
      <c r="A2" s="14"/>
      <c r="B2" s="854" t="s">
        <v>684</v>
      </c>
      <c r="C2" s="854"/>
      <c r="D2" s="854"/>
      <c r="E2" s="794"/>
      <c r="F2" s="794"/>
      <c r="G2" s="794"/>
      <c r="H2" s="794"/>
      <c r="I2" s="794"/>
      <c r="J2" s="794"/>
      <c r="K2" s="794"/>
      <c r="L2" s="14"/>
      <c r="M2" s="14"/>
      <c r="N2" s="14"/>
      <c r="O2" s="14"/>
      <c r="P2" s="14"/>
      <c r="Q2" s="14"/>
      <c r="R2" s="14"/>
      <c r="S2" s="14"/>
      <c r="T2" s="14"/>
      <c r="U2" s="14"/>
      <c r="V2" s="14"/>
      <c r="W2" s="14"/>
      <c r="X2" s="14"/>
      <c r="Y2" s="14"/>
      <c r="Z2" s="14"/>
      <c r="AA2" s="14"/>
      <c r="AB2" s="14"/>
      <c r="AC2" s="14"/>
      <c r="AD2" s="14"/>
      <c r="AE2" s="14"/>
      <c r="AF2" s="14"/>
    </row>
    <row r="3" spans="1:32" ht="39" customHeight="1">
      <c r="A3" s="14"/>
      <c r="B3" s="868" t="s">
        <v>781</v>
      </c>
      <c r="C3" s="868"/>
      <c r="D3" s="868"/>
      <c r="E3" s="868"/>
      <c r="F3" s="868"/>
      <c r="G3" s="868"/>
      <c r="H3" s="868"/>
      <c r="I3" s="868"/>
      <c r="J3" s="868"/>
      <c r="K3" s="868"/>
      <c r="L3" s="14"/>
      <c r="M3" s="14"/>
      <c r="N3" s="14"/>
      <c r="O3" s="14"/>
      <c r="P3" s="14"/>
      <c r="Q3" s="14"/>
      <c r="R3" s="14"/>
      <c r="S3" s="14"/>
      <c r="T3" s="14"/>
      <c r="U3" s="14"/>
      <c r="V3" s="14"/>
      <c r="W3" s="14"/>
      <c r="X3" s="14"/>
      <c r="Y3" s="14"/>
      <c r="Z3" s="14"/>
      <c r="AA3" s="14"/>
      <c r="AB3" s="14"/>
      <c r="AC3" s="14"/>
      <c r="AD3" s="14"/>
      <c r="AE3" s="14"/>
      <c r="AF3" s="14"/>
    </row>
    <row r="4" spans="1:32" ht="40.5" customHeight="1">
      <c r="A4" s="803"/>
      <c r="B4" s="859" t="s">
        <v>809</v>
      </c>
      <c r="C4" s="860"/>
      <c r="D4" s="860"/>
      <c r="E4" s="860"/>
      <c r="F4" s="860"/>
      <c r="G4" s="860"/>
      <c r="H4" s="860"/>
      <c r="I4" s="860"/>
      <c r="J4" s="860"/>
      <c r="K4" s="860"/>
      <c r="L4" s="14"/>
      <c r="M4" s="14"/>
      <c r="N4" s="14"/>
      <c r="O4" s="14"/>
      <c r="P4" s="14"/>
      <c r="Q4" s="14"/>
      <c r="R4" s="14"/>
      <c r="S4" s="14"/>
      <c r="T4" s="14"/>
      <c r="U4" s="14"/>
      <c r="V4" s="14"/>
      <c r="W4" s="14"/>
      <c r="X4" s="14"/>
      <c r="Y4" s="14"/>
      <c r="Z4" s="14"/>
      <c r="AA4" s="14"/>
      <c r="AB4" s="14"/>
      <c r="AC4" s="14"/>
      <c r="AD4" s="14"/>
      <c r="AE4" s="14"/>
      <c r="AF4" s="14"/>
    </row>
    <row r="5" spans="1:32" ht="71.25" customHeight="1">
      <c r="A5" s="803"/>
      <c r="B5" s="859" t="s">
        <v>812</v>
      </c>
      <c r="C5" s="860"/>
      <c r="D5" s="860"/>
      <c r="E5" s="860"/>
      <c r="F5" s="860"/>
      <c r="G5" s="860"/>
      <c r="H5" s="860"/>
      <c r="I5" s="860"/>
      <c r="J5" s="860"/>
      <c r="K5" s="860"/>
      <c r="L5" s="14"/>
      <c r="M5" s="14"/>
      <c r="N5" s="14"/>
      <c r="O5" s="14"/>
      <c r="P5" s="14"/>
      <c r="Q5" s="14"/>
      <c r="R5" s="14"/>
      <c r="S5" s="14"/>
      <c r="T5" s="14"/>
      <c r="U5" s="14"/>
      <c r="V5" s="14"/>
      <c r="W5" s="14"/>
      <c r="X5" s="14"/>
      <c r="Y5" s="14"/>
      <c r="Z5" s="14"/>
      <c r="AA5" s="14"/>
      <c r="AB5" s="14"/>
      <c r="AC5" s="14"/>
      <c r="AD5" s="14"/>
      <c r="AE5" s="14"/>
      <c r="AF5" s="14"/>
    </row>
    <row r="6" spans="1:32" ht="15" customHeight="1">
      <c r="A6" s="14"/>
      <c r="B6" s="857" t="s">
        <v>811</v>
      </c>
      <c r="C6" s="858"/>
      <c r="D6" s="858"/>
      <c r="E6" s="858"/>
      <c r="F6" s="858"/>
      <c r="G6" s="858"/>
      <c r="H6" s="858"/>
      <c r="I6" s="858"/>
      <c r="J6" s="858"/>
      <c r="K6" s="858"/>
      <c r="L6" s="14"/>
      <c r="M6" s="14"/>
      <c r="N6" s="14"/>
      <c r="O6" s="14"/>
      <c r="P6" s="14"/>
      <c r="Q6" s="14"/>
      <c r="R6" s="14"/>
      <c r="S6" s="14"/>
      <c r="T6" s="14"/>
      <c r="U6" s="14"/>
      <c r="V6" s="14"/>
      <c r="W6" s="14"/>
      <c r="X6" s="14"/>
      <c r="Y6" s="14"/>
      <c r="Z6" s="14"/>
      <c r="AA6" s="14"/>
      <c r="AB6" s="14"/>
      <c r="AC6" s="14"/>
      <c r="AD6" s="14"/>
      <c r="AE6" s="14"/>
      <c r="AF6" s="14"/>
    </row>
    <row r="7" spans="1:32" ht="15" customHeight="1">
      <c r="A7" s="14"/>
      <c r="B7" s="871" t="s">
        <v>799</v>
      </c>
      <c r="C7" s="871"/>
      <c r="D7" s="871"/>
      <c r="E7" s="799"/>
      <c r="F7" s="798"/>
      <c r="G7" s="798"/>
      <c r="H7" s="798"/>
      <c r="I7" s="798"/>
      <c r="J7" s="798"/>
      <c r="K7" s="798"/>
      <c r="L7" s="14"/>
      <c r="M7" s="14"/>
      <c r="N7" s="14"/>
      <c r="O7" s="14"/>
      <c r="P7" s="14"/>
      <c r="Q7" s="14"/>
      <c r="R7" s="14"/>
      <c r="S7" s="14"/>
      <c r="T7" s="14"/>
      <c r="U7" s="14"/>
      <c r="V7" s="14"/>
      <c r="W7" s="14"/>
      <c r="X7" s="14"/>
      <c r="Y7" s="14"/>
      <c r="Z7" s="14"/>
      <c r="AA7" s="14"/>
      <c r="AB7" s="14"/>
      <c r="AC7" s="14"/>
      <c r="AD7" s="14"/>
      <c r="AE7" s="14"/>
      <c r="AF7" s="14"/>
    </row>
    <row r="8" spans="1:32" ht="12.75" customHeight="1">
      <c r="A8" s="14"/>
      <c r="B8" s="798"/>
      <c r="C8" s="795"/>
      <c r="D8" s="795"/>
      <c r="E8" s="795"/>
      <c r="F8" s="795"/>
      <c r="G8" s="795"/>
      <c r="H8" s="795"/>
      <c r="I8" s="795"/>
      <c r="J8" s="795"/>
      <c r="K8" s="795"/>
      <c r="L8" s="14"/>
      <c r="M8" s="14"/>
      <c r="N8" s="14"/>
      <c r="O8" s="14"/>
      <c r="P8" s="14"/>
      <c r="Q8" s="14"/>
      <c r="R8" s="14"/>
      <c r="S8" s="14"/>
      <c r="T8" s="14"/>
      <c r="U8" s="14"/>
      <c r="V8" s="14"/>
      <c r="W8" s="14"/>
      <c r="X8" s="14"/>
      <c r="Y8" s="14"/>
      <c r="Z8" s="14"/>
      <c r="AA8" s="14"/>
      <c r="AB8" s="14"/>
      <c r="AC8" s="14"/>
      <c r="AD8" s="14"/>
      <c r="AE8" s="14"/>
      <c r="AF8" s="14"/>
    </row>
    <row r="9" spans="1:32" ht="18.75">
      <c r="A9" s="14"/>
      <c r="B9" s="861" t="s">
        <v>685</v>
      </c>
      <c r="C9" s="861"/>
      <c r="D9" s="861"/>
      <c r="E9" s="861"/>
      <c r="F9" s="794"/>
      <c r="G9" s="794"/>
      <c r="H9" s="794"/>
      <c r="I9" s="794"/>
      <c r="J9" s="794"/>
      <c r="K9" s="794"/>
      <c r="L9" s="14"/>
      <c r="M9" s="14"/>
      <c r="N9" s="14"/>
      <c r="O9" s="14"/>
      <c r="P9" s="14"/>
      <c r="Q9" s="14"/>
      <c r="R9" s="14"/>
      <c r="S9" s="14"/>
      <c r="T9" s="14"/>
      <c r="U9" s="14"/>
      <c r="V9" s="14"/>
      <c r="W9" s="14"/>
      <c r="X9" s="14"/>
      <c r="Y9" s="14"/>
      <c r="Z9" s="14"/>
      <c r="AA9" s="14"/>
      <c r="AB9" s="14"/>
      <c r="AC9" s="14"/>
      <c r="AD9" s="14"/>
      <c r="AE9" s="14"/>
      <c r="AF9" s="14"/>
    </row>
    <row r="10" spans="1:32" ht="66" customHeight="1">
      <c r="A10" s="14"/>
      <c r="B10" s="800" t="s">
        <v>686</v>
      </c>
      <c r="C10" s="863" t="s">
        <v>800</v>
      </c>
      <c r="D10" s="863"/>
      <c r="E10" s="863"/>
      <c r="F10" s="863"/>
      <c r="G10" s="863"/>
      <c r="H10" s="863"/>
      <c r="I10" s="863"/>
      <c r="J10" s="863"/>
      <c r="K10" s="863"/>
      <c r="L10" s="14"/>
      <c r="M10" s="14"/>
      <c r="N10" s="14"/>
      <c r="O10" s="14"/>
      <c r="P10" s="14"/>
      <c r="Q10" s="14"/>
      <c r="R10" s="14"/>
      <c r="S10" s="14"/>
      <c r="T10" s="14"/>
      <c r="U10" s="14"/>
      <c r="V10" s="14"/>
      <c r="W10" s="14"/>
      <c r="X10" s="14"/>
      <c r="Y10" s="14"/>
      <c r="Z10" s="14"/>
      <c r="AA10" s="14"/>
      <c r="AB10" s="14"/>
      <c r="AC10" s="14"/>
      <c r="AD10" s="14"/>
      <c r="AE10" s="14"/>
      <c r="AF10" s="14"/>
    </row>
    <row r="11" spans="1:32" ht="35.25" customHeight="1">
      <c r="A11" s="14"/>
      <c r="B11" s="800" t="s">
        <v>687</v>
      </c>
      <c r="C11" s="863" t="s">
        <v>758</v>
      </c>
      <c r="D11" s="863"/>
      <c r="E11" s="863"/>
      <c r="F11" s="863"/>
      <c r="G11" s="863"/>
      <c r="H11" s="863"/>
      <c r="I11" s="863"/>
      <c r="J11" s="863"/>
      <c r="K11" s="863"/>
      <c r="L11" s="14"/>
      <c r="M11" s="14"/>
      <c r="N11" s="14"/>
      <c r="O11" s="14"/>
      <c r="P11" s="14"/>
      <c r="Q11" s="14"/>
      <c r="R11" s="14"/>
      <c r="S11" s="14"/>
      <c r="T11" s="14"/>
      <c r="U11" s="14"/>
      <c r="V11" s="14"/>
      <c r="W11" s="14"/>
      <c r="X11" s="14"/>
      <c r="Y11" s="14"/>
      <c r="Z11" s="14"/>
      <c r="AA11" s="14"/>
      <c r="AB11" s="14"/>
      <c r="AC11" s="14"/>
      <c r="AD11" s="14"/>
      <c r="AE11" s="14"/>
      <c r="AF11" s="14"/>
    </row>
    <row r="12" spans="1:32" ht="54.75" customHeight="1">
      <c r="A12" s="14"/>
      <c r="B12" s="800" t="s">
        <v>688</v>
      </c>
      <c r="C12" s="869" t="s">
        <v>804</v>
      </c>
      <c r="D12" s="870"/>
      <c r="E12" s="870"/>
      <c r="F12" s="870"/>
      <c r="G12" s="870"/>
      <c r="H12" s="870"/>
      <c r="I12" s="870"/>
      <c r="J12" s="870"/>
      <c r="K12" s="870"/>
      <c r="L12" s="14"/>
      <c r="M12" s="14"/>
      <c r="N12" s="14"/>
      <c r="O12" s="14"/>
      <c r="P12" s="14"/>
      <c r="Q12" s="14"/>
      <c r="R12" s="14"/>
      <c r="S12" s="14"/>
      <c r="T12" s="14"/>
      <c r="U12" s="14"/>
      <c r="V12" s="14"/>
      <c r="W12" s="14"/>
      <c r="X12" s="14"/>
      <c r="Y12" s="14"/>
      <c r="Z12" s="14"/>
      <c r="AA12" s="14"/>
      <c r="AB12" s="14"/>
      <c r="AC12" s="14"/>
      <c r="AD12" s="14"/>
      <c r="AE12" s="14"/>
      <c r="AF12" s="14"/>
    </row>
    <row r="13" spans="1:32" ht="36" customHeight="1">
      <c r="A13" s="14"/>
      <c r="B13" s="811" t="s">
        <v>689</v>
      </c>
      <c r="C13" s="855" t="s">
        <v>759</v>
      </c>
      <c r="D13" s="856"/>
      <c r="E13" s="856"/>
      <c r="F13" s="856"/>
      <c r="G13" s="856"/>
      <c r="H13" s="856"/>
      <c r="I13" s="856"/>
      <c r="J13" s="856"/>
      <c r="K13" s="856"/>
      <c r="L13" s="14"/>
      <c r="M13" s="14"/>
      <c r="N13" s="14"/>
      <c r="O13" s="14"/>
      <c r="P13" s="14"/>
      <c r="Q13" s="14"/>
      <c r="R13" s="14"/>
      <c r="S13" s="14"/>
      <c r="T13" s="14"/>
      <c r="U13" s="14"/>
      <c r="V13" s="14"/>
      <c r="W13" s="14"/>
      <c r="X13" s="14"/>
      <c r="Y13" s="14"/>
      <c r="Z13" s="14"/>
      <c r="AA13" s="14"/>
      <c r="AB13" s="14"/>
      <c r="AC13" s="14"/>
      <c r="AD13" s="14"/>
      <c r="AE13" s="14"/>
      <c r="AF13" s="14"/>
    </row>
    <row r="14" spans="1:32" ht="34.5" customHeight="1">
      <c r="A14" s="14"/>
      <c r="B14" s="810" t="s">
        <v>709</v>
      </c>
      <c r="C14" s="864" t="s">
        <v>711</v>
      </c>
      <c r="D14" s="865"/>
      <c r="E14" s="865"/>
      <c r="F14" s="865"/>
      <c r="G14" s="865"/>
      <c r="H14" s="865"/>
      <c r="I14" s="865"/>
      <c r="J14" s="865"/>
      <c r="K14" s="865"/>
      <c r="L14" s="14"/>
      <c r="M14" s="14"/>
      <c r="N14" s="14"/>
      <c r="O14" s="14"/>
      <c r="P14" s="14"/>
      <c r="Q14" s="14"/>
      <c r="R14" s="14"/>
      <c r="S14" s="14"/>
      <c r="T14" s="14"/>
      <c r="U14" s="14"/>
      <c r="V14" s="14"/>
      <c r="W14" s="14"/>
      <c r="X14" s="14"/>
      <c r="Y14" s="14"/>
      <c r="Z14" s="14"/>
      <c r="AA14" s="14"/>
      <c r="AB14" s="14"/>
      <c r="AC14" s="14"/>
      <c r="AD14" s="14"/>
      <c r="AE14" s="14"/>
      <c r="AF14" s="14"/>
    </row>
    <row r="15" spans="1:32" ht="35.25" customHeight="1">
      <c r="A15" s="14"/>
      <c r="B15" s="809" t="s">
        <v>710</v>
      </c>
      <c r="C15" s="866" t="s">
        <v>712</v>
      </c>
      <c r="D15" s="867"/>
      <c r="E15" s="867"/>
      <c r="F15" s="867"/>
      <c r="G15" s="867"/>
      <c r="H15" s="867"/>
      <c r="I15" s="867"/>
      <c r="J15" s="867"/>
      <c r="K15" s="867"/>
      <c r="L15" s="14"/>
      <c r="M15" s="14"/>
      <c r="N15" s="14"/>
      <c r="O15" s="14"/>
      <c r="P15" s="14"/>
      <c r="Q15" s="14"/>
      <c r="R15" s="14"/>
      <c r="S15" s="14"/>
      <c r="T15" s="14"/>
      <c r="U15" s="14"/>
      <c r="V15" s="14"/>
      <c r="W15" s="14"/>
      <c r="X15" s="14"/>
      <c r="Y15" s="14"/>
      <c r="Z15" s="14"/>
      <c r="AA15" s="14"/>
      <c r="AB15" s="14"/>
      <c r="AC15" s="14"/>
      <c r="AD15" s="14"/>
      <c r="AE15" s="14"/>
      <c r="AF15" s="14"/>
    </row>
    <row r="16" spans="1:32" ht="15">
      <c r="A16" s="14"/>
      <c r="B16" s="795"/>
      <c r="C16" s="795"/>
      <c r="D16" s="707"/>
      <c r="E16" s="795"/>
      <c r="F16" s="795"/>
      <c r="G16" s="795"/>
      <c r="H16" s="795"/>
      <c r="I16" s="795"/>
      <c r="J16" s="795"/>
      <c r="K16" s="795"/>
      <c r="L16" s="14"/>
      <c r="M16" s="14"/>
      <c r="N16" s="14"/>
      <c r="O16" s="14"/>
      <c r="P16" s="14"/>
      <c r="Q16" s="14"/>
      <c r="R16" s="14"/>
      <c r="S16" s="14"/>
      <c r="T16" s="14"/>
      <c r="U16" s="14"/>
      <c r="V16" s="14"/>
      <c r="W16" s="14"/>
      <c r="X16" s="14"/>
      <c r="Y16" s="14"/>
      <c r="Z16" s="14"/>
      <c r="AA16" s="14"/>
      <c r="AB16" s="14"/>
      <c r="AC16" s="14"/>
      <c r="AD16" s="14"/>
      <c r="AE16" s="14"/>
      <c r="AF16" s="14"/>
    </row>
    <row r="17" spans="1:32" ht="18.75">
      <c r="A17" s="14"/>
      <c r="B17" s="861" t="s">
        <v>782</v>
      </c>
      <c r="C17" s="861"/>
      <c r="D17" s="861"/>
      <c r="E17" s="861"/>
      <c r="F17" s="794"/>
      <c r="G17" s="794"/>
      <c r="H17" s="794"/>
      <c r="I17" s="794"/>
      <c r="J17" s="794"/>
      <c r="K17" s="794"/>
      <c r="L17" s="14"/>
      <c r="M17" s="14"/>
      <c r="N17" s="14"/>
      <c r="O17" s="14"/>
      <c r="P17" s="14"/>
      <c r="Q17" s="14"/>
      <c r="R17" s="14"/>
      <c r="S17" s="14"/>
      <c r="T17" s="14"/>
      <c r="U17" s="14"/>
      <c r="V17" s="14"/>
      <c r="W17" s="14"/>
      <c r="X17" s="14"/>
      <c r="Y17" s="14"/>
      <c r="Z17" s="14"/>
      <c r="AA17" s="14"/>
      <c r="AB17" s="14"/>
      <c r="AC17" s="14"/>
      <c r="AD17" s="14"/>
      <c r="AE17" s="14"/>
      <c r="AF17" s="14"/>
    </row>
    <row r="18" spans="1:32" ht="126" customHeight="1">
      <c r="A18" s="14"/>
      <c r="B18" s="859" t="s">
        <v>803</v>
      </c>
      <c r="C18" s="860"/>
      <c r="D18" s="860"/>
      <c r="E18" s="860"/>
      <c r="F18" s="860"/>
      <c r="G18" s="860"/>
      <c r="H18" s="860"/>
      <c r="I18" s="860"/>
      <c r="J18" s="860"/>
      <c r="K18" s="860"/>
      <c r="L18" s="14"/>
      <c r="M18" s="14"/>
      <c r="N18" s="14"/>
      <c r="O18" s="14"/>
      <c r="P18" s="14"/>
      <c r="Q18" s="14"/>
      <c r="R18" s="14"/>
      <c r="S18" s="14"/>
      <c r="T18" s="14"/>
      <c r="U18" s="14"/>
      <c r="V18" s="14"/>
      <c r="W18" s="14"/>
      <c r="X18" s="14"/>
      <c r="Y18" s="14"/>
      <c r="Z18" s="14"/>
      <c r="AA18" s="14"/>
      <c r="AB18" s="14"/>
      <c r="AC18" s="14"/>
      <c r="AD18" s="14"/>
      <c r="AE18" s="14"/>
      <c r="AF18" s="14"/>
    </row>
    <row r="19" spans="1:32" ht="18.75">
      <c r="A19" s="14"/>
      <c r="B19" s="861" t="s">
        <v>882</v>
      </c>
      <c r="C19" s="861"/>
      <c r="D19" s="861"/>
      <c r="E19" s="861"/>
      <c r="F19" s="794"/>
      <c r="G19" s="794"/>
      <c r="H19" s="794"/>
      <c r="I19" s="794"/>
      <c r="J19" s="794"/>
      <c r="K19" s="794"/>
      <c r="L19" s="14"/>
      <c r="M19" s="14"/>
      <c r="N19" s="14"/>
      <c r="O19" s="14"/>
      <c r="P19" s="14"/>
      <c r="Q19" s="14"/>
      <c r="R19" s="14"/>
      <c r="S19" s="14"/>
      <c r="T19" s="14"/>
      <c r="U19" s="14"/>
      <c r="V19" s="14"/>
      <c r="W19" s="14"/>
      <c r="X19" s="14"/>
      <c r="Y19" s="14"/>
      <c r="Z19" s="14"/>
      <c r="AA19" s="14"/>
      <c r="AB19" s="14"/>
      <c r="AC19" s="14"/>
      <c r="AD19" s="14"/>
      <c r="AE19" s="14"/>
      <c r="AF19" s="14"/>
    </row>
    <row r="20" spans="1:32" ht="55.5" customHeight="1">
      <c r="A20" s="14"/>
      <c r="B20" s="862" t="s">
        <v>883</v>
      </c>
      <c r="C20" s="863"/>
      <c r="D20" s="863"/>
      <c r="E20" s="863"/>
      <c r="F20" s="863"/>
      <c r="G20" s="863"/>
      <c r="H20" s="863"/>
      <c r="I20" s="863"/>
      <c r="J20" s="863"/>
      <c r="K20" s="863"/>
      <c r="L20" s="14"/>
      <c r="M20" s="14"/>
      <c r="N20" s="14"/>
      <c r="O20" s="14"/>
      <c r="P20" s="14"/>
      <c r="Q20" s="14"/>
      <c r="R20" s="14"/>
      <c r="S20" s="14"/>
      <c r="T20" s="14"/>
      <c r="U20" s="14"/>
      <c r="V20" s="14"/>
      <c r="W20" s="14"/>
      <c r="X20" s="14"/>
      <c r="Y20" s="14"/>
      <c r="Z20" s="14"/>
      <c r="AA20" s="14"/>
      <c r="AB20" s="14"/>
      <c r="AC20" s="14"/>
      <c r="AD20" s="14"/>
      <c r="AE20" s="14"/>
      <c r="AF20" s="14"/>
    </row>
    <row r="21" spans="1:32" ht="15">
      <c r="A21" s="14"/>
      <c r="B21" s="654" t="s">
        <v>877</v>
      </c>
      <c r="C21" s="14"/>
      <c r="D21" s="14"/>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row>
    <row r="22" spans="1:32" s="32" customFormat="1" ht="19.5" customHeight="1">
      <c r="A22" s="14"/>
      <c r="B22" s="14"/>
      <c r="C22" s="14"/>
      <c r="D22" s="14"/>
      <c r="E22" s="14"/>
      <c r="F22" s="14"/>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row>
    <row r="23" spans="1:32" ht="15">
      <c r="A23" s="14"/>
      <c r="B23" s="14"/>
      <c r="C23" s="14"/>
      <c r="D23" s="14"/>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row>
    <row r="24" spans="1:32" ht="15">
      <c r="A24" s="14"/>
      <c r="B24" s="14"/>
      <c r="C24" s="14"/>
      <c r="D24" s="14"/>
      <c r="E24" s="14"/>
      <c r="F24" s="14"/>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row>
    <row r="25" spans="1:32" ht="15">
      <c r="A25" s="14"/>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row>
    <row r="26" spans="1:32" ht="15">
      <c r="A26" s="14"/>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row>
    <row r="27" spans="1:32" ht="15">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row>
    <row r="28" spans="1:32" ht="15">
      <c r="A28" s="14"/>
      <c r="B28" s="14"/>
      <c r="C28" s="14"/>
      <c r="D28" s="14"/>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row>
    <row r="29" spans="1:32" ht="15">
      <c r="A29" s="14"/>
      <c r="B29" s="14"/>
      <c r="C29" s="14"/>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row>
    <row r="30" spans="1:32" ht="15">
      <c r="A30" s="14"/>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row>
    <row r="31" spans="1:32" ht="15">
      <c r="A31" s="14"/>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row>
    <row r="32" spans="1:32" ht="15">
      <c r="A32" s="14"/>
      <c r="B32" s="14"/>
      <c r="C32" s="14"/>
      <c r="D32" s="14"/>
      <c r="E32" s="14"/>
      <c r="F32" s="14"/>
      <c r="G32" s="14"/>
      <c r="H32" s="14"/>
      <c r="I32" s="14"/>
      <c r="J32" s="14"/>
      <c r="K32" s="14"/>
      <c r="L32" s="14"/>
      <c r="M32" s="14"/>
      <c r="N32" s="14"/>
      <c r="O32" s="14"/>
      <c r="P32" s="14"/>
      <c r="Q32" s="14"/>
      <c r="R32" s="14"/>
      <c r="S32" s="14"/>
      <c r="T32" s="14"/>
      <c r="U32" s="14"/>
      <c r="V32" s="14"/>
      <c r="W32" s="14"/>
      <c r="X32" s="14"/>
      <c r="Y32" s="14"/>
      <c r="Z32" s="14"/>
      <c r="AA32" s="14"/>
      <c r="AB32" s="14"/>
      <c r="AC32" s="14"/>
      <c r="AD32" s="14"/>
      <c r="AE32" s="14"/>
      <c r="AF32" s="14"/>
    </row>
    <row r="33" spans="1:32" ht="15">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row>
    <row r="34" spans="1:32" ht="15">
      <c r="A34" s="14"/>
      <c r="B34" s="14"/>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row>
    <row r="35" spans="1:32" ht="15">
      <c r="A35" s="14"/>
      <c r="B35" s="14"/>
      <c r="C35" s="14"/>
      <c r="D35" s="14"/>
      <c r="E35" s="14"/>
      <c r="F35" s="14"/>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row>
    <row r="36" spans="1:32" ht="15">
      <c r="A36" s="14"/>
      <c r="B36" s="14"/>
      <c r="C36" s="14"/>
      <c r="D36" s="14"/>
      <c r="E36" s="14"/>
      <c r="F36" s="14"/>
      <c r="G36" s="14"/>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row>
    <row r="37" spans="1:32" ht="15">
      <c r="A37" s="14"/>
      <c r="B37" s="14"/>
      <c r="C37" s="14"/>
      <c r="D37" s="14"/>
      <c r="E37" s="14"/>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row>
    <row r="38" spans="1:32" ht="15">
      <c r="A38" s="14"/>
      <c r="B38" s="14"/>
      <c r="C38" s="14"/>
      <c r="D38" s="14"/>
      <c r="E38" s="14"/>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row>
    <row r="39" spans="1:32" ht="15">
      <c r="A39" s="14"/>
      <c r="B39" s="14"/>
      <c r="C39" s="14"/>
      <c r="D39" s="14"/>
      <c r="E39" s="14"/>
      <c r="F39" s="14"/>
      <c r="G39" s="14"/>
      <c r="H39" s="14"/>
      <c r="I39" s="14"/>
      <c r="J39" s="14"/>
      <c r="K39" s="14"/>
      <c r="L39" s="14"/>
      <c r="M39" s="14"/>
      <c r="N39" s="14"/>
      <c r="O39" s="14"/>
      <c r="P39" s="14"/>
      <c r="Q39" s="14"/>
      <c r="R39" s="14"/>
      <c r="S39" s="14"/>
      <c r="T39" s="14"/>
      <c r="U39" s="14"/>
      <c r="V39" s="14"/>
      <c r="W39" s="14"/>
      <c r="X39" s="14"/>
      <c r="Y39" s="14"/>
      <c r="Z39" s="14"/>
      <c r="AA39" s="14"/>
      <c r="AB39" s="14"/>
      <c r="AC39" s="14"/>
      <c r="AD39" s="14"/>
      <c r="AE39" s="14"/>
      <c r="AF39" s="14"/>
    </row>
    <row r="40" spans="1:32" ht="15">
      <c r="A40" s="14"/>
      <c r="B40" s="14"/>
      <c r="C40" s="14"/>
      <c r="D40" s="14"/>
      <c r="E40" s="14"/>
      <c r="F40" s="14"/>
      <c r="G40" s="14"/>
      <c r="H40" s="14"/>
      <c r="I40" s="14"/>
      <c r="J40" s="14"/>
      <c r="K40" s="14"/>
      <c r="L40" s="14"/>
      <c r="M40" s="14"/>
      <c r="N40" s="14"/>
      <c r="O40" s="14"/>
      <c r="P40" s="14"/>
      <c r="Q40" s="14"/>
      <c r="R40" s="14"/>
      <c r="S40" s="14"/>
      <c r="T40" s="14"/>
      <c r="U40" s="14"/>
      <c r="V40" s="14"/>
      <c r="W40" s="14"/>
      <c r="X40" s="14"/>
      <c r="Y40" s="14"/>
      <c r="Z40" s="14"/>
      <c r="AA40" s="14"/>
      <c r="AB40" s="14"/>
      <c r="AC40" s="14"/>
      <c r="AD40" s="14"/>
      <c r="AE40" s="14"/>
      <c r="AF40" s="14"/>
    </row>
    <row r="41" spans="1:32" ht="15">
      <c r="A41" s="14"/>
      <c r="B41" s="14"/>
      <c r="C41" s="14"/>
      <c r="D41" s="14"/>
      <c r="E41" s="14"/>
      <c r="F41" s="14"/>
      <c r="G41" s="14"/>
      <c r="H41" s="14"/>
      <c r="I41" s="14"/>
      <c r="J41" s="14"/>
      <c r="K41" s="14"/>
      <c r="L41" s="14"/>
      <c r="M41" s="14"/>
      <c r="N41" s="14"/>
      <c r="O41" s="14"/>
      <c r="P41" s="14"/>
      <c r="Q41" s="14"/>
      <c r="R41" s="14"/>
      <c r="S41" s="14"/>
      <c r="T41" s="14"/>
      <c r="U41" s="14"/>
      <c r="V41" s="14"/>
      <c r="W41" s="14"/>
      <c r="X41" s="14"/>
      <c r="Y41" s="14"/>
      <c r="Z41" s="14"/>
      <c r="AA41" s="14"/>
      <c r="AB41" s="14"/>
      <c r="AC41" s="14"/>
      <c r="AD41" s="14"/>
      <c r="AE41" s="14"/>
      <c r="AF41" s="14"/>
    </row>
    <row r="42" spans="1:32" ht="15">
      <c r="A42" s="14"/>
      <c r="B42" s="14"/>
      <c r="C42" s="14"/>
      <c r="D42" s="14"/>
      <c r="E42" s="14"/>
      <c r="F42" s="14"/>
      <c r="G42" s="14"/>
      <c r="H42" s="14"/>
      <c r="I42" s="14"/>
      <c r="J42" s="14"/>
      <c r="K42" s="14"/>
      <c r="L42" s="14"/>
      <c r="M42" s="14"/>
      <c r="N42" s="14"/>
      <c r="O42" s="14"/>
      <c r="P42" s="14"/>
      <c r="Q42" s="14"/>
      <c r="R42" s="14"/>
      <c r="S42" s="14"/>
      <c r="T42" s="14"/>
      <c r="U42" s="14"/>
      <c r="V42" s="14"/>
      <c r="W42" s="14"/>
      <c r="X42" s="14"/>
      <c r="Y42" s="14"/>
      <c r="Z42" s="14"/>
      <c r="AA42" s="14"/>
      <c r="AB42" s="14"/>
      <c r="AC42" s="14"/>
      <c r="AD42" s="14"/>
      <c r="AE42" s="14"/>
      <c r="AF42" s="14"/>
    </row>
    <row r="43" spans="1:32" ht="15">
      <c r="A43" s="14"/>
      <c r="B43" s="14"/>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c r="AF43" s="14"/>
    </row>
    <row r="44" spans="1:32" ht="15">
      <c r="A44" s="14"/>
      <c r="B44" s="14"/>
      <c r="C44" s="14"/>
      <c r="D44" s="14"/>
      <c r="E44" s="14"/>
      <c r="F44" s="14"/>
      <c r="G44" s="14"/>
      <c r="H44" s="14"/>
      <c r="I44" s="14"/>
      <c r="J44" s="14"/>
      <c r="K44" s="14"/>
      <c r="L44" s="14"/>
      <c r="M44" s="14"/>
      <c r="N44" s="14"/>
      <c r="O44" s="14"/>
      <c r="P44" s="14"/>
      <c r="Q44" s="14"/>
      <c r="R44" s="14"/>
      <c r="S44" s="14"/>
      <c r="T44" s="14"/>
      <c r="U44" s="14"/>
      <c r="V44" s="14"/>
      <c r="W44" s="14"/>
      <c r="X44" s="14"/>
      <c r="Y44" s="14"/>
      <c r="Z44" s="14"/>
      <c r="AA44" s="14"/>
      <c r="AB44" s="14"/>
      <c r="AC44" s="14"/>
      <c r="AD44" s="14"/>
      <c r="AE44" s="14"/>
      <c r="AF44" s="14"/>
    </row>
    <row r="45" spans="1:32" ht="15">
      <c r="A45" s="14"/>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row>
    <row r="46" spans="1:32" ht="15">
      <c r="A46" s="14"/>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row>
    <row r="47" spans="1:32" ht="15">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row>
    <row r="48" spans="1:32" ht="15">
      <c r="A48" s="14"/>
      <c r="B48" s="14"/>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row>
    <row r="49" spans="1:32" ht="15">
      <c r="A49" s="14"/>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row>
    <row r="50" spans="1:32" ht="15">
      <c r="A50" s="14"/>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row>
    <row r="51" spans="1:32" ht="15">
      <c r="A51" s="14"/>
      <c r="B51" s="14"/>
      <c r="C51" s="14"/>
      <c r="D51" s="14"/>
      <c r="E51" s="14"/>
      <c r="F51" s="14"/>
      <c r="G51" s="14"/>
      <c r="H51" s="14"/>
      <c r="I51" s="14"/>
      <c r="J51" s="14"/>
      <c r="K51" s="14"/>
      <c r="L51" s="14"/>
      <c r="M51" s="14"/>
      <c r="N51" s="14"/>
      <c r="O51" s="14"/>
      <c r="P51" s="14"/>
      <c r="Q51" s="14"/>
      <c r="R51" s="14"/>
      <c r="S51" s="14"/>
      <c r="T51" s="14"/>
      <c r="U51" s="14"/>
      <c r="V51" s="14"/>
      <c r="W51" s="14"/>
      <c r="X51" s="14"/>
      <c r="Y51" s="14"/>
      <c r="Z51" s="14"/>
      <c r="AA51" s="14"/>
      <c r="AB51" s="14"/>
      <c r="AC51" s="14"/>
      <c r="AD51" s="14"/>
      <c r="AE51" s="14"/>
      <c r="AF51" s="14"/>
    </row>
    <row r="52" spans="1:32" ht="15">
      <c r="A52" s="14"/>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c r="AD52" s="14"/>
      <c r="AE52" s="14"/>
      <c r="AF52" s="14"/>
    </row>
    <row r="53" spans="1:32" ht="15">
      <c r="A53" s="14"/>
      <c r="B53" s="14"/>
      <c r="C53" s="14"/>
      <c r="D53" s="14"/>
      <c r="E53" s="14"/>
      <c r="F53" s="14"/>
      <c r="G53" s="14"/>
      <c r="H53" s="14"/>
      <c r="I53" s="14"/>
      <c r="J53" s="14"/>
      <c r="K53" s="14"/>
      <c r="L53" s="14"/>
      <c r="M53" s="14"/>
      <c r="N53" s="14"/>
      <c r="O53" s="14"/>
      <c r="P53" s="14"/>
      <c r="Q53" s="14"/>
      <c r="R53" s="14"/>
      <c r="S53" s="14"/>
      <c r="T53" s="14"/>
      <c r="U53" s="14"/>
      <c r="V53" s="14"/>
      <c r="W53" s="14"/>
      <c r="X53" s="14"/>
      <c r="Y53" s="14"/>
      <c r="Z53" s="14"/>
      <c r="AA53" s="14"/>
      <c r="AB53" s="14"/>
      <c r="AC53" s="14"/>
      <c r="AD53" s="14"/>
      <c r="AE53" s="14"/>
      <c r="AF53" s="14"/>
    </row>
    <row r="54" spans="1:32" ht="15">
      <c r="A54" s="14"/>
      <c r="B54" s="14"/>
      <c r="C54" s="14"/>
      <c r="D54" s="14"/>
      <c r="E54" s="14"/>
      <c r="F54" s="14"/>
      <c r="G54" s="14"/>
      <c r="H54" s="14"/>
      <c r="I54" s="14"/>
      <c r="J54" s="14"/>
      <c r="K54" s="14"/>
      <c r="L54" s="14"/>
      <c r="M54" s="14"/>
      <c r="N54" s="14"/>
      <c r="O54" s="14"/>
      <c r="P54" s="14"/>
      <c r="Q54" s="14"/>
      <c r="R54" s="14"/>
      <c r="S54" s="14"/>
      <c r="T54" s="14"/>
      <c r="U54" s="14"/>
      <c r="V54" s="14"/>
      <c r="W54" s="14"/>
      <c r="X54" s="14"/>
      <c r="Y54" s="14"/>
      <c r="Z54" s="14"/>
      <c r="AA54" s="14"/>
      <c r="AB54" s="14"/>
      <c r="AC54" s="14"/>
      <c r="AD54" s="14"/>
      <c r="AE54" s="14"/>
      <c r="AF54" s="14"/>
    </row>
    <row r="55" spans="1:32" ht="15">
      <c r="A55" s="14"/>
      <c r="B55" s="14"/>
      <c r="C55" s="14"/>
      <c r="D55" s="14"/>
      <c r="E55" s="14"/>
      <c r="F55" s="14"/>
      <c r="G55" s="14"/>
      <c r="H55" s="14"/>
      <c r="I55" s="14"/>
      <c r="J55" s="14"/>
      <c r="K55" s="14"/>
      <c r="L55" s="14"/>
      <c r="M55" s="14"/>
      <c r="N55" s="14"/>
      <c r="O55" s="14"/>
      <c r="P55" s="14"/>
      <c r="Q55" s="14"/>
      <c r="R55" s="14"/>
      <c r="S55" s="14"/>
      <c r="T55" s="14"/>
      <c r="U55" s="14"/>
      <c r="V55" s="14"/>
      <c r="W55" s="14"/>
      <c r="X55" s="14"/>
      <c r="Y55" s="14"/>
      <c r="Z55" s="14"/>
      <c r="AA55" s="14"/>
      <c r="AB55" s="14"/>
      <c r="AC55" s="14"/>
      <c r="AD55" s="14"/>
      <c r="AE55" s="14"/>
      <c r="AF55" s="14"/>
    </row>
    <row r="56" spans="1:32" ht="15">
      <c r="A56" s="14"/>
      <c r="B56" s="14"/>
      <c r="C56" s="14"/>
      <c r="D56" s="14"/>
      <c r="E56" s="14"/>
      <c r="F56" s="14"/>
      <c r="G56" s="14"/>
      <c r="H56" s="14"/>
      <c r="I56" s="14"/>
      <c r="J56" s="14"/>
      <c r="K56" s="14"/>
      <c r="L56" s="14"/>
      <c r="M56" s="14"/>
      <c r="N56" s="14"/>
      <c r="O56" s="14"/>
      <c r="P56" s="14"/>
      <c r="Q56" s="14"/>
      <c r="R56" s="14"/>
      <c r="S56" s="14"/>
      <c r="T56" s="14"/>
      <c r="U56" s="14"/>
      <c r="V56" s="14"/>
      <c r="W56" s="14"/>
      <c r="X56" s="14"/>
      <c r="Y56" s="14"/>
      <c r="Z56" s="14"/>
      <c r="AA56" s="14"/>
      <c r="AB56" s="14"/>
      <c r="AC56" s="14"/>
      <c r="AD56" s="14"/>
      <c r="AE56" s="14"/>
      <c r="AF56" s="14"/>
    </row>
    <row r="57" spans="1:32" ht="15">
      <c r="A57" s="14"/>
      <c r="B57" s="14"/>
      <c r="C57" s="14"/>
      <c r="D57" s="14"/>
      <c r="E57" s="14"/>
      <c r="F57" s="14"/>
      <c r="G57" s="14"/>
      <c r="H57" s="14"/>
      <c r="I57" s="14"/>
      <c r="J57" s="14"/>
      <c r="K57" s="14"/>
      <c r="L57" s="14"/>
      <c r="M57" s="14"/>
      <c r="N57" s="14"/>
      <c r="O57" s="14"/>
      <c r="P57" s="14"/>
      <c r="Q57" s="14"/>
      <c r="R57" s="14"/>
      <c r="S57" s="14"/>
      <c r="T57" s="14"/>
      <c r="U57" s="14"/>
      <c r="V57" s="14"/>
      <c r="W57" s="14"/>
      <c r="X57" s="14"/>
      <c r="Y57" s="14"/>
      <c r="Z57" s="14"/>
      <c r="AA57" s="14"/>
      <c r="AB57" s="14"/>
      <c r="AC57" s="14"/>
      <c r="AD57" s="14"/>
      <c r="AE57" s="14"/>
      <c r="AF57" s="14"/>
    </row>
    <row r="58" spans="1:32" ht="15">
      <c r="A58" s="14"/>
      <c r="B58" s="14"/>
      <c r="C58" s="14"/>
      <c r="D58" s="14"/>
      <c r="E58" s="14"/>
      <c r="F58" s="14"/>
      <c r="G58" s="14"/>
      <c r="H58" s="14"/>
      <c r="I58" s="14"/>
      <c r="J58" s="14"/>
      <c r="K58" s="14"/>
      <c r="L58" s="14"/>
      <c r="M58" s="14"/>
      <c r="N58" s="14"/>
      <c r="O58" s="14"/>
      <c r="P58" s="14"/>
      <c r="Q58" s="14"/>
      <c r="R58" s="14"/>
      <c r="S58" s="14"/>
      <c r="T58" s="14"/>
      <c r="U58" s="14"/>
      <c r="V58" s="14"/>
      <c r="W58" s="14"/>
      <c r="X58" s="14"/>
      <c r="Y58" s="14"/>
      <c r="Z58" s="14"/>
      <c r="AA58" s="14"/>
      <c r="AB58" s="14"/>
      <c r="AC58" s="14"/>
      <c r="AD58" s="14"/>
      <c r="AE58" s="14"/>
      <c r="AF58" s="14"/>
    </row>
    <row r="59" spans="1:32" ht="15">
      <c r="A59" s="14"/>
      <c r="B59" s="14"/>
      <c r="C59" s="14"/>
      <c r="D59" s="14"/>
      <c r="E59" s="14"/>
      <c r="F59" s="14"/>
      <c r="G59" s="14"/>
      <c r="H59" s="14"/>
      <c r="I59" s="14"/>
      <c r="J59" s="14"/>
      <c r="K59" s="14"/>
      <c r="L59" s="14"/>
      <c r="M59" s="14"/>
      <c r="N59" s="14"/>
      <c r="O59" s="14"/>
      <c r="P59" s="14"/>
      <c r="Q59" s="14"/>
      <c r="R59" s="14"/>
      <c r="S59" s="14"/>
      <c r="T59" s="14"/>
      <c r="U59" s="14"/>
      <c r="V59" s="14"/>
      <c r="W59" s="14"/>
      <c r="X59" s="14"/>
      <c r="Y59" s="14"/>
      <c r="Z59" s="14"/>
      <c r="AA59" s="14"/>
      <c r="AB59" s="14"/>
      <c r="AC59" s="14"/>
      <c r="AD59" s="14"/>
      <c r="AE59" s="14"/>
      <c r="AF59" s="14"/>
    </row>
    <row r="60" spans="1:32" ht="15">
      <c r="A60" s="14"/>
      <c r="B60" s="14"/>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row>
    <row r="61" spans="1:32" ht="15">
      <c r="A61" s="14"/>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row>
    <row r="62" spans="1:32" ht="15">
      <c r="A62" s="14"/>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c r="AE62" s="14"/>
      <c r="AF62" s="14"/>
    </row>
    <row r="63" spans="1:32" ht="15">
      <c r="A63" s="14"/>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c r="AE63" s="14"/>
      <c r="AF63" s="14"/>
    </row>
    <row r="64" spans="1:32" ht="15">
      <c r="A64" s="14"/>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c r="AE64" s="14"/>
      <c r="AF64" s="14"/>
    </row>
    <row r="65" spans="1:32" ht="15">
      <c r="A65" s="14"/>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c r="AE65" s="14"/>
      <c r="AF65" s="14"/>
    </row>
    <row r="66" spans="1:32" ht="15">
      <c r="A66" s="14"/>
      <c r="B66" s="14"/>
      <c r="C66" s="14"/>
      <c r="D66" s="14"/>
      <c r="E66" s="14"/>
      <c r="F66" s="14"/>
      <c r="G66" s="14"/>
      <c r="H66" s="14"/>
      <c r="I66" s="14"/>
      <c r="J66" s="14"/>
      <c r="K66" s="14"/>
      <c r="L66" s="14"/>
      <c r="M66" s="14"/>
      <c r="N66" s="14"/>
      <c r="O66" s="14"/>
      <c r="P66" s="14"/>
      <c r="Q66" s="14"/>
      <c r="R66" s="14"/>
      <c r="S66" s="14"/>
      <c r="T66" s="14"/>
      <c r="U66" s="14"/>
      <c r="V66" s="14"/>
      <c r="W66" s="14"/>
      <c r="X66" s="14"/>
      <c r="Y66" s="14"/>
      <c r="Z66" s="14"/>
      <c r="AA66" s="14"/>
      <c r="AB66" s="14"/>
      <c r="AC66" s="14"/>
      <c r="AD66" s="14"/>
      <c r="AE66" s="14"/>
      <c r="AF66" s="14"/>
    </row>
    <row r="67" spans="1:32" ht="15">
      <c r="A67" s="14"/>
      <c r="B67" s="14"/>
      <c r="C67" s="14"/>
      <c r="D67" s="14"/>
      <c r="E67" s="14"/>
      <c r="F67" s="14"/>
      <c r="G67" s="14"/>
      <c r="H67" s="14"/>
      <c r="I67" s="14"/>
      <c r="J67" s="14"/>
      <c r="K67" s="14"/>
      <c r="L67" s="14"/>
      <c r="M67" s="14"/>
      <c r="N67" s="14"/>
      <c r="O67" s="14"/>
      <c r="P67" s="14"/>
      <c r="Q67" s="14"/>
      <c r="R67" s="14"/>
      <c r="S67" s="14"/>
      <c r="T67" s="14"/>
      <c r="U67" s="14"/>
      <c r="V67" s="14"/>
      <c r="W67" s="14"/>
      <c r="X67" s="14"/>
      <c r="Y67" s="14"/>
      <c r="Z67" s="14"/>
      <c r="AA67" s="14"/>
      <c r="AB67" s="14"/>
      <c r="AC67" s="14"/>
      <c r="AD67" s="14"/>
      <c r="AE67" s="14"/>
      <c r="AF67" s="14"/>
    </row>
    <row r="68" spans="1:32" ht="15">
      <c r="A68" s="14"/>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c r="AE68" s="14"/>
      <c r="AF68" s="14"/>
    </row>
    <row r="69" spans="1:32" ht="15">
      <c r="A69" s="14"/>
      <c r="B69" s="14"/>
      <c r="C69" s="14"/>
      <c r="D69" s="14"/>
      <c r="E69" s="14"/>
      <c r="F69" s="14"/>
      <c r="G69" s="14"/>
      <c r="H69" s="14"/>
      <c r="I69" s="14"/>
      <c r="J69" s="14"/>
      <c r="K69" s="14"/>
      <c r="L69" s="14"/>
      <c r="M69" s="14"/>
      <c r="N69" s="14"/>
      <c r="O69" s="14"/>
      <c r="P69" s="14"/>
      <c r="Q69" s="14"/>
      <c r="R69" s="14"/>
      <c r="S69" s="14"/>
      <c r="T69" s="14"/>
      <c r="U69" s="14"/>
      <c r="V69" s="14"/>
      <c r="W69" s="14"/>
      <c r="X69" s="14"/>
      <c r="Y69" s="14"/>
      <c r="Z69" s="14"/>
      <c r="AA69" s="14"/>
      <c r="AB69" s="14"/>
      <c r="AC69" s="14"/>
      <c r="AD69" s="14"/>
      <c r="AE69" s="14"/>
      <c r="AF69" s="14"/>
    </row>
    <row r="70" spans="1:32" ht="15">
      <c r="A70" s="14"/>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c r="AE70" s="14"/>
      <c r="AF70" s="14"/>
    </row>
    <row r="71" spans="1:32" ht="15">
      <c r="A71" s="14"/>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c r="AE71" s="14"/>
      <c r="AF71" s="14"/>
    </row>
    <row r="72" spans="1:32" ht="15">
      <c r="A72" s="14"/>
      <c r="B72" s="14"/>
      <c r="C72" s="14"/>
      <c r="D72" s="14"/>
      <c r="E72" s="14"/>
      <c r="F72" s="14"/>
      <c r="G72" s="14"/>
      <c r="H72" s="14"/>
      <c r="I72" s="14"/>
      <c r="J72" s="14"/>
      <c r="K72" s="14"/>
      <c r="L72" s="14"/>
      <c r="M72" s="14"/>
      <c r="N72" s="14"/>
      <c r="O72" s="14"/>
      <c r="P72" s="14"/>
      <c r="Q72" s="14"/>
      <c r="R72" s="14"/>
      <c r="S72" s="14"/>
      <c r="T72" s="14"/>
      <c r="U72" s="14"/>
      <c r="V72" s="14"/>
      <c r="W72" s="14"/>
      <c r="X72" s="14"/>
      <c r="Y72" s="14"/>
      <c r="Z72" s="14"/>
      <c r="AA72" s="14"/>
      <c r="AB72" s="14"/>
      <c r="AC72" s="14"/>
      <c r="AD72" s="14"/>
      <c r="AE72" s="14"/>
      <c r="AF72" s="14"/>
    </row>
    <row r="73" spans="1:32" ht="15">
      <c r="A73" s="14"/>
      <c r="B73" s="14"/>
      <c r="C73" s="14"/>
      <c r="D73" s="14"/>
      <c r="E73" s="14"/>
      <c r="F73" s="14"/>
      <c r="G73" s="14"/>
      <c r="H73" s="14"/>
      <c r="I73" s="14"/>
      <c r="J73" s="14"/>
      <c r="K73" s="14"/>
      <c r="L73" s="14"/>
      <c r="M73" s="14"/>
      <c r="N73" s="14"/>
      <c r="O73" s="14"/>
      <c r="P73" s="14"/>
      <c r="Q73" s="14"/>
      <c r="R73" s="14"/>
      <c r="S73" s="14"/>
      <c r="T73" s="14"/>
      <c r="U73" s="14"/>
      <c r="V73" s="14"/>
      <c r="W73" s="14"/>
      <c r="X73" s="14"/>
      <c r="Y73" s="14"/>
      <c r="Z73" s="14"/>
      <c r="AA73" s="14"/>
      <c r="AB73" s="14"/>
      <c r="AC73" s="14"/>
      <c r="AD73" s="14"/>
      <c r="AE73" s="14"/>
      <c r="AF73" s="14"/>
    </row>
    <row r="74" spans="1:32" ht="15">
      <c r="A74" s="14"/>
      <c r="B74" s="14"/>
      <c r="C74" s="14"/>
      <c r="D74" s="14"/>
      <c r="E74" s="14"/>
      <c r="F74" s="14"/>
      <c r="G74" s="14"/>
      <c r="H74" s="14"/>
      <c r="I74" s="14"/>
      <c r="J74" s="14"/>
      <c r="K74" s="14"/>
      <c r="L74" s="14"/>
      <c r="M74" s="14"/>
      <c r="N74" s="14"/>
      <c r="O74" s="14"/>
      <c r="P74" s="14"/>
      <c r="Q74" s="14"/>
      <c r="R74" s="14"/>
      <c r="S74" s="14"/>
      <c r="T74" s="14"/>
      <c r="U74" s="14"/>
      <c r="V74" s="14"/>
      <c r="W74" s="14"/>
      <c r="X74" s="14"/>
      <c r="Y74" s="14"/>
      <c r="Z74" s="14"/>
      <c r="AA74" s="14"/>
      <c r="AB74" s="14"/>
      <c r="AC74" s="14"/>
      <c r="AD74" s="14"/>
      <c r="AE74" s="14"/>
      <c r="AF74" s="14"/>
    </row>
    <row r="75" spans="1:32" ht="15">
      <c r="A75" s="14"/>
      <c r="B75" s="14"/>
      <c r="C75" s="14"/>
      <c r="D75" s="14"/>
      <c r="E75" s="14"/>
      <c r="F75" s="14"/>
      <c r="G75" s="14"/>
      <c r="H75" s="14"/>
      <c r="I75" s="14"/>
      <c r="J75" s="14"/>
      <c r="K75" s="14"/>
      <c r="L75" s="14"/>
      <c r="M75" s="14"/>
      <c r="N75" s="14"/>
      <c r="O75" s="14"/>
      <c r="P75" s="14"/>
      <c r="Q75" s="14"/>
      <c r="R75" s="14"/>
      <c r="S75" s="14"/>
      <c r="T75" s="14"/>
      <c r="U75" s="14"/>
      <c r="V75" s="14"/>
      <c r="W75" s="14"/>
      <c r="X75" s="14"/>
      <c r="Y75" s="14"/>
      <c r="Z75" s="14"/>
      <c r="AA75" s="14"/>
      <c r="AB75" s="14"/>
      <c r="AC75" s="14"/>
      <c r="AD75" s="14"/>
      <c r="AE75" s="14"/>
      <c r="AF75" s="14"/>
    </row>
    <row r="76" spans="1:32" ht="15">
      <c r="A76" s="14"/>
      <c r="B76" s="14"/>
      <c r="C76" s="14"/>
      <c r="D76" s="14"/>
      <c r="E76" s="14"/>
      <c r="F76" s="14"/>
      <c r="G76" s="14"/>
      <c r="H76" s="14"/>
      <c r="I76" s="14"/>
      <c r="J76" s="14"/>
      <c r="K76" s="14"/>
      <c r="L76" s="14"/>
      <c r="M76" s="14"/>
      <c r="N76" s="14"/>
      <c r="O76" s="14"/>
      <c r="P76" s="14"/>
      <c r="Q76" s="14"/>
      <c r="R76" s="14"/>
      <c r="S76" s="14"/>
      <c r="T76" s="14"/>
      <c r="U76" s="14"/>
      <c r="V76" s="14"/>
      <c r="W76" s="14"/>
      <c r="X76" s="14"/>
      <c r="Y76" s="14"/>
      <c r="Z76" s="14"/>
      <c r="AA76" s="14"/>
      <c r="AB76" s="14"/>
      <c r="AC76" s="14"/>
      <c r="AD76" s="14"/>
      <c r="AE76" s="14"/>
      <c r="AF76" s="14"/>
    </row>
    <row r="77" spans="1:32" ht="15">
      <c r="A77" s="14"/>
      <c r="B77" s="14"/>
      <c r="C77" s="14"/>
      <c r="D77" s="14"/>
      <c r="E77" s="14"/>
      <c r="F77" s="14"/>
      <c r="G77" s="14"/>
      <c r="H77" s="14"/>
      <c r="I77" s="14"/>
      <c r="J77" s="14"/>
      <c r="K77" s="14"/>
      <c r="L77" s="14"/>
      <c r="M77" s="14"/>
      <c r="N77" s="14"/>
      <c r="O77" s="14"/>
      <c r="P77" s="14"/>
      <c r="Q77" s="14"/>
      <c r="R77" s="14"/>
      <c r="S77" s="14"/>
      <c r="T77" s="14"/>
      <c r="U77" s="14"/>
      <c r="V77" s="14"/>
      <c r="W77" s="14"/>
      <c r="X77" s="14"/>
      <c r="Y77" s="14"/>
      <c r="Z77" s="14"/>
      <c r="AA77" s="14"/>
      <c r="AB77" s="14"/>
      <c r="AC77" s="14"/>
      <c r="AD77" s="14"/>
      <c r="AE77" s="14"/>
      <c r="AF77" s="14"/>
    </row>
    <row r="78" spans="1:32" ht="15">
      <c r="A78" s="14"/>
      <c r="B78" s="14"/>
      <c r="C78" s="14"/>
      <c r="D78" s="14"/>
      <c r="E78" s="14"/>
      <c r="F78" s="14"/>
      <c r="G78" s="14"/>
      <c r="H78" s="14"/>
      <c r="I78" s="14"/>
      <c r="J78" s="14"/>
      <c r="K78" s="14"/>
      <c r="L78" s="14"/>
      <c r="M78" s="14"/>
      <c r="N78" s="14"/>
      <c r="O78" s="14"/>
      <c r="P78" s="14"/>
      <c r="Q78" s="14"/>
      <c r="R78" s="14"/>
      <c r="S78" s="14"/>
      <c r="T78" s="14"/>
      <c r="U78" s="14"/>
      <c r="V78" s="14"/>
      <c r="W78" s="14"/>
      <c r="X78" s="14"/>
      <c r="Y78" s="14"/>
      <c r="Z78" s="14"/>
      <c r="AA78" s="14"/>
      <c r="AB78" s="14"/>
      <c r="AC78" s="14"/>
      <c r="AD78" s="14"/>
      <c r="AE78" s="14"/>
      <c r="AF78" s="14"/>
    </row>
    <row r="79" spans="1:32" ht="15">
      <c r="A79" s="14"/>
      <c r="B79" s="14"/>
      <c r="C79" s="14"/>
      <c r="D79" s="14"/>
      <c r="E79" s="14"/>
      <c r="F79" s="14"/>
      <c r="G79" s="14"/>
      <c r="H79" s="14"/>
      <c r="I79" s="14"/>
      <c r="J79" s="14"/>
      <c r="K79" s="14"/>
      <c r="L79" s="14"/>
      <c r="M79" s="14"/>
      <c r="N79" s="14"/>
      <c r="O79" s="14"/>
      <c r="P79" s="14"/>
      <c r="Q79" s="14"/>
      <c r="R79" s="14"/>
      <c r="S79" s="14"/>
      <c r="T79" s="14"/>
      <c r="U79" s="14"/>
      <c r="V79" s="14"/>
      <c r="W79" s="14"/>
      <c r="X79" s="14"/>
      <c r="Y79" s="14"/>
      <c r="Z79" s="14"/>
      <c r="AA79" s="14"/>
      <c r="AB79" s="14"/>
      <c r="AC79" s="14"/>
      <c r="AD79" s="14"/>
      <c r="AE79" s="14"/>
      <c r="AF79" s="14"/>
    </row>
    <row r="80" spans="1:32" ht="15">
      <c r="A80" s="14"/>
      <c r="B80" s="14"/>
      <c r="C80" s="14"/>
      <c r="D80" s="14"/>
      <c r="E80" s="14"/>
      <c r="F80" s="14"/>
      <c r="G80" s="14"/>
      <c r="H80" s="14"/>
      <c r="I80" s="14"/>
      <c r="J80" s="14"/>
      <c r="K80" s="14"/>
      <c r="L80" s="14"/>
      <c r="M80" s="14"/>
      <c r="N80" s="14"/>
      <c r="O80" s="14"/>
      <c r="P80" s="14"/>
      <c r="Q80" s="14"/>
      <c r="R80" s="14"/>
      <c r="S80" s="14"/>
      <c r="T80" s="14"/>
      <c r="U80" s="14"/>
      <c r="V80" s="14"/>
      <c r="W80" s="14"/>
      <c r="X80" s="14"/>
      <c r="Y80" s="14"/>
      <c r="Z80" s="14"/>
      <c r="AA80" s="14"/>
      <c r="AB80" s="14"/>
      <c r="AC80" s="14"/>
      <c r="AD80" s="14"/>
      <c r="AE80" s="14"/>
      <c r="AF80" s="14"/>
    </row>
    <row r="81" spans="1:32" ht="15">
      <c r="A81" s="14"/>
      <c r="B81" s="14"/>
      <c r="C81" s="14"/>
      <c r="D81" s="14"/>
      <c r="E81" s="14"/>
      <c r="F81" s="14"/>
      <c r="G81" s="14"/>
      <c r="H81" s="14"/>
      <c r="I81" s="14"/>
      <c r="J81" s="14"/>
      <c r="K81" s="14"/>
      <c r="L81" s="14"/>
      <c r="M81" s="14"/>
      <c r="N81" s="14"/>
      <c r="O81" s="14"/>
      <c r="P81" s="14"/>
      <c r="Q81" s="14"/>
      <c r="R81" s="14"/>
      <c r="S81" s="14"/>
      <c r="T81" s="14"/>
      <c r="U81" s="14"/>
      <c r="V81" s="14"/>
      <c r="W81" s="14"/>
      <c r="X81" s="14"/>
      <c r="Y81" s="14"/>
      <c r="Z81" s="14"/>
      <c r="AA81" s="14"/>
      <c r="AB81" s="14"/>
      <c r="AC81" s="14"/>
      <c r="AD81" s="14"/>
      <c r="AE81" s="14"/>
      <c r="AF81" s="14"/>
    </row>
    <row r="82" spans="1:32" ht="15">
      <c r="A82" s="14"/>
      <c r="B82" s="14"/>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row>
    <row r="83" spans="1:32" ht="15">
      <c r="A83" s="14"/>
      <c r="B83" s="14"/>
      <c r="C83" s="14"/>
      <c r="D83" s="14"/>
      <c r="E83" s="14"/>
      <c r="F83" s="14"/>
      <c r="G83" s="14"/>
      <c r="H83" s="14"/>
      <c r="I83" s="14"/>
      <c r="J83" s="14"/>
      <c r="K83" s="14"/>
      <c r="L83" s="14"/>
      <c r="M83" s="14"/>
      <c r="N83" s="14"/>
      <c r="O83" s="14"/>
      <c r="P83" s="14"/>
      <c r="Q83" s="14"/>
      <c r="R83" s="14"/>
      <c r="S83" s="14"/>
      <c r="T83" s="14"/>
      <c r="U83" s="14"/>
      <c r="V83" s="14"/>
      <c r="W83" s="14"/>
      <c r="X83" s="14"/>
      <c r="Y83" s="14"/>
      <c r="Z83" s="14"/>
      <c r="AA83" s="14"/>
      <c r="AB83" s="14"/>
      <c r="AC83" s="14"/>
      <c r="AD83" s="14"/>
      <c r="AE83" s="14"/>
      <c r="AF83" s="14"/>
    </row>
    <row r="84" spans="1:32" ht="15">
      <c r="A84" s="14"/>
      <c r="B84" s="14"/>
      <c r="C84" s="14"/>
      <c r="D84" s="14"/>
      <c r="E84" s="14"/>
      <c r="F84" s="14"/>
      <c r="G84" s="14"/>
      <c r="H84" s="14"/>
      <c r="I84" s="14"/>
      <c r="J84" s="14"/>
      <c r="K84" s="14"/>
      <c r="L84" s="14"/>
      <c r="M84" s="14"/>
      <c r="N84" s="14"/>
      <c r="O84" s="14"/>
      <c r="P84" s="14"/>
      <c r="Q84" s="14"/>
      <c r="R84" s="14"/>
      <c r="S84" s="14"/>
      <c r="T84" s="14"/>
      <c r="U84" s="14"/>
      <c r="V84" s="14"/>
      <c r="W84" s="14"/>
      <c r="X84" s="14"/>
      <c r="Y84" s="14"/>
      <c r="Z84" s="14"/>
      <c r="AA84" s="14"/>
      <c r="AB84" s="14"/>
      <c r="AC84" s="14"/>
      <c r="AD84" s="14"/>
      <c r="AE84" s="14"/>
      <c r="AF84" s="14"/>
    </row>
    <row r="85" spans="1:32" ht="15">
      <c r="A85" s="14"/>
      <c r="B85" s="14"/>
      <c r="C85" s="14"/>
      <c r="D85" s="14"/>
      <c r="E85" s="14"/>
      <c r="F85" s="14"/>
      <c r="G85" s="14"/>
      <c r="H85" s="14"/>
      <c r="I85" s="14"/>
      <c r="J85" s="14"/>
      <c r="K85" s="14"/>
      <c r="L85" s="14"/>
      <c r="M85" s="14"/>
      <c r="N85" s="14"/>
      <c r="O85" s="14"/>
      <c r="P85" s="14"/>
      <c r="Q85" s="14"/>
      <c r="R85" s="14"/>
      <c r="S85" s="14"/>
      <c r="T85" s="14"/>
      <c r="U85" s="14"/>
      <c r="V85" s="14"/>
      <c r="W85" s="14"/>
      <c r="X85" s="14"/>
      <c r="Y85" s="14"/>
      <c r="Z85" s="14"/>
      <c r="AA85" s="14"/>
      <c r="AB85" s="14"/>
      <c r="AC85" s="14"/>
      <c r="AD85" s="14"/>
      <c r="AE85" s="14"/>
      <c r="AF85" s="14"/>
    </row>
    <row r="86" spans="1:32" ht="15">
      <c r="A86" s="14"/>
      <c r="B86" s="14"/>
      <c r="C86" s="14"/>
      <c r="D86" s="14"/>
      <c r="E86" s="14"/>
      <c r="F86" s="14"/>
      <c r="G86" s="14"/>
      <c r="H86" s="14"/>
      <c r="I86" s="14"/>
      <c r="J86" s="14"/>
      <c r="K86" s="14"/>
      <c r="L86" s="14"/>
      <c r="M86" s="14"/>
      <c r="N86" s="14"/>
      <c r="O86" s="14"/>
      <c r="P86" s="14"/>
      <c r="Q86" s="14"/>
      <c r="R86" s="14"/>
      <c r="S86" s="14"/>
      <c r="T86" s="14"/>
      <c r="U86" s="14"/>
      <c r="V86" s="14"/>
      <c r="W86" s="14"/>
      <c r="X86" s="14"/>
      <c r="Y86" s="14"/>
      <c r="Z86" s="14"/>
      <c r="AA86" s="14"/>
      <c r="AB86" s="14"/>
      <c r="AC86" s="14"/>
      <c r="AD86" s="14"/>
      <c r="AE86" s="14"/>
      <c r="AF86" s="14"/>
    </row>
  </sheetData>
  <sheetProtection sheet="1" formatRows="0"/>
  <mergeCells count="17">
    <mergeCell ref="B3:K3"/>
    <mergeCell ref="B2:D2"/>
    <mergeCell ref="B9:E9"/>
    <mergeCell ref="C10:K10"/>
    <mergeCell ref="C11:K11"/>
    <mergeCell ref="C12:K12"/>
    <mergeCell ref="B7:D7"/>
    <mergeCell ref="B4:K4"/>
    <mergeCell ref="B5:K5"/>
    <mergeCell ref="C13:K13"/>
    <mergeCell ref="B6:K6"/>
    <mergeCell ref="B18:K18"/>
    <mergeCell ref="B17:E17"/>
    <mergeCell ref="B19:E19"/>
    <mergeCell ref="B20:K20"/>
    <mergeCell ref="C14:K14"/>
    <mergeCell ref="C15:K15"/>
  </mergeCells>
  <hyperlinks>
    <hyperlink ref="B7:K7" r:id="rId1" display="or the H2Otel Challenge web page."/>
    <hyperlink ref="B6:K6" r:id="rId2" display="http://www.epa.gov/watersense/docs/ws-at-work_bmpcommercialandinstitutional_508.pdf"/>
    <hyperlink ref="B4:K4" r:id="rId3" display="The WaterUSE Tool, in combination with the Water Assessment Worksheets, can assist hotels in identifying and prioritizing cost-effective water efficiency projects and best management practices (BMPs) to reduce water and energy use and save money. "/>
  </hyperlinks>
  <printOptions gridLines="1" horizontalCentered="1"/>
  <pageMargins left="0.25" right="0.25" top="0.75" bottom="0.5" header="0.25" footer="0.25"/>
  <pageSetup fitToHeight="0" fitToWidth="1" horizontalDpi="1200" verticalDpi="1200" orientation="portrait" scale="60" r:id="rId5"/>
  <headerFooter alignWithMargins="0">
    <oddHeader>&amp;C&amp;18&amp;F</oddHeader>
    <oddFooter>&amp;C&amp;P of &amp;N</oddFooter>
  </headerFooter>
  <ignoredErrors>
    <ignoredError sqref="B10 B11:B13 B14:B15" numberStoredAsText="1"/>
  </ignoredErrors>
  <drawing r:id="rId4"/>
</worksheet>
</file>

<file path=xl/worksheets/sheet20.xml><?xml version="1.0" encoding="utf-8"?>
<worksheet xmlns="http://schemas.openxmlformats.org/spreadsheetml/2006/main" xmlns:r="http://schemas.openxmlformats.org/officeDocument/2006/relationships">
  <sheetPr codeName="x_Defaults"/>
  <dimension ref="A1:M148"/>
  <sheetViews>
    <sheetView zoomScalePageLayoutView="0" workbookViewId="0" topLeftCell="A1">
      <selection activeCell="C11" sqref="C11"/>
    </sheetView>
  </sheetViews>
  <sheetFormatPr defaultColWidth="9.140625" defaultRowHeight="15"/>
  <cols>
    <col min="1" max="1" width="64.28125" style="441" customWidth="1"/>
    <col min="2" max="2" width="12.8515625" style="441" bestFit="1" customWidth="1"/>
    <col min="3" max="3" width="25.7109375" style="441" customWidth="1"/>
    <col min="4" max="16384" width="9.140625" style="441" customWidth="1"/>
  </cols>
  <sheetData>
    <row r="1" ht="15.75" thickBot="1">
      <c r="A1" s="516" t="s">
        <v>367</v>
      </c>
    </row>
    <row r="2" spans="1:3" ht="15">
      <c r="A2" s="484" t="s">
        <v>374</v>
      </c>
      <c r="B2" s="485" t="s">
        <v>20</v>
      </c>
      <c r="C2" s="486" t="s">
        <v>19</v>
      </c>
    </row>
    <row r="3" spans="1:3" ht="15">
      <c r="A3" s="484" t="s">
        <v>307</v>
      </c>
      <c r="B3" s="75">
        <v>3.81</v>
      </c>
      <c r="C3" s="514" t="s">
        <v>792</v>
      </c>
    </row>
    <row r="4" spans="1:3" ht="15">
      <c r="A4" s="530" t="s">
        <v>308</v>
      </c>
      <c r="B4" s="75">
        <v>5.06</v>
      </c>
      <c r="C4" s="514" t="s">
        <v>792</v>
      </c>
    </row>
    <row r="5" spans="1:3" ht="15">
      <c r="A5" s="484" t="s">
        <v>309</v>
      </c>
      <c r="B5" s="75">
        <v>0.1075</v>
      </c>
      <c r="C5" s="514" t="s">
        <v>784</v>
      </c>
    </row>
    <row r="6" spans="1:3" ht="15.75" thickBot="1">
      <c r="A6" s="484" t="s">
        <v>310</v>
      </c>
      <c r="B6" s="75">
        <v>8.87</v>
      </c>
      <c r="C6" s="515" t="s">
        <v>795</v>
      </c>
    </row>
    <row r="7" spans="2:3" ht="15">
      <c r="B7" s="487"/>
      <c r="C7" s="488"/>
    </row>
    <row r="8" spans="1:2" ht="15">
      <c r="A8" s="484" t="s">
        <v>373</v>
      </c>
      <c r="B8" s="710">
        <v>1.4</v>
      </c>
    </row>
    <row r="9" spans="1:2" ht="15">
      <c r="A9" s="484" t="s">
        <v>375</v>
      </c>
      <c r="B9" s="711">
        <v>0.61</v>
      </c>
    </row>
    <row r="10" spans="1:2" ht="15">
      <c r="A10" s="484" t="s">
        <v>376</v>
      </c>
      <c r="B10" s="712">
        <v>365</v>
      </c>
    </row>
    <row r="12" ht="15.75" thickBot="1">
      <c r="A12" s="516" t="s">
        <v>368</v>
      </c>
    </row>
    <row r="13" spans="1:2" ht="15">
      <c r="A13" s="70" t="s">
        <v>371</v>
      </c>
      <c r="B13" s="490">
        <v>1.28</v>
      </c>
    </row>
    <row r="14" spans="1:2" ht="15">
      <c r="A14" s="530" t="s">
        <v>509</v>
      </c>
      <c r="B14" s="491">
        <v>1.6</v>
      </c>
    </row>
    <row r="15" spans="1:2" ht="15">
      <c r="A15" s="530" t="s">
        <v>510</v>
      </c>
      <c r="B15" s="491">
        <v>3.5</v>
      </c>
    </row>
    <row r="16" spans="1:2" ht="15">
      <c r="A16" s="484" t="s">
        <v>372</v>
      </c>
      <c r="B16" s="491">
        <v>5</v>
      </c>
    </row>
    <row r="17" spans="1:2" ht="15">
      <c r="A17" s="530" t="s">
        <v>506</v>
      </c>
      <c r="B17" s="491">
        <v>1</v>
      </c>
    </row>
    <row r="18" spans="1:2" ht="15">
      <c r="A18" s="530" t="s">
        <v>505</v>
      </c>
      <c r="B18" s="491">
        <v>1.5</v>
      </c>
    </row>
    <row r="19" spans="1:2" ht="15">
      <c r="A19" s="70" t="s">
        <v>369</v>
      </c>
      <c r="B19" s="491">
        <v>2.2</v>
      </c>
    </row>
    <row r="20" spans="1:2" ht="15.75" thickBot="1">
      <c r="A20" s="70" t="s">
        <v>370</v>
      </c>
      <c r="B20" s="492">
        <v>2.5</v>
      </c>
    </row>
    <row r="21" ht="15.75" thickBot="1">
      <c r="A21" s="70"/>
    </row>
    <row r="22" spans="1:4" ht="15">
      <c r="A22" s="530" t="s">
        <v>507</v>
      </c>
      <c r="B22" s="493">
        <v>1.28</v>
      </c>
      <c r="D22" s="484"/>
    </row>
    <row r="23" spans="1:4" ht="15">
      <c r="A23" s="484" t="s">
        <v>394</v>
      </c>
      <c r="B23" s="494">
        <v>0.5</v>
      </c>
      <c r="D23" s="484"/>
    </row>
    <row r="24" spans="1:4" ht="15">
      <c r="A24" s="484" t="s">
        <v>395</v>
      </c>
      <c r="B24" s="494">
        <v>1.5</v>
      </c>
      <c r="D24" s="484"/>
    </row>
    <row r="25" spans="1:4" ht="15">
      <c r="A25" s="484" t="s">
        <v>396</v>
      </c>
      <c r="B25" s="494">
        <v>2</v>
      </c>
      <c r="D25" s="484"/>
    </row>
    <row r="26" spans="1:4" ht="15.75" thickBot="1">
      <c r="A26" s="484" t="s">
        <v>397</v>
      </c>
      <c r="B26" s="495">
        <v>1.28</v>
      </c>
      <c r="D26" s="484"/>
    </row>
    <row r="27" spans="1:4" ht="15">
      <c r="A27" s="70"/>
      <c r="D27" s="484"/>
    </row>
    <row r="28" spans="1:4" ht="15.75" thickBot="1">
      <c r="A28" s="516" t="s">
        <v>381</v>
      </c>
      <c r="D28" s="484"/>
    </row>
    <row r="29" spans="1:4" ht="15.75" thickBot="1">
      <c r="A29" s="484" t="s">
        <v>379</v>
      </c>
      <c r="B29" s="496">
        <v>24</v>
      </c>
      <c r="D29" s="484"/>
    </row>
    <row r="30" s="530" customFormat="1" ht="15.75" thickBot="1">
      <c r="A30" s="70"/>
    </row>
    <row r="31" spans="1:2" s="530" customFormat="1" ht="15">
      <c r="A31" s="530" t="s">
        <v>236</v>
      </c>
      <c r="B31" s="493">
        <v>4.5</v>
      </c>
    </row>
    <row r="32" spans="1:2" s="530" customFormat="1" ht="15">
      <c r="A32" s="530" t="s">
        <v>441</v>
      </c>
      <c r="B32" s="494">
        <v>5.5</v>
      </c>
    </row>
    <row r="33" spans="1:2" s="530" customFormat="1" ht="15">
      <c r="A33" s="530" t="s">
        <v>442</v>
      </c>
      <c r="B33" s="494">
        <v>8.5</v>
      </c>
    </row>
    <row r="34" spans="1:2" s="530" customFormat="1" ht="15">
      <c r="A34" s="530" t="s">
        <v>445</v>
      </c>
      <c r="B34" s="494">
        <v>2.8</v>
      </c>
    </row>
    <row r="35" spans="1:2" s="530" customFormat="1" ht="15">
      <c r="A35" s="530" t="s">
        <v>244</v>
      </c>
      <c r="B35" s="494">
        <v>241</v>
      </c>
    </row>
    <row r="36" spans="1:2" s="530" customFormat="1" ht="15">
      <c r="A36" s="530" t="s">
        <v>238</v>
      </c>
      <c r="B36" s="494">
        <v>97</v>
      </c>
    </row>
    <row r="37" spans="1:2" s="530" customFormat="1" ht="15">
      <c r="A37" s="530" t="s">
        <v>253</v>
      </c>
      <c r="B37" s="494">
        <v>392</v>
      </c>
    </row>
    <row r="38" spans="1:2" s="530" customFormat="1" ht="15">
      <c r="A38" s="530" t="s">
        <v>249</v>
      </c>
      <c r="B38" s="494">
        <v>1241</v>
      </c>
    </row>
    <row r="39" spans="1:2" s="530" customFormat="1" ht="15">
      <c r="A39" s="530" t="s">
        <v>245</v>
      </c>
      <c r="B39" s="583">
        <v>0.75</v>
      </c>
    </row>
    <row r="40" spans="1:2" s="530" customFormat="1" ht="15.75" thickBot="1">
      <c r="A40" s="530" t="s">
        <v>444</v>
      </c>
      <c r="B40" s="581">
        <v>0.8</v>
      </c>
    </row>
    <row r="41" ht="15">
      <c r="A41" s="70"/>
    </row>
    <row r="42" s="530" customFormat="1" ht="15.75" thickBot="1">
      <c r="A42" s="516" t="s">
        <v>380</v>
      </c>
    </row>
    <row r="43" spans="1:2" s="530" customFormat="1" ht="15.75" thickBot="1">
      <c r="A43" s="70" t="s">
        <v>446</v>
      </c>
      <c r="B43" s="586">
        <v>0.17</v>
      </c>
    </row>
    <row r="44" s="530" customFormat="1" ht="15">
      <c r="A44" s="516"/>
    </row>
    <row r="45" ht="15.75" thickBot="1">
      <c r="A45" s="516" t="s">
        <v>382</v>
      </c>
    </row>
    <row r="46" spans="1:2" ht="15">
      <c r="A46" s="484" t="s">
        <v>385</v>
      </c>
      <c r="B46" s="497">
        <v>12</v>
      </c>
    </row>
    <row r="47" spans="1:2" ht="15.75" thickBot="1">
      <c r="A47" s="484" t="s">
        <v>386</v>
      </c>
      <c r="B47" s="489">
        <v>2</v>
      </c>
    </row>
    <row r="48" spans="1:2" s="530" customFormat="1" ht="15.75" thickBot="1">
      <c r="A48" s="530" t="s">
        <v>514</v>
      </c>
      <c r="B48" s="648">
        <v>3</v>
      </c>
    </row>
    <row r="50" ht="15.75" thickBot="1">
      <c r="A50" s="516" t="s">
        <v>383</v>
      </c>
    </row>
    <row r="51" spans="1:2" ht="15.75" thickBot="1">
      <c r="A51" s="441" t="s">
        <v>393</v>
      </c>
      <c r="B51" s="496">
        <v>64</v>
      </c>
    </row>
    <row r="52" spans="1:2" ht="15.75" thickBot="1">
      <c r="A52" s="530" t="s">
        <v>508</v>
      </c>
      <c r="B52" s="708">
        <v>1.6</v>
      </c>
    </row>
    <row r="54" ht="15.75" thickBot="1">
      <c r="A54" s="516" t="s">
        <v>392</v>
      </c>
    </row>
    <row r="55" spans="1:2" ht="15">
      <c r="A55" s="441" t="s">
        <v>387</v>
      </c>
      <c r="B55" s="498">
        <v>1000</v>
      </c>
    </row>
    <row r="56" spans="1:2" ht="15.75" thickBot="1">
      <c r="A56" s="441" t="s">
        <v>388</v>
      </c>
      <c r="B56" s="499">
        <v>34000</v>
      </c>
    </row>
    <row r="57" spans="1:2" ht="15">
      <c r="A57" s="441" t="s">
        <v>389</v>
      </c>
      <c r="B57" s="498">
        <v>40</v>
      </c>
    </row>
    <row r="58" spans="1:2" ht="15.75" thickBot="1">
      <c r="A58" s="441" t="s">
        <v>390</v>
      </c>
      <c r="B58" s="499">
        <v>1100</v>
      </c>
    </row>
    <row r="59" spans="1:2" ht="15">
      <c r="A59" s="70"/>
      <c r="B59" s="500"/>
    </row>
    <row r="60" spans="1:2" ht="15.75" thickBot="1">
      <c r="A60" s="516" t="s">
        <v>366</v>
      </c>
      <c r="B60" s="500"/>
    </row>
    <row r="61" spans="1:2" ht="15">
      <c r="A61" s="441" t="s">
        <v>391</v>
      </c>
      <c r="B61" s="566">
        <v>1500000</v>
      </c>
    </row>
    <row r="62" spans="1:2" ht="15.75" thickBot="1">
      <c r="A62" s="530" t="s">
        <v>480</v>
      </c>
      <c r="B62" s="567">
        <v>2.5</v>
      </c>
    </row>
    <row r="63" spans="1:2" s="530" customFormat="1" ht="15">
      <c r="A63" s="70"/>
      <c r="B63" s="504"/>
    </row>
    <row r="64" s="484" customFormat="1" ht="18.75">
      <c r="A64" s="518" t="s">
        <v>401</v>
      </c>
    </row>
    <row r="65" ht="15">
      <c r="A65" s="516" t="s">
        <v>378</v>
      </c>
    </row>
    <row r="66" spans="1:5" ht="15">
      <c r="A66" s="530" t="s">
        <v>501</v>
      </c>
      <c r="B66" s="621"/>
      <c r="C66" s="622">
        <v>1.28</v>
      </c>
      <c r="D66" s="623">
        <v>300</v>
      </c>
      <c r="E66" s="623"/>
    </row>
    <row r="67" spans="1:5" s="530" customFormat="1" ht="15">
      <c r="A67" s="530" t="s">
        <v>500</v>
      </c>
      <c r="B67" s="641"/>
      <c r="C67" s="642">
        <v>1.28</v>
      </c>
      <c r="D67" s="643">
        <v>1000</v>
      </c>
      <c r="E67" s="643"/>
    </row>
    <row r="68" spans="1:5" ht="15">
      <c r="A68" s="530" t="s">
        <v>502</v>
      </c>
      <c r="B68" s="621"/>
      <c r="C68" s="622">
        <v>1.5</v>
      </c>
      <c r="D68" s="623">
        <v>10</v>
      </c>
      <c r="E68" s="623"/>
    </row>
    <row r="69" spans="1:5" ht="15">
      <c r="A69" s="530" t="s">
        <v>459</v>
      </c>
      <c r="B69" s="621"/>
      <c r="C69" s="622">
        <v>2</v>
      </c>
      <c r="D69" s="623">
        <v>20</v>
      </c>
      <c r="E69" s="623"/>
    </row>
    <row r="70" spans="1:2" ht="15">
      <c r="A70" s="70"/>
      <c r="B70" s="501"/>
    </row>
    <row r="71" spans="1:2" ht="15">
      <c r="A71" s="70" t="s">
        <v>26</v>
      </c>
      <c r="B71" s="502">
        <v>5.05</v>
      </c>
    </row>
    <row r="72" spans="1:2" ht="15">
      <c r="A72" s="70" t="s">
        <v>27</v>
      </c>
      <c r="B72" s="502">
        <v>8.1</v>
      </c>
    </row>
    <row r="73" spans="1:2" ht="15">
      <c r="A73" s="70" t="s">
        <v>28</v>
      </c>
      <c r="B73" s="502">
        <v>8.2</v>
      </c>
    </row>
    <row r="74" spans="1:2" ht="15">
      <c r="A74" s="70" t="s">
        <v>29</v>
      </c>
      <c r="B74" s="502">
        <v>1</v>
      </c>
    </row>
    <row r="75" spans="1:2" ht="15">
      <c r="A75" s="70" t="s">
        <v>31</v>
      </c>
      <c r="B75" s="503">
        <v>0.727</v>
      </c>
    </row>
    <row r="76" spans="1:2" ht="15">
      <c r="A76" s="70" t="s">
        <v>30</v>
      </c>
      <c r="B76" s="503">
        <v>0.731</v>
      </c>
    </row>
    <row r="77" spans="1:2" ht="15">
      <c r="A77" s="70" t="s">
        <v>35</v>
      </c>
      <c r="B77" s="502">
        <v>0.17664</v>
      </c>
    </row>
    <row r="78" spans="1:2" ht="15">
      <c r="A78" s="70" t="s">
        <v>32</v>
      </c>
      <c r="B78" s="502">
        <v>0.0008774</v>
      </c>
    </row>
    <row r="79" ht="15">
      <c r="A79" s="70"/>
    </row>
    <row r="80" ht="15">
      <c r="A80" s="516" t="s">
        <v>377</v>
      </c>
    </row>
    <row r="81" spans="1:5" ht="15">
      <c r="A81" s="530" t="s">
        <v>501</v>
      </c>
      <c r="B81" s="621"/>
      <c r="C81" s="622">
        <v>1.28</v>
      </c>
      <c r="D81" s="623">
        <v>300</v>
      </c>
      <c r="E81" s="623"/>
    </row>
    <row r="82" spans="1:5" s="530" customFormat="1" ht="15">
      <c r="A82" s="530" t="s">
        <v>500</v>
      </c>
      <c r="B82" s="641"/>
      <c r="C82" s="642">
        <v>1.28</v>
      </c>
      <c r="D82" s="643">
        <v>1000</v>
      </c>
      <c r="E82" s="643"/>
    </row>
    <row r="83" spans="1:5" ht="15">
      <c r="A83" s="530" t="s">
        <v>503</v>
      </c>
      <c r="B83" s="952"/>
      <c r="C83" s="948">
        <v>0.5</v>
      </c>
      <c r="D83" s="946">
        <v>500</v>
      </c>
      <c r="E83" s="946"/>
    </row>
    <row r="84" spans="2:5" s="530" customFormat="1" ht="15">
      <c r="B84" s="953"/>
      <c r="C84" s="949"/>
      <c r="D84" s="947"/>
      <c r="E84" s="947"/>
    </row>
    <row r="85" spans="1:5" ht="15">
      <c r="A85" s="530" t="s">
        <v>502</v>
      </c>
      <c r="B85" s="621"/>
      <c r="C85" s="622">
        <v>0.5</v>
      </c>
      <c r="D85" s="623">
        <v>10</v>
      </c>
      <c r="E85" s="623"/>
    </row>
    <row r="86" spans="1:5" ht="15">
      <c r="A86" s="530" t="s">
        <v>459</v>
      </c>
      <c r="B86" s="621"/>
      <c r="C86" s="622">
        <v>2</v>
      </c>
      <c r="D86" s="623">
        <v>20</v>
      </c>
      <c r="E86" s="623"/>
    </row>
    <row r="87" ht="15">
      <c r="A87" s="516"/>
    </row>
    <row r="88" spans="1:2" ht="15">
      <c r="A88" s="441" t="s">
        <v>347</v>
      </c>
      <c r="B88" s="519">
        <v>0.5</v>
      </c>
    </row>
    <row r="89" spans="1:2" ht="15">
      <c r="A89" s="484" t="s">
        <v>348</v>
      </c>
      <c r="B89" s="519">
        <v>0.5</v>
      </c>
    </row>
    <row r="90" spans="1:2" ht="15">
      <c r="A90" s="484" t="s">
        <v>405</v>
      </c>
      <c r="B90" s="388">
        <v>3</v>
      </c>
    </row>
    <row r="91" spans="1:2" ht="15">
      <c r="A91" s="484" t="s">
        <v>406</v>
      </c>
      <c r="B91" s="388">
        <v>0.5</v>
      </c>
    </row>
    <row r="92" spans="1:2" ht="15">
      <c r="A92" s="484" t="s">
        <v>407</v>
      </c>
      <c r="B92" s="388">
        <v>1</v>
      </c>
    </row>
    <row r="93" spans="1:2" ht="15">
      <c r="A93" s="484" t="s">
        <v>408</v>
      </c>
      <c r="B93" s="388">
        <v>0.1</v>
      </c>
    </row>
    <row r="94" spans="1:2" ht="15">
      <c r="A94" s="484" t="s">
        <v>409</v>
      </c>
      <c r="B94" s="388">
        <v>2</v>
      </c>
    </row>
    <row r="95" spans="1:2" ht="15">
      <c r="A95" s="484" t="s">
        <v>410</v>
      </c>
      <c r="B95" s="388">
        <v>0.4</v>
      </c>
    </row>
    <row r="96" spans="1:5" ht="15">
      <c r="A96" s="484" t="s">
        <v>57</v>
      </c>
      <c r="B96" s="520">
        <v>1</v>
      </c>
      <c r="E96" s="501"/>
    </row>
    <row r="97" spans="1:2" ht="15">
      <c r="A97" s="484" t="s">
        <v>53</v>
      </c>
      <c r="B97" s="520">
        <v>0.5</v>
      </c>
    </row>
    <row r="98" spans="1:3" ht="15">
      <c r="A98" s="484" t="s">
        <v>50</v>
      </c>
      <c r="B98" s="520">
        <v>0.1</v>
      </c>
      <c r="C98" s="484"/>
    </row>
    <row r="99" spans="1:3" ht="15">
      <c r="A99" s="484" t="s">
        <v>28</v>
      </c>
      <c r="B99" s="520">
        <v>5</v>
      </c>
      <c r="C99" s="484"/>
    </row>
    <row r="100" spans="1:3" ht="15">
      <c r="A100" s="484" t="s">
        <v>31</v>
      </c>
      <c r="B100" s="521">
        <v>0.727</v>
      </c>
      <c r="C100" s="484"/>
    </row>
    <row r="101" spans="1:3" ht="15">
      <c r="A101" s="484" t="s">
        <v>30</v>
      </c>
      <c r="B101" s="521">
        <v>0.731</v>
      </c>
      <c r="C101" s="484"/>
    </row>
    <row r="102" spans="1:3" ht="15">
      <c r="A102" s="484" t="s">
        <v>35</v>
      </c>
      <c r="B102" s="522">
        <v>0.17664</v>
      </c>
      <c r="C102" s="484"/>
    </row>
    <row r="103" spans="1:3" ht="15">
      <c r="A103" s="484" t="s">
        <v>32</v>
      </c>
      <c r="B103" s="520">
        <v>0.0008774</v>
      </c>
      <c r="C103" s="484"/>
    </row>
    <row r="105" spans="1:3" ht="15">
      <c r="A105" s="516" t="s">
        <v>381</v>
      </c>
      <c r="B105" s="528" t="s">
        <v>135</v>
      </c>
      <c r="C105" s="528" t="s">
        <v>136</v>
      </c>
    </row>
    <row r="106" spans="1:3" s="530" customFormat="1" ht="15">
      <c r="A106" s="530" t="s">
        <v>434</v>
      </c>
      <c r="B106" s="584">
        <f>B35/B37*IF(HotWaterFuelType="Electric",1,(1-B40))</f>
        <v>0.12295918367346936</v>
      </c>
      <c r="C106" s="584">
        <f>B36/B37*IF(HotWaterFuelType="Electric",1,(1-B40))</f>
        <v>0.04948979591836734</v>
      </c>
    </row>
    <row r="107" spans="1:3" s="530" customFormat="1" ht="15">
      <c r="A107" s="530" t="s">
        <v>435</v>
      </c>
      <c r="B107" s="584">
        <f>B35/B37*IF(HotWaterFuelType="Natural Gas",B40*Conversions!B4/B39,0)</f>
        <v>0</v>
      </c>
      <c r="C107" s="584">
        <f>B36/B37*IF(HotWaterFuelType="Natural Gas",B40*Conversions!B4/B39,0)</f>
        <v>0</v>
      </c>
    </row>
    <row r="108" spans="1:3" s="530" customFormat="1" ht="15">
      <c r="A108" s="530" t="s">
        <v>437</v>
      </c>
      <c r="B108" s="585">
        <f>B33*B34</f>
        <v>23.799999999999997</v>
      </c>
      <c r="C108" s="585">
        <f>B31*B34</f>
        <v>12.6</v>
      </c>
    </row>
    <row r="109" spans="1:3" s="530" customFormat="1" ht="15">
      <c r="A109" s="530" t="s">
        <v>436</v>
      </c>
      <c r="B109" s="585">
        <f>B32*B34</f>
        <v>15.399999999999999</v>
      </c>
      <c r="C109" s="585">
        <f>B31*B34</f>
        <v>12.6</v>
      </c>
    </row>
    <row r="110" spans="1:3" ht="15">
      <c r="A110" s="484" t="s">
        <v>398</v>
      </c>
      <c r="B110" s="505">
        <v>1.5</v>
      </c>
      <c r="C110" s="602" t="s">
        <v>45</v>
      </c>
    </row>
    <row r="111" s="530" customFormat="1" ht="15"/>
    <row r="112" ht="15">
      <c r="A112" s="516" t="s">
        <v>380</v>
      </c>
    </row>
    <row r="113" spans="1:5" ht="15">
      <c r="A113" s="530" t="s">
        <v>72</v>
      </c>
      <c r="B113" s="506">
        <v>10</v>
      </c>
      <c r="E113" s="530"/>
    </row>
    <row r="114" spans="1:2" s="530" customFormat="1" ht="15">
      <c r="A114" s="530" t="s">
        <v>860</v>
      </c>
      <c r="B114" s="508">
        <v>1.4</v>
      </c>
    </row>
    <row r="115" spans="1:2" s="530" customFormat="1" ht="15">
      <c r="A115" s="530" t="s">
        <v>861</v>
      </c>
      <c r="B115" s="506">
        <v>3</v>
      </c>
    </row>
    <row r="116" spans="1:5" ht="15">
      <c r="A116" s="530" t="s">
        <v>862</v>
      </c>
      <c r="B116" s="507">
        <v>2</v>
      </c>
      <c r="E116" s="530"/>
    </row>
    <row r="117" spans="1:2" s="530" customFormat="1" ht="15">
      <c r="A117" s="530" t="s">
        <v>871</v>
      </c>
      <c r="B117" s="506">
        <v>300</v>
      </c>
    </row>
    <row r="118" spans="1:2" s="530" customFormat="1" ht="15">
      <c r="A118" s="530" t="s">
        <v>872</v>
      </c>
      <c r="B118" s="506">
        <v>1200</v>
      </c>
    </row>
    <row r="119" spans="1:2" s="530" customFormat="1" ht="15">
      <c r="A119" s="530" t="s">
        <v>873</v>
      </c>
      <c r="B119" s="506">
        <v>15000</v>
      </c>
    </row>
    <row r="120" spans="1:5" ht="15">
      <c r="A120" s="530"/>
      <c r="E120" s="530"/>
    </row>
    <row r="121" spans="1:5" ht="15">
      <c r="A121" s="516" t="s">
        <v>382</v>
      </c>
      <c r="E121" s="530"/>
    </row>
    <row r="122" spans="1:2" ht="15">
      <c r="A122" s="441" t="s">
        <v>399</v>
      </c>
      <c r="B122" s="508">
        <v>1.5</v>
      </c>
    </row>
    <row r="123" spans="1:2" ht="15">
      <c r="A123" s="530" t="s">
        <v>490</v>
      </c>
      <c r="B123" s="508">
        <v>40</v>
      </c>
    </row>
    <row r="124" spans="1:2" ht="15">
      <c r="A124" s="441" t="s">
        <v>102</v>
      </c>
      <c r="B124" s="508">
        <v>3</v>
      </c>
    </row>
    <row r="125" spans="1:2" ht="15">
      <c r="A125" s="441" t="s">
        <v>103</v>
      </c>
      <c r="B125" s="508">
        <v>30</v>
      </c>
    </row>
    <row r="126" spans="1:3" ht="15">
      <c r="A126" s="441" t="s">
        <v>104</v>
      </c>
      <c r="B126" s="508">
        <v>15</v>
      </c>
      <c r="C126" s="530"/>
    </row>
    <row r="127" spans="1:3" ht="15">
      <c r="A127" s="441" t="s">
        <v>105</v>
      </c>
      <c r="B127" s="509">
        <v>0.3</v>
      </c>
      <c r="C127" s="530"/>
    </row>
    <row r="128" spans="1:13" s="12" customFormat="1" ht="15">
      <c r="A128" s="630" t="s">
        <v>491</v>
      </c>
      <c r="B128" s="545">
        <v>1</v>
      </c>
      <c r="C128" s="530"/>
      <c r="G128" s="89"/>
      <c r="H128" s="39"/>
      <c r="I128" s="39"/>
      <c r="J128" s="39"/>
      <c r="K128" s="39"/>
      <c r="L128" s="39"/>
      <c r="M128" s="39"/>
    </row>
    <row r="130" ht="15">
      <c r="A130" s="516" t="s">
        <v>383</v>
      </c>
    </row>
    <row r="131" spans="1:5" ht="15">
      <c r="A131" s="70" t="s">
        <v>462</v>
      </c>
      <c r="B131" s="622"/>
      <c r="C131" s="526" t="s">
        <v>45</v>
      </c>
      <c r="D131" s="510"/>
      <c r="E131" s="510"/>
    </row>
    <row r="132" spans="1:6" ht="15">
      <c r="A132" s="70" t="s">
        <v>210</v>
      </c>
      <c r="B132" s="622"/>
      <c r="C132" s="622">
        <v>1.28</v>
      </c>
      <c r="D132" s="510">
        <v>80</v>
      </c>
      <c r="E132" s="510"/>
      <c r="F132" s="530"/>
    </row>
    <row r="133" ht="15">
      <c r="A133" s="516"/>
    </row>
    <row r="134" spans="1:2" ht="15">
      <c r="A134" s="441" t="s">
        <v>211</v>
      </c>
      <c r="B134" s="511">
        <v>1</v>
      </c>
    </row>
    <row r="135" spans="1:2" ht="15">
      <c r="A135" s="441" t="s">
        <v>35</v>
      </c>
      <c r="B135" s="512">
        <v>0.24457555904897763</v>
      </c>
    </row>
    <row r="136" spans="1:2" ht="15">
      <c r="A136" s="441" t="s">
        <v>32</v>
      </c>
      <c r="B136" s="513">
        <v>0.0009110969122644735</v>
      </c>
    </row>
    <row r="138" ht="15">
      <c r="A138" s="516" t="s">
        <v>403</v>
      </c>
    </row>
    <row r="139" spans="1:7" s="530" customFormat="1" ht="15">
      <c r="A139" s="483" t="s">
        <v>339</v>
      </c>
      <c r="B139" s="90">
        <v>1.8</v>
      </c>
      <c r="C139" s="484"/>
      <c r="D139" s="441"/>
      <c r="E139" s="441"/>
      <c r="F139" s="441"/>
      <c r="G139" s="441"/>
    </row>
    <row r="140" spans="1:7" ht="15">
      <c r="A140" s="604" t="s">
        <v>458</v>
      </c>
      <c r="B140" s="603">
        <v>0.3</v>
      </c>
      <c r="C140" s="530"/>
      <c r="D140" s="530"/>
      <c r="E140" s="530"/>
      <c r="F140" s="530"/>
      <c r="G140" s="530"/>
    </row>
    <row r="141" spans="1:3" ht="15">
      <c r="A141" s="483" t="s">
        <v>337</v>
      </c>
      <c r="B141" s="30">
        <v>6</v>
      </c>
      <c r="C141" s="484"/>
    </row>
    <row r="143" spans="1:3" ht="15">
      <c r="A143" s="516" t="s">
        <v>392</v>
      </c>
      <c r="B143" s="528" t="s">
        <v>77</v>
      </c>
      <c r="C143" s="528" t="s">
        <v>78</v>
      </c>
    </row>
    <row r="144" spans="1:4" ht="15">
      <c r="A144" s="484" t="s">
        <v>80</v>
      </c>
      <c r="B144" s="48">
        <v>0.105</v>
      </c>
      <c r="C144" s="48">
        <v>0.43</v>
      </c>
      <c r="D144" s="484"/>
    </row>
    <row r="145" spans="1:4" ht="15">
      <c r="A145" s="484" t="s">
        <v>79</v>
      </c>
      <c r="B145" s="48">
        <v>0.882</v>
      </c>
      <c r="C145" s="48">
        <v>0.855</v>
      </c>
      <c r="D145" s="484"/>
    </row>
    <row r="146" spans="1:4" ht="15">
      <c r="A146" s="484" t="s">
        <v>341</v>
      </c>
      <c r="B146" s="48">
        <v>0.277</v>
      </c>
      <c r="C146" s="48">
        <v>0.427</v>
      </c>
      <c r="D146" s="484"/>
    </row>
    <row r="147" spans="1:4" ht="15">
      <c r="A147" s="484" t="s">
        <v>342</v>
      </c>
      <c r="B147" s="48">
        <v>0.105</v>
      </c>
      <c r="C147" s="48">
        <v>0.273</v>
      </c>
      <c r="D147" s="484"/>
    </row>
    <row r="148" spans="1:4" ht="15">
      <c r="A148" s="484" t="s">
        <v>71</v>
      </c>
      <c r="B148" s="48">
        <v>0.147</v>
      </c>
      <c r="C148" s="48"/>
      <c r="D148" s="484"/>
    </row>
  </sheetData>
  <sheetProtection sheet="1"/>
  <mergeCells count="4">
    <mergeCell ref="B83:B84"/>
    <mergeCell ref="C83:C84"/>
    <mergeCell ref="D83:D84"/>
    <mergeCell ref="E83:E84"/>
  </mergeCells>
  <dataValidations count="2">
    <dataValidation allowBlank="1" showErrorMessage="1" prompt="Default hotel industry average is 60% occupancy." sqref="B9"/>
    <dataValidation allowBlank="1" showErrorMessage="1" prompt="Default hotel industry average is 1.4 people per room per night." sqref="C11 B8"/>
  </dataValidations>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codeName="Summary">
    <pageSetUpPr fitToPage="1"/>
  </sheetPr>
  <dimension ref="A1:AE138"/>
  <sheetViews>
    <sheetView showGridLines="0" zoomScalePageLayoutView="0" workbookViewId="0" topLeftCell="A1">
      <pane ySplit="1" topLeftCell="A2" activePane="bottomLeft" state="frozen"/>
      <selection pane="topLeft" activeCell="A1" sqref="A1"/>
      <selection pane="bottomLeft" activeCell="C3" sqref="C3:K3"/>
    </sheetView>
  </sheetViews>
  <sheetFormatPr defaultColWidth="9.140625" defaultRowHeight="15"/>
  <cols>
    <col min="1" max="1" width="4.7109375" style="653" customWidth="1"/>
    <col min="2" max="2" width="4.7109375" style="410" customWidth="1"/>
    <col min="3" max="3" width="7.28125" style="410" customWidth="1"/>
    <col min="4" max="4" width="24.57421875" style="653" customWidth="1"/>
    <col min="5" max="5" width="15.00390625" style="653" bestFit="1" customWidth="1"/>
    <col min="6" max="10" width="15.8515625" style="653" customWidth="1"/>
    <col min="11" max="11" width="17.00390625" style="653" customWidth="1"/>
    <col min="12" max="12" width="15.8515625" style="653" customWidth="1"/>
    <col min="13" max="13" width="9.140625" style="653" customWidth="1"/>
    <col min="14" max="14" width="4.7109375" style="653" customWidth="1"/>
    <col min="15" max="16384" width="9.140625" style="653" customWidth="1"/>
  </cols>
  <sheetData>
    <row r="1" spans="1:28" s="12" customFormat="1" ht="42" customHeight="1">
      <c r="A1" s="13"/>
      <c r="B1" s="409"/>
      <c r="C1" s="409"/>
      <c r="D1" s="885" t="s">
        <v>831</v>
      </c>
      <c r="E1" s="885"/>
      <c r="F1" s="885"/>
      <c r="G1" s="885"/>
      <c r="H1" s="885"/>
      <c r="I1" s="885"/>
      <c r="J1" s="885"/>
      <c r="K1" s="885"/>
      <c r="L1" s="13"/>
      <c r="M1" s="13"/>
      <c r="N1" s="13"/>
      <c r="O1" s="13"/>
      <c r="P1" s="13"/>
      <c r="Q1" s="13"/>
      <c r="R1" s="13"/>
      <c r="S1" s="13"/>
      <c r="T1" s="13"/>
      <c r="U1" s="13"/>
      <c r="V1" s="13"/>
      <c r="W1" s="13"/>
      <c r="X1" s="13"/>
      <c r="Y1" s="13"/>
      <c r="Z1" s="13"/>
      <c r="AA1" s="13"/>
      <c r="AB1" s="13"/>
    </row>
    <row r="2" spans="1:28" s="12" customFormat="1" ht="52.5" customHeight="1">
      <c r="A2" s="13"/>
      <c r="B2" s="410"/>
      <c r="C2" s="886" t="s">
        <v>840</v>
      </c>
      <c r="D2" s="886"/>
      <c r="E2" s="886"/>
      <c r="F2" s="886"/>
      <c r="G2" s="886"/>
      <c r="H2" s="886"/>
      <c r="I2" s="886"/>
      <c r="J2" s="886"/>
      <c r="K2" s="886"/>
      <c r="L2" s="886"/>
      <c r="M2" s="3"/>
      <c r="N2" s="13"/>
      <c r="O2" s="13"/>
      <c r="P2" s="13"/>
      <c r="Q2" s="13"/>
      <c r="R2" s="13"/>
      <c r="S2" s="13"/>
      <c r="T2" s="13"/>
      <c r="U2" s="13"/>
      <c r="V2" s="13"/>
      <c r="W2" s="13"/>
      <c r="X2" s="13"/>
      <c r="Y2" s="13"/>
      <c r="Z2" s="13"/>
      <c r="AA2" s="13"/>
      <c r="AB2" s="13"/>
    </row>
    <row r="3" spans="1:28" s="12" customFormat="1" ht="24" customHeight="1">
      <c r="A3" s="13"/>
      <c r="B3" s="410"/>
      <c r="C3" s="887" t="s">
        <v>832</v>
      </c>
      <c r="D3" s="887"/>
      <c r="E3" s="887"/>
      <c r="F3" s="887"/>
      <c r="G3" s="887"/>
      <c r="H3" s="887"/>
      <c r="I3" s="887"/>
      <c r="J3" s="887"/>
      <c r="K3" s="887"/>
      <c r="L3" s="3"/>
      <c r="M3" s="3"/>
      <c r="N3" s="13"/>
      <c r="O3" s="13"/>
      <c r="P3" s="13"/>
      <c r="Q3" s="13"/>
      <c r="R3" s="13"/>
      <c r="S3" s="13"/>
      <c r="T3" s="13"/>
      <c r="U3" s="13"/>
      <c r="V3" s="13"/>
      <c r="W3" s="13"/>
      <c r="X3" s="13"/>
      <c r="Y3" s="13"/>
      <c r="Z3" s="13"/>
      <c r="AA3" s="13"/>
      <c r="AB3" s="13"/>
    </row>
    <row r="4" spans="1:28" s="12" customFormat="1" ht="39">
      <c r="A4" s="13"/>
      <c r="B4" s="410"/>
      <c r="C4" s="410"/>
      <c r="D4" s="452"/>
      <c r="E4" s="26" t="s">
        <v>440</v>
      </c>
      <c r="F4" s="26" t="s">
        <v>294</v>
      </c>
      <c r="G4" s="26" t="s">
        <v>692</v>
      </c>
      <c r="H4" s="26" t="s">
        <v>697</v>
      </c>
      <c r="I4" s="26" t="s">
        <v>698</v>
      </c>
      <c r="J4" s="26" t="s">
        <v>295</v>
      </c>
      <c r="K4" s="26" t="s">
        <v>33</v>
      </c>
      <c r="L4" s="3"/>
      <c r="M4" s="3"/>
      <c r="N4" s="13"/>
      <c r="O4" s="262"/>
      <c r="P4" s="13"/>
      <c r="Q4" s="13"/>
      <c r="R4" s="13"/>
      <c r="S4" s="13"/>
      <c r="T4" s="13"/>
      <c r="U4" s="13"/>
      <c r="V4" s="13"/>
      <c r="W4" s="13"/>
      <c r="X4" s="13"/>
      <c r="Y4" s="13"/>
      <c r="Z4" s="13"/>
      <c r="AA4" s="13"/>
      <c r="AB4" s="13"/>
    </row>
    <row r="5" spans="1:28" s="12" customFormat="1" ht="15">
      <c r="A5" s="13"/>
      <c r="B5" s="410"/>
      <c r="C5" s="878">
        <f>IF(OR(O6,O7,O8,O9),"Guest Rooms","")</f>
      </c>
      <c r="D5" s="879"/>
      <c r="E5" s="3"/>
      <c r="F5" s="3"/>
      <c r="G5" s="3"/>
      <c r="H5" s="3"/>
      <c r="I5" s="3"/>
      <c r="J5" s="3"/>
      <c r="K5" s="3"/>
      <c r="L5" s="3"/>
      <c r="M5" s="3"/>
      <c r="N5" s="13"/>
      <c r="O5" s="847" t="b">
        <v>1</v>
      </c>
      <c r="P5" s="831" t="b">
        <v>0</v>
      </c>
      <c r="Q5" s="13"/>
      <c r="R5" s="13"/>
      <c r="S5" s="13"/>
      <c r="T5" s="13"/>
      <c r="U5" s="13"/>
      <c r="V5" s="13"/>
      <c r="W5" s="13"/>
      <c r="X5" s="13"/>
      <c r="Y5" s="13"/>
      <c r="Z5" s="13"/>
      <c r="AA5" s="13"/>
      <c r="AB5" s="13"/>
    </row>
    <row r="6" spans="1:28" s="12" customFormat="1" ht="15" hidden="1">
      <c r="A6" s="13"/>
      <c r="B6" s="410"/>
      <c r="C6" s="410"/>
      <c r="D6" s="16" t="s">
        <v>498</v>
      </c>
      <c r="E6" s="24">
        <f>IF(ReadyForSummary_Guest_Rooms,IF('3 Guest Rooms'!G56&gt;0,'3 Guest Rooms'!G56,'3 Guest Rooms'!F56),0)</f>
        <v>0</v>
      </c>
      <c r="F6" s="807">
        <f>IF(ReadyForSummary_Guest_Rooms,'3 Guest Rooms'!E44,0)</f>
        <v>0</v>
      </c>
      <c r="G6" s="24">
        <f>IF(ReadyForSummary_Guest_Rooms,'3 Guest Rooms'!F44,0)</f>
        <v>0</v>
      </c>
      <c r="H6" s="24">
        <f>IF(ReadyForSummary_Guest_Rooms,IF(HotWaterFuelType="Electric",'3 Guest Rooms'!H44,"—"),0)</f>
        <v>0</v>
      </c>
      <c r="I6" s="24" t="str">
        <f>IF(AND(ReadyForSummary_Guest_Rooms,HotWaterFuelType="Natural Gas"),'3 Guest Rooms'!H44,"—")</f>
        <v>—</v>
      </c>
      <c r="J6" s="290">
        <f>IF(ReadyForSummary_Guest_Rooms,'3 Guest Rooms'!J44,0)</f>
        <v>0</v>
      </c>
      <c r="K6" s="535">
        <f>IF(ReadyForSummary_Guest_Rooms,'3 Guest Rooms'!K44,0)</f>
        <v>0</v>
      </c>
      <c r="L6" s="3"/>
      <c r="M6" s="3"/>
      <c r="N6" s="13"/>
      <c r="O6" s="847" t="b">
        <f>IF(OR(E6=0,E6="N/A",ReadyForSummary_Guest_Rooms=FALSE),FALSE,TRUE)</f>
        <v>0</v>
      </c>
      <c r="P6" s="13"/>
      <c r="Q6" s="13"/>
      <c r="R6" s="13"/>
      <c r="S6" s="13"/>
      <c r="T6" s="13"/>
      <c r="U6" s="13"/>
      <c r="V6" s="13"/>
      <c r="W6" s="13"/>
      <c r="X6" s="13"/>
      <c r="Y6" s="13"/>
      <c r="Z6" s="13"/>
      <c r="AA6" s="13"/>
      <c r="AB6" s="13"/>
    </row>
    <row r="7" spans="1:28" s="12" customFormat="1" ht="15" hidden="1">
      <c r="A7" s="13"/>
      <c r="B7" s="410"/>
      <c r="C7" s="410"/>
      <c r="D7" s="16" t="s">
        <v>499</v>
      </c>
      <c r="E7" s="24">
        <f>IF(ReadyForSummary_Guest_Rooms,IF('3 Guest Rooms'!G57&gt;0,'3 Guest Rooms'!G57,'3 Guest Rooms'!F57),0)</f>
        <v>0</v>
      </c>
      <c r="F7" s="807">
        <f>IF(ReadyForSummary_Guest_Rooms,'3 Guest Rooms'!E45,0)</f>
        <v>0</v>
      </c>
      <c r="G7" s="24">
        <f>IF(ReadyForSummary_Guest_Rooms,'3 Guest Rooms'!F45,0)</f>
        <v>0</v>
      </c>
      <c r="H7" s="24">
        <f>IF(ReadyForSummary_Guest_Rooms,IF(HotWaterFuelType="Electric",'3 Guest Rooms'!H45,"—"),0)</f>
        <v>0</v>
      </c>
      <c r="I7" s="24" t="str">
        <f>IF(AND(ReadyForSummary_Guest_Rooms,HotWaterFuelType="Natural Gas"),'3 Guest Rooms'!H45,"—")</f>
        <v>—</v>
      </c>
      <c r="J7" s="290">
        <f>IF(ReadyForSummary_Guest_Rooms,'3 Guest Rooms'!J45,0)</f>
        <v>0</v>
      </c>
      <c r="K7" s="535">
        <f>IF(ReadyForSummary_Guest_Rooms,'3 Guest Rooms'!K45,0)</f>
        <v>0</v>
      </c>
      <c r="L7" s="3"/>
      <c r="M7" s="3"/>
      <c r="N7" s="13"/>
      <c r="O7" s="847" t="b">
        <f>IF(OR(E7=0,E7="N/A",ReadyForSummary_Guest_Rooms=FALSE),FALSE,TRUE)</f>
        <v>0</v>
      </c>
      <c r="P7" s="13"/>
      <c r="Q7" s="13"/>
      <c r="R7" s="13"/>
      <c r="S7" s="13"/>
      <c r="T7" s="13"/>
      <c r="U7" s="13"/>
      <c r="V7" s="13"/>
      <c r="W7" s="13"/>
      <c r="X7" s="13"/>
      <c r="Y7" s="13"/>
      <c r="Z7" s="13"/>
      <c r="AA7" s="13"/>
      <c r="AB7" s="13"/>
    </row>
    <row r="8" spans="1:28" s="12" customFormat="1" ht="15" hidden="1">
      <c r="A8" s="13"/>
      <c r="B8" s="410"/>
      <c r="C8" s="410"/>
      <c r="D8" s="16" t="s">
        <v>25</v>
      </c>
      <c r="E8" s="24">
        <f>IF(ReadyForSummary_Guest_Rooms,IF('3 Guest Rooms'!G58&gt;0,'3 Guest Rooms'!G58,'3 Guest Rooms'!F58),0)</f>
        <v>0</v>
      </c>
      <c r="F8" s="807">
        <f>IF(ReadyForSummary_Guest_Rooms,'3 Guest Rooms'!E46,0)</f>
        <v>0</v>
      </c>
      <c r="G8" s="24">
        <f>IF(ReadyForSummary_Guest_Rooms,'3 Guest Rooms'!F46,0)</f>
        <v>0</v>
      </c>
      <c r="H8" s="24">
        <f>IF(ReadyForSummary_Guest_Rooms,IF(HotWaterFuelType="Electric",'3 Guest Rooms'!H46,"—"),0)</f>
        <v>0</v>
      </c>
      <c r="I8" s="24" t="str">
        <f>IF(AND(ReadyForSummary_Guest_Rooms,HotWaterFuelType="Natural Gas"),'3 Guest Rooms'!H46,"—")</f>
        <v>—</v>
      </c>
      <c r="J8" s="290">
        <f>IF(ReadyForSummary_Guest_Rooms,'3 Guest Rooms'!J46,0)</f>
        <v>0</v>
      </c>
      <c r="K8" s="535">
        <f>IF(ReadyForSummary_Guest_Rooms,'3 Guest Rooms'!K46,0)</f>
        <v>0</v>
      </c>
      <c r="L8" s="3"/>
      <c r="M8" s="3"/>
      <c r="N8" s="13"/>
      <c r="O8" s="847" t="b">
        <f>IF(OR(E8=0,E8="N/A",ReadyForSummary_Guest_Rooms=FALSE),FALSE,TRUE)</f>
        <v>0</v>
      </c>
      <c r="P8" s="13"/>
      <c r="Q8" s="13"/>
      <c r="R8" s="13"/>
      <c r="S8" s="13"/>
      <c r="T8" s="13"/>
      <c r="U8" s="13"/>
      <c r="V8" s="13"/>
      <c r="W8" s="13"/>
      <c r="X8" s="13"/>
      <c r="Y8" s="13"/>
      <c r="Z8" s="13"/>
      <c r="AA8" s="13"/>
      <c r="AB8" s="13"/>
    </row>
    <row r="9" spans="1:28" s="12" customFormat="1" ht="15" hidden="1">
      <c r="A9" s="13"/>
      <c r="B9" s="410"/>
      <c r="C9" s="410"/>
      <c r="D9" s="16" t="s">
        <v>24</v>
      </c>
      <c r="E9" s="24">
        <f>IF(ReadyForSummary_Guest_Rooms,IF('3 Guest Rooms'!G59&gt;0,'3 Guest Rooms'!G59,'3 Guest Rooms'!F59),0)</f>
        <v>0</v>
      </c>
      <c r="F9" s="807">
        <f>IF(ReadyForSummary_Guest_Rooms,'3 Guest Rooms'!E47,0)</f>
        <v>0</v>
      </c>
      <c r="G9" s="24">
        <f>IF(ReadyForSummary_Guest_Rooms,'3 Guest Rooms'!F47,0)</f>
        <v>0</v>
      </c>
      <c r="H9" s="24">
        <f>IF(ReadyForSummary_Guest_Rooms,IF(HotWaterFuelType="Electric",'3 Guest Rooms'!H47,"—"),0)</f>
        <v>0</v>
      </c>
      <c r="I9" s="24" t="str">
        <f>IF(AND(ReadyForSummary_Guest_Rooms,HotWaterFuelType="Natural Gas"),'3 Guest Rooms'!H47,"—")</f>
        <v>—</v>
      </c>
      <c r="J9" s="290">
        <f>IF(ReadyForSummary_Guest_Rooms,'3 Guest Rooms'!J47,0)</f>
        <v>0</v>
      </c>
      <c r="K9" s="535">
        <f>IF(ReadyForSummary_Guest_Rooms,'3 Guest Rooms'!K47,0)</f>
        <v>0</v>
      </c>
      <c r="L9" s="3"/>
      <c r="M9" s="3"/>
      <c r="N9" s="13"/>
      <c r="O9" s="847" t="b">
        <f>IF(OR(E9=0,E9="N/A",ReadyForSummary_Guest_Rooms=FALSE),FALSE,TRUE)</f>
        <v>0</v>
      </c>
      <c r="P9" s="13"/>
      <c r="Q9" s="13"/>
      <c r="R9" s="13"/>
      <c r="S9" s="13"/>
      <c r="T9" s="13"/>
      <c r="U9" s="13"/>
      <c r="V9" s="13"/>
      <c r="W9" s="13"/>
      <c r="X9" s="13"/>
      <c r="Y9" s="13"/>
      <c r="Z9" s="13"/>
      <c r="AA9" s="13"/>
      <c r="AB9" s="13"/>
    </row>
    <row r="10" spans="1:28" s="12" customFormat="1" ht="15">
      <c r="A10" s="13"/>
      <c r="B10" s="410"/>
      <c r="C10" s="878" t="s">
        <v>827</v>
      </c>
      <c r="D10" s="883"/>
      <c r="E10" s="463" t="str">
        <f>IF(ReadyForSummary_Guest_Rooms,SUM(E6:E9),"Not Estimated")</f>
        <v>Not Estimated</v>
      </c>
      <c r="F10" s="835" t="str">
        <f>IF(ReadyForSummary_Guest_Rooms,'3 Guest Rooms'!E48,"Not Estimated")</f>
        <v>Not Estimated</v>
      </c>
      <c r="G10" s="461" t="str">
        <f>IF(ReadyForSummary_Guest_Rooms,'3 Guest Rooms'!F48,"Not Estimated")</f>
        <v>Not Estimated</v>
      </c>
      <c r="H10" s="463" t="str">
        <f>IF(ReadyForSummary_Guest_Rooms,IF(HotWaterFuelType="Electric",'3 Guest Rooms'!H48,"—"),"Not Estimated")</f>
        <v>Not Estimated</v>
      </c>
      <c r="I10" s="463" t="str">
        <f>IF(ReadyForSummary_Guest_Rooms,IF(HotWaterFuelType="Natural Gas",'3 Guest Rooms'!H48,"—"),"Not Estimated")</f>
        <v>Not Estimated</v>
      </c>
      <c r="J10" s="465" t="str">
        <f>IF(ReadyForSummary_Guest_Rooms,'3 Guest Rooms'!J48,"Not Estimated")</f>
        <v>Not Estimated</v>
      </c>
      <c r="K10" s="464" t="str">
        <f>IF(ReadyForSummary_Guest_Rooms,'3 Guest Rooms'!K48,"Not Estimated")</f>
        <v>Not Estimated</v>
      </c>
      <c r="L10" s="3"/>
      <c r="M10" s="3"/>
      <c r="N10" s="13"/>
      <c r="O10" s="847" t="b">
        <v>1</v>
      </c>
      <c r="P10" s="13"/>
      <c r="Q10" s="13"/>
      <c r="R10" s="13"/>
      <c r="S10" s="13"/>
      <c r="T10" s="13"/>
      <c r="U10" s="13"/>
      <c r="V10" s="13"/>
      <c r="W10" s="13"/>
      <c r="X10" s="13"/>
      <c r="Y10" s="13"/>
      <c r="Z10" s="13"/>
      <c r="AA10" s="13"/>
      <c r="AB10" s="13"/>
    </row>
    <row r="11" spans="1:28" s="12" customFormat="1" ht="15">
      <c r="A11" s="13"/>
      <c r="B11" s="410"/>
      <c r="C11" s="878">
        <f>IF(OR(O12,O13,O14,O15,O16),"Public Restrooms","")</f>
      </c>
      <c r="D11" s="879"/>
      <c r="E11" s="816"/>
      <c r="F11" s="3"/>
      <c r="G11" s="3"/>
      <c r="H11" s="816"/>
      <c r="I11" s="816"/>
      <c r="J11" s="3"/>
      <c r="K11" s="3"/>
      <c r="L11" s="3"/>
      <c r="M11" s="3"/>
      <c r="N11" s="13"/>
      <c r="O11" s="847" t="b">
        <v>1</v>
      </c>
      <c r="P11" s="831" t="b">
        <v>0</v>
      </c>
      <c r="Q11" s="13"/>
      <c r="R11" s="13"/>
      <c r="S11" s="13"/>
      <c r="T11" s="13"/>
      <c r="U11" s="13"/>
      <c r="V11" s="13"/>
      <c r="W11" s="13"/>
      <c r="X11" s="13"/>
      <c r="Y11" s="13"/>
      <c r="Z11" s="13"/>
      <c r="AA11" s="13"/>
      <c r="AB11" s="13"/>
    </row>
    <row r="12" spans="1:28" s="12" customFormat="1" ht="15" hidden="1">
      <c r="A12" s="13"/>
      <c r="B12" s="410"/>
      <c r="C12" s="410"/>
      <c r="D12" s="16" t="s">
        <v>498</v>
      </c>
      <c r="E12" s="267">
        <f>IF(ReadyForSummary_Public_Restrooms,IF('4 Public Restrooms'!G61&gt;0,'4 Public Restrooms'!G61,'4 Public Restrooms'!F61),0)</f>
        <v>0</v>
      </c>
      <c r="F12" s="807">
        <f>IF(ReadyForSummary_Public_Restrooms,'4 Public Restrooms'!E49,0)</f>
        <v>0</v>
      </c>
      <c r="G12" s="24">
        <f>IF(ReadyForSummary_Public_Restrooms,'4 Public Restrooms'!F49,0)</f>
        <v>0</v>
      </c>
      <c r="H12" s="267">
        <f>IF(ReadyForSummary_Public_Restrooms,IF(HotWaterFuelType="Electric",'4 Public Restrooms'!H49,"—"),0)</f>
        <v>0</v>
      </c>
      <c r="I12" s="267" t="str">
        <f>IF(AND(ReadyForSummary_Public_Restrooms,HotWaterFuelType="Natural Gas"),'4 Public Restrooms'!H49,"—")</f>
        <v>—</v>
      </c>
      <c r="J12" s="290">
        <f>IF(ReadyForSummary_Public_Restrooms,'4 Public Restrooms'!J49,0)</f>
        <v>0</v>
      </c>
      <c r="K12" s="535">
        <f>IF(ReadyForSummary_Public_Restrooms,'4 Public Restrooms'!K49,0)</f>
        <v>0</v>
      </c>
      <c r="L12" s="3"/>
      <c r="M12" s="3"/>
      <c r="N12" s="13"/>
      <c r="O12" s="847" t="b">
        <f>IF(OR(E12=0,E12="N/A",ReadyForSummary_Public_Restrooms=FALSE),FALSE,TRUE)</f>
        <v>0</v>
      </c>
      <c r="P12" s="13"/>
      <c r="Q12" s="13"/>
      <c r="R12" s="13"/>
      <c r="S12" s="13"/>
      <c r="T12" s="13"/>
      <c r="U12" s="13"/>
      <c r="V12" s="13"/>
      <c r="W12" s="13"/>
      <c r="X12" s="13"/>
      <c r="Y12" s="13"/>
      <c r="Z12" s="13"/>
      <c r="AA12" s="13"/>
      <c r="AB12" s="13"/>
    </row>
    <row r="13" spans="1:28" s="12" customFormat="1" ht="15" hidden="1">
      <c r="A13" s="13"/>
      <c r="B13" s="410"/>
      <c r="C13" s="410"/>
      <c r="D13" s="16" t="s">
        <v>499</v>
      </c>
      <c r="E13" s="267">
        <f>IF(ReadyForSummary_Public_Restrooms,IF('4 Public Restrooms'!G62&gt;0,'4 Public Restrooms'!G62,'4 Public Restrooms'!F62),0)</f>
        <v>0</v>
      </c>
      <c r="F13" s="290">
        <f>IF(ReadyForSummary_Public_Restrooms,'4 Public Restrooms'!E50,0)</f>
        <v>0</v>
      </c>
      <c r="G13" s="24">
        <f>IF(ReadyForSummary_Public_Restrooms,'4 Public Restrooms'!F50,0)</f>
        <v>0</v>
      </c>
      <c r="H13" s="267">
        <f>IF(ReadyForSummary_Public_Restrooms,IF(HotWaterFuelType="Electric",'4 Public Restrooms'!H50,"—"),0)</f>
        <v>0</v>
      </c>
      <c r="I13" s="267" t="str">
        <f>IF(AND(ReadyForSummary_Public_Restrooms,HotWaterFuelType="Natural Gas"),'4 Public Restrooms'!H50,"—")</f>
        <v>—</v>
      </c>
      <c r="J13" s="290">
        <f>IF(ReadyForSummary_Public_Restrooms,'4 Public Restrooms'!J50,0)</f>
        <v>0</v>
      </c>
      <c r="K13" s="535">
        <f>IF(ReadyForSummary_Public_Restrooms,'4 Public Restrooms'!K50,0)</f>
        <v>0</v>
      </c>
      <c r="L13" s="3"/>
      <c r="M13" s="3"/>
      <c r="N13" s="13"/>
      <c r="O13" s="847" t="b">
        <f>IF(OR(E13=0,E13="N/A",ReadyForSummary_Public_Restrooms=FALSE),FALSE,TRUE)</f>
        <v>0</v>
      </c>
      <c r="P13" s="13"/>
      <c r="Q13" s="13"/>
      <c r="R13" s="13"/>
      <c r="S13" s="13"/>
      <c r="T13" s="13"/>
      <c r="U13" s="13"/>
      <c r="V13" s="13"/>
      <c r="W13" s="13"/>
      <c r="X13" s="13"/>
      <c r="Y13" s="13"/>
      <c r="Z13" s="13"/>
      <c r="AA13" s="13"/>
      <c r="AB13" s="13"/>
    </row>
    <row r="14" spans="1:28" s="12" customFormat="1" ht="15" hidden="1">
      <c r="A14" s="13"/>
      <c r="B14" s="410"/>
      <c r="C14" s="410"/>
      <c r="D14" s="16" t="s">
        <v>49</v>
      </c>
      <c r="E14" s="267">
        <f>IF(ReadyForSummary_Public_Restrooms,IF('4 Public Restrooms'!G63&gt;0,'4 Public Restrooms'!G63,'4 Public Restrooms'!F63),0)</f>
        <v>0</v>
      </c>
      <c r="F14" s="290">
        <f>IF(ReadyForSummary_Public_Restrooms,'4 Public Restrooms'!E51,0)</f>
        <v>0</v>
      </c>
      <c r="G14" s="24">
        <f>IF(ReadyForSummary_Public_Restrooms,'4 Public Restrooms'!F51,0)</f>
        <v>0</v>
      </c>
      <c r="H14" s="267">
        <f>IF(ReadyForSummary_Public_Restrooms,IF(HotWaterFuelType="Electric",'4 Public Restrooms'!H51,"—"),0)</f>
        <v>0</v>
      </c>
      <c r="I14" s="267" t="str">
        <f>IF(AND(ReadyForSummary_Public_Restrooms,HotWaterFuelType="Natural Gas"),'4 Public Restrooms'!H51,"—")</f>
        <v>—</v>
      </c>
      <c r="J14" s="290">
        <f>IF(ReadyForSummary_Public_Restrooms,'4 Public Restrooms'!J51,0)</f>
        <v>0</v>
      </c>
      <c r="K14" s="535">
        <f>IF(ReadyForSummary_Public_Restrooms,'4 Public Restrooms'!K51,0)</f>
        <v>0</v>
      </c>
      <c r="L14" s="3"/>
      <c r="M14" s="3"/>
      <c r="N14" s="13"/>
      <c r="O14" s="847" t="b">
        <f>IF(OR(E14=0,E14="N/A",ReadyForSummary_Public_Restrooms=FALSE),FALSE,TRUE)</f>
        <v>0</v>
      </c>
      <c r="P14" s="13"/>
      <c r="Q14" s="13"/>
      <c r="R14" s="13"/>
      <c r="S14" s="13"/>
      <c r="T14" s="13"/>
      <c r="U14" s="13"/>
      <c r="V14" s="13"/>
      <c r="W14" s="13"/>
      <c r="X14" s="13"/>
      <c r="Y14" s="13"/>
      <c r="Z14" s="13"/>
      <c r="AA14" s="13"/>
      <c r="AB14" s="13"/>
    </row>
    <row r="15" spans="1:28" s="12" customFormat="1" ht="15" hidden="1">
      <c r="A15" s="13"/>
      <c r="B15" s="410"/>
      <c r="C15" s="410"/>
      <c r="D15" s="16" t="s">
        <v>25</v>
      </c>
      <c r="E15" s="267">
        <f>IF(ReadyForSummary_Public_Restrooms,IF('4 Public Restrooms'!G65&gt;0,'4 Public Restrooms'!G65,'4 Public Restrooms'!F65),0)</f>
        <v>0</v>
      </c>
      <c r="F15" s="290">
        <f>IF(ReadyForSummary_Public_Restrooms,'4 Public Restrooms'!E52,0)</f>
        <v>0</v>
      </c>
      <c r="G15" s="24">
        <f>IF(ReadyForSummary_Public_Restrooms,'4 Public Restrooms'!F52,0)</f>
        <v>0</v>
      </c>
      <c r="H15" s="267">
        <f>IF(ReadyForSummary_Public_Restrooms,IF(HotWaterFuelType="Electric",'4 Public Restrooms'!H52,"—"),0)</f>
        <v>0</v>
      </c>
      <c r="I15" s="267" t="str">
        <f>IF(AND(ReadyForSummary_Public_Restrooms,HotWaterFuelType="Natural Gas"),'4 Public Restrooms'!H52,"—")</f>
        <v>—</v>
      </c>
      <c r="J15" s="290">
        <f>IF(ReadyForSummary_Public_Restrooms,'4 Public Restrooms'!J52,0)</f>
        <v>0</v>
      </c>
      <c r="K15" s="535">
        <f>IF(ReadyForSummary_Public_Restrooms,'4 Public Restrooms'!K52,0)</f>
        <v>0</v>
      </c>
      <c r="L15" s="3"/>
      <c r="M15" s="3"/>
      <c r="N15" s="13"/>
      <c r="O15" s="847" t="b">
        <f>IF(OR(E15=0,E15="N/A",ReadyForSummary_Public_Restrooms=FALSE),FALSE,TRUE)</f>
        <v>0</v>
      </c>
      <c r="P15" s="13"/>
      <c r="Q15" s="13"/>
      <c r="R15" s="13"/>
      <c r="S15" s="13"/>
      <c r="T15" s="13"/>
      <c r="U15" s="13"/>
      <c r="V15" s="13"/>
      <c r="W15" s="13"/>
      <c r="X15" s="13"/>
      <c r="Y15" s="13"/>
      <c r="Z15" s="13"/>
      <c r="AA15" s="13"/>
      <c r="AB15" s="13"/>
    </row>
    <row r="16" spans="1:28" s="12" customFormat="1" ht="15" hidden="1">
      <c r="A16" s="13"/>
      <c r="B16" s="410"/>
      <c r="C16" s="410"/>
      <c r="D16" s="16" t="s">
        <v>24</v>
      </c>
      <c r="E16" s="267">
        <f>IF(ReadyForSummary_Public_Restrooms,IF('4 Public Restrooms'!G66&gt;0,'4 Public Restrooms'!G66,'4 Public Restrooms'!F66),0)</f>
        <v>0</v>
      </c>
      <c r="F16" s="290">
        <f>IF(ReadyForSummary_Public_Restrooms,'4 Public Restrooms'!E53,0)</f>
        <v>0</v>
      </c>
      <c r="G16" s="24">
        <f>IF(ReadyForSummary_Public_Restrooms,'4 Public Restrooms'!F53,0)</f>
        <v>0</v>
      </c>
      <c r="H16" s="267">
        <f>IF(ReadyForSummary_Public_Restrooms,IF(HotWaterFuelType="Electric",'4 Public Restrooms'!H53,"—"),0)</f>
        <v>0</v>
      </c>
      <c r="I16" s="267" t="str">
        <f>IF(AND(ReadyForSummary_Public_Restrooms,HotWaterFuelType="Natural Gas"),'4 Public Restrooms'!H53,"—")</f>
        <v>—</v>
      </c>
      <c r="J16" s="465">
        <f>IF(ReadyForSummary_Public_Restrooms,'4 Public Restrooms'!J53,0)</f>
        <v>0</v>
      </c>
      <c r="K16" s="535">
        <f>IF(ReadyForSummary_Public_Restrooms,'4 Public Restrooms'!K53,0)</f>
        <v>0</v>
      </c>
      <c r="L16" s="3"/>
      <c r="M16" s="3"/>
      <c r="N16" s="13"/>
      <c r="O16" s="847" t="b">
        <f>IF(OR(E16=0,E16="N/A",ReadyForSummary_Public_Restrooms=FALSE),FALSE,TRUE)</f>
        <v>0</v>
      </c>
      <c r="P16" s="13"/>
      <c r="Q16" s="13"/>
      <c r="R16" s="13"/>
      <c r="S16" s="13"/>
      <c r="T16" s="13"/>
      <c r="U16" s="13"/>
      <c r="V16" s="13"/>
      <c r="W16" s="13"/>
      <c r="X16" s="13"/>
      <c r="Y16" s="13"/>
      <c r="Z16" s="13"/>
      <c r="AA16" s="13"/>
      <c r="AB16" s="13"/>
    </row>
    <row r="17" spans="1:28" s="12" customFormat="1" ht="15">
      <c r="A17" s="13"/>
      <c r="B17" s="410"/>
      <c r="C17" s="878" t="s">
        <v>828</v>
      </c>
      <c r="D17" s="883"/>
      <c r="E17" s="463" t="str">
        <f>IF(ReadyForSummary_Public_Restrooms,SUM(E12:E16),"Not Estimated")</f>
        <v>Not Estimated</v>
      </c>
      <c r="F17" s="465" t="str">
        <f>IF(ReadyForSummary_Public_Restrooms,'4 Public Restrooms'!E54,"Not Estimated")</f>
        <v>Not Estimated</v>
      </c>
      <c r="G17" s="461" t="str">
        <f>IF(ReadyForSummary_Public_Restrooms,'4 Public Restrooms'!F54,"Not Estimated")</f>
        <v>Not Estimated</v>
      </c>
      <c r="H17" s="817" t="str">
        <f>IF(ReadyForSummary_Public_Restrooms,IF(HotWaterFuelType="Electric",'4 Public Restrooms'!H54,"—"),"Not Estimated")</f>
        <v>Not Estimated</v>
      </c>
      <c r="I17" s="817" t="str">
        <f>IF(ReadyForSummary_Public_Restrooms,IF(HotWaterFuelType="Natural Gas",'4 Public Restrooms'!H54,"—"),"Not Estimated")</f>
        <v>Not Estimated</v>
      </c>
      <c r="J17" s="465" t="str">
        <f>IF(ReadyForSummary_Public_Restrooms,'4 Public Restrooms'!J54,"Not Estimated")</f>
        <v>Not Estimated</v>
      </c>
      <c r="K17" s="464" t="str">
        <f>IF(ReadyForSummary_Public_Restrooms,'4 Public Restrooms'!K54,"Not Estimated")</f>
        <v>Not Estimated</v>
      </c>
      <c r="L17" s="3"/>
      <c r="M17" s="3"/>
      <c r="N17" s="13"/>
      <c r="O17" s="847" t="b">
        <v>1</v>
      </c>
      <c r="P17" s="13"/>
      <c r="Q17" s="13"/>
      <c r="R17" s="13"/>
      <c r="S17" s="13"/>
      <c r="T17" s="13"/>
      <c r="U17" s="13"/>
      <c r="V17" s="13"/>
      <c r="W17" s="13"/>
      <c r="X17" s="13"/>
      <c r="Y17" s="13"/>
      <c r="Z17" s="13"/>
      <c r="AA17" s="13"/>
      <c r="AB17" s="13"/>
    </row>
    <row r="18" spans="1:28" s="12" customFormat="1" ht="15">
      <c r="A18" s="13"/>
      <c r="B18" s="410"/>
      <c r="C18" s="878">
        <f>IF(OR(O19,O20),"Guest Ice and Laundry","")</f>
      </c>
      <c r="D18" s="879"/>
      <c r="E18" s="816"/>
      <c r="F18" s="3"/>
      <c r="G18" s="3"/>
      <c r="H18" s="816"/>
      <c r="I18" s="816"/>
      <c r="J18" s="3"/>
      <c r="K18" s="3"/>
      <c r="L18" s="3"/>
      <c r="M18" s="3"/>
      <c r="N18" s="13"/>
      <c r="O18" s="847" t="b">
        <v>1</v>
      </c>
      <c r="P18" s="831" t="b">
        <v>0</v>
      </c>
      <c r="Q18" s="13"/>
      <c r="R18" s="13"/>
      <c r="S18" s="13"/>
      <c r="T18" s="13"/>
      <c r="U18" s="13"/>
      <c r="V18" s="13"/>
      <c r="W18" s="13"/>
      <c r="X18" s="13"/>
      <c r="Y18" s="13"/>
      <c r="Z18" s="13"/>
      <c r="AA18" s="13"/>
      <c r="AB18" s="13"/>
    </row>
    <row r="19" spans="1:28" s="12" customFormat="1" ht="15" hidden="1">
      <c r="A19" s="13"/>
      <c r="B19" s="410"/>
      <c r="C19" s="410"/>
      <c r="D19" s="16" t="s">
        <v>353</v>
      </c>
      <c r="E19" s="267">
        <f>IF(ReadyForSummary_Guest_Ice_Laundry,IF('5 Guest Ice &amp; Laundry'!G44&gt;0,'5 Guest Ice &amp; Laundry'!G44,'5 Guest Ice &amp; Laundry'!F44),0)</f>
        <v>0</v>
      </c>
      <c r="F19" s="807">
        <f>IF(ReadyForSummary_Guest_Ice_Laundry,'5 Guest Ice &amp; Laundry'!E34,0)</f>
        <v>0</v>
      </c>
      <c r="G19" s="267">
        <f>IF(ReadyForSummary_Guest_Ice_Laundry,'5 Guest Ice &amp; Laundry'!F34,0)</f>
        <v>0</v>
      </c>
      <c r="H19" s="267">
        <f>IF(ReadyForSummary_Guest_Ice_Laundry,'5 Guest Ice &amp; Laundry'!H34,0)</f>
        <v>0</v>
      </c>
      <c r="I19" s="267" t="str">
        <f>IF(AND(ReadyForSummary_Guest_Ice_Laundry,HotWaterFuelType="Natural Gas"),'5 Guest Ice &amp; Laundry'!I34,"—")</f>
        <v>—</v>
      </c>
      <c r="J19" s="807">
        <f>IF(ReadyForSummary_Guest_Ice_Laundry,'5 Guest Ice &amp; Laundry'!K34,0)</f>
        <v>0</v>
      </c>
      <c r="K19" s="535">
        <f>IF(ReadyForSummary_Guest_Ice_Laundry,'5 Guest Ice &amp; Laundry'!L34,0)</f>
        <v>0</v>
      </c>
      <c r="L19" s="3"/>
      <c r="M19" s="3"/>
      <c r="N19" s="13"/>
      <c r="O19" s="847" t="b">
        <f>IF(OR(E19=0,E19="N/A",ReadyForSummary_Guest_Ice_Laundry=FALSE),FALSE,TRUE)</f>
        <v>0</v>
      </c>
      <c r="P19" s="13"/>
      <c r="Q19" s="13"/>
      <c r="R19" s="13"/>
      <c r="S19" s="13"/>
      <c r="T19" s="13"/>
      <c r="U19" s="13"/>
      <c r="V19" s="13"/>
      <c r="W19" s="13"/>
      <c r="X19" s="13"/>
      <c r="Y19" s="13"/>
      <c r="Z19" s="13"/>
      <c r="AA19" s="13"/>
      <c r="AB19" s="13"/>
    </row>
    <row r="20" spans="1:28" s="12" customFormat="1" ht="15" hidden="1">
      <c r="A20" s="13"/>
      <c r="B20" s="410"/>
      <c r="C20" s="410"/>
      <c r="D20" s="16" t="s">
        <v>226</v>
      </c>
      <c r="E20" s="267">
        <f>IF(ReadyForSummary_Guest_Ice_Laundry,IF('5 Guest Ice &amp; Laundry'!G45&gt;0,'5 Guest Ice &amp; Laundry'!G45,'5 Guest Ice &amp; Laundry'!F45),0)</f>
        <v>0</v>
      </c>
      <c r="F20" s="807">
        <f>IF(ReadyForSummary_Guest_Ice_Laundry,'5 Guest Ice &amp; Laundry'!E35,0)</f>
        <v>0</v>
      </c>
      <c r="G20" s="267">
        <f>IF(ReadyForSummary_Guest_Ice_Laundry,'5 Guest Ice &amp; Laundry'!F35,0)</f>
        <v>0</v>
      </c>
      <c r="H20" s="267">
        <f>IF(ReadyForSummary_Guest_Ice_Laundry,'5 Guest Ice &amp; Laundry'!H35,0)</f>
        <v>0</v>
      </c>
      <c r="I20" s="267" t="str">
        <f>IF(AND(ReadyForSummary_Guest_Ice_Laundry,HotWaterFuelType="Natural Gas"),'5 Guest Ice &amp; Laundry'!I35,"—")</f>
        <v>—</v>
      </c>
      <c r="J20" s="807">
        <f>IF(ReadyForSummary_Guest_Ice_Laundry,'5 Guest Ice &amp; Laundry'!K35,0)</f>
        <v>0</v>
      </c>
      <c r="K20" s="535">
        <f>IF(ReadyForSummary_Guest_Ice_Laundry,'5 Guest Ice &amp; Laundry'!L35,0)</f>
        <v>0</v>
      </c>
      <c r="L20" s="3"/>
      <c r="M20" s="3"/>
      <c r="N20" s="13"/>
      <c r="O20" s="847" t="b">
        <f>IF(OR(E20=0,E20="N/A",ReadyForSummary_Guest_Ice_Laundry=FALSE),FALSE,TRUE)</f>
        <v>0</v>
      </c>
      <c r="P20" s="13"/>
      <c r="Q20" s="13"/>
      <c r="R20" s="13"/>
      <c r="S20" s="13"/>
      <c r="T20" s="13"/>
      <c r="U20" s="13"/>
      <c r="V20" s="13"/>
      <c r="W20" s="13"/>
      <c r="X20" s="13"/>
      <c r="Y20" s="13"/>
      <c r="Z20" s="13"/>
      <c r="AA20" s="13"/>
      <c r="AB20" s="13"/>
    </row>
    <row r="21" spans="1:28" s="12" customFormat="1" ht="15">
      <c r="A21" s="13"/>
      <c r="B21" s="410"/>
      <c r="C21" s="878" t="s">
        <v>829</v>
      </c>
      <c r="D21" s="883"/>
      <c r="E21" s="463" t="str">
        <f>IF(ReadyForSummary_Guest_Ice_Laundry,SUM(E19:E20),"Not Estimated")</f>
        <v>Not Estimated</v>
      </c>
      <c r="F21" s="835" t="str">
        <f>IF(ReadyForSummary_Guest_Ice_Laundry,'5 Guest Ice &amp; Laundry'!E36,"Not Estimated")</f>
        <v>Not Estimated</v>
      </c>
      <c r="G21" s="817" t="str">
        <f>IF(ReadyForSummary_Guest_Ice_Laundry,'5 Guest Ice &amp; Laundry'!F36,"Not Estimated")</f>
        <v>Not Estimated</v>
      </c>
      <c r="H21" s="817" t="str">
        <f>IF(ReadyForSummary_Guest_Ice_Laundry,'5 Guest Ice &amp; Laundry'!H36,"Not Estimated")</f>
        <v>Not Estimated</v>
      </c>
      <c r="I21" s="817" t="str">
        <f>IF(ReadyForSummary_Guest_Ice_Laundry,IF(HotWaterFuelType="Natural Gas",'5 Guest Ice &amp; Laundry'!I36,"—"),"Not Estimated")</f>
        <v>Not Estimated</v>
      </c>
      <c r="J21" s="835" t="str">
        <f>IF(ReadyForSummary_Guest_Ice_Laundry,'5 Guest Ice &amp; Laundry'!K36,"Not Estimated")</f>
        <v>Not Estimated</v>
      </c>
      <c r="K21" s="464" t="str">
        <f>IF(ReadyForSummary_Guest_Ice_Laundry,'5 Guest Ice &amp; Laundry'!L36,"Not Estimated")</f>
        <v>Not Estimated</v>
      </c>
      <c r="L21" s="3"/>
      <c r="M21" s="3"/>
      <c r="N21" s="13"/>
      <c r="O21" s="847" t="b">
        <v>1</v>
      </c>
      <c r="P21" s="13"/>
      <c r="Q21" s="13"/>
      <c r="R21" s="13"/>
      <c r="S21" s="13"/>
      <c r="T21" s="13"/>
      <c r="U21" s="13"/>
      <c r="V21" s="13"/>
      <c r="W21" s="13"/>
      <c r="X21" s="13"/>
      <c r="Y21" s="13"/>
      <c r="Z21" s="13"/>
      <c r="AA21" s="13"/>
      <c r="AB21" s="13"/>
    </row>
    <row r="22" spans="1:28" s="12" customFormat="1" ht="15">
      <c r="A22" s="13"/>
      <c r="B22" s="410"/>
      <c r="C22" s="878">
        <f>IF(OR(O23,O24),"Dishwashing","")</f>
      </c>
      <c r="D22" s="879"/>
      <c r="E22" s="816"/>
      <c r="F22" s="3"/>
      <c r="G22" s="3"/>
      <c r="H22" s="816"/>
      <c r="I22" s="816"/>
      <c r="J22" s="3"/>
      <c r="K22" s="3"/>
      <c r="L22" s="3"/>
      <c r="M22" s="3"/>
      <c r="N22" s="13"/>
      <c r="O22" s="847" t="b">
        <v>1</v>
      </c>
      <c r="P22" s="831" t="b">
        <v>0</v>
      </c>
      <c r="Q22" s="13"/>
      <c r="R22" s="13"/>
      <c r="S22" s="13"/>
      <c r="T22" s="13"/>
      <c r="U22" s="13"/>
      <c r="V22" s="13"/>
      <c r="W22" s="13"/>
      <c r="X22" s="13"/>
      <c r="Y22" s="13"/>
      <c r="Z22" s="13"/>
      <c r="AA22" s="13"/>
      <c r="AB22" s="13"/>
    </row>
    <row r="23" spans="1:28" s="12" customFormat="1" ht="15" hidden="1">
      <c r="A23" s="13"/>
      <c r="B23" s="410"/>
      <c r="C23" s="410"/>
      <c r="D23" s="626" t="s">
        <v>296</v>
      </c>
      <c r="E23" s="267">
        <f>IF(ReadyForSummary_Dishwashing,IF('8 Dishwashing'!G49&gt;0,'8 Dishwashing'!G49,'8 Dishwashing'!F49),0)</f>
        <v>0</v>
      </c>
      <c r="F23" s="807">
        <f>IF(ReadyForSummary_Dishwashing,'8 Dishwashing'!E40,0)</f>
        <v>0</v>
      </c>
      <c r="G23" s="267">
        <f>IF(ReadyForSummary_Dishwashing,'8 Dishwashing'!F40,0)</f>
        <v>0</v>
      </c>
      <c r="H23" s="267">
        <f>IF(ReadyForSummary_Dishwashing,'8 Dishwashing'!H40,0)</f>
        <v>0</v>
      </c>
      <c r="I23" s="267" t="str">
        <f>IF(AND(ReadyForSummary_Dishwashing,HotWaterFuelType="Natural Gas"),'8 Dishwashing'!I40,"—")</f>
        <v>—</v>
      </c>
      <c r="J23" s="807">
        <f>IF(ReadyForSummary_Dishwashing,'8 Dishwashing'!K40,0)</f>
        <v>0</v>
      </c>
      <c r="K23" s="535">
        <f>IF(ReadyForSummary_Dishwashing,'8 Dishwashing'!L40,0)</f>
        <v>0</v>
      </c>
      <c r="L23" s="3"/>
      <c r="M23" s="3"/>
      <c r="N23" s="13"/>
      <c r="O23" s="847" t="b">
        <f>IF(OR(E23=0,E23="N/A",ReadyForSummary_Dishwashing=FALSE),FALSE,TRUE)</f>
        <v>0</v>
      </c>
      <c r="P23" s="13"/>
      <c r="Q23" s="13"/>
      <c r="R23" s="13"/>
      <c r="S23" s="13"/>
      <c r="T23" s="13"/>
      <c r="U23" s="13"/>
      <c r="V23" s="13"/>
      <c r="W23" s="13"/>
      <c r="X23" s="13"/>
      <c r="Y23" s="13"/>
      <c r="Z23" s="13"/>
      <c r="AA23" s="13"/>
      <c r="AB23" s="13"/>
    </row>
    <row r="24" spans="1:28" s="12" customFormat="1" ht="15" hidden="1">
      <c r="A24" s="13"/>
      <c r="B24" s="410"/>
      <c r="C24" s="410"/>
      <c r="D24" s="626" t="s">
        <v>726</v>
      </c>
      <c r="E24" s="267">
        <f>IF(ReadyForSummary_Dishwashing,IF('8 Dishwashing'!G50&gt;0,'8 Dishwashing'!G50,'8 Dishwashing'!F50),0)</f>
        <v>0</v>
      </c>
      <c r="F24" s="807">
        <f>IF(ReadyForSummary_Dishwashing,'8 Dishwashing'!E41,0)</f>
        <v>0</v>
      </c>
      <c r="G24" s="267">
        <f>IF(ReadyForSummary_Dishwashing,'8 Dishwashing'!F41,0)</f>
        <v>0</v>
      </c>
      <c r="H24" s="267">
        <f>IF(ReadyForSummary_Dishwashing,'8 Dishwashing'!H41,0)</f>
        <v>0</v>
      </c>
      <c r="I24" s="267" t="str">
        <f>IF(AND(ReadyForSummary_Dishwashing,HotWaterFuelType="Natural Gas"),'8 Dishwashing'!I41,"—")</f>
        <v>—</v>
      </c>
      <c r="J24" s="807">
        <f>IF(ReadyForSummary_Dishwashing,'8 Dishwashing'!K41,0)</f>
        <v>0</v>
      </c>
      <c r="K24" s="535">
        <f>IF(ReadyForSummary_Dishwashing,'8 Dishwashing'!L41,0)</f>
        <v>0</v>
      </c>
      <c r="L24" s="3"/>
      <c r="M24" s="3"/>
      <c r="N24" s="13"/>
      <c r="O24" s="847" t="b">
        <f>IF(OR(E24=0,E24="N/A",ReadyForSummary_Dishwashing=FALSE),FALSE,TRUE)</f>
        <v>0</v>
      </c>
      <c r="P24" s="13"/>
      <c r="Q24" s="13"/>
      <c r="R24" s="13"/>
      <c r="S24" s="13"/>
      <c r="T24" s="13"/>
      <c r="U24" s="13"/>
      <c r="V24" s="13"/>
      <c r="W24" s="13"/>
      <c r="X24" s="13"/>
      <c r="Y24" s="13"/>
      <c r="Z24" s="13"/>
      <c r="AA24" s="13"/>
      <c r="AB24" s="13"/>
    </row>
    <row r="25" spans="1:28" s="12" customFormat="1" ht="15">
      <c r="A25" s="13"/>
      <c r="B25" s="410"/>
      <c r="C25" s="878" t="s">
        <v>837</v>
      </c>
      <c r="D25" s="883"/>
      <c r="E25" s="463" t="str">
        <f>IF(ReadyForSummary_Dishwashing,SUM(E23:E24),"Not Estimated")</f>
        <v>Not Estimated</v>
      </c>
      <c r="F25" s="835" t="str">
        <f>IF(ReadyForSummary_Dishwashing,'8 Dishwashing'!E42,"Not Estimated")</f>
        <v>Not Estimated</v>
      </c>
      <c r="G25" s="817" t="str">
        <f>IF(ReadyForSummary_Dishwashing,'8 Dishwashing'!F42,"Not Estimated")</f>
        <v>Not Estimated</v>
      </c>
      <c r="H25" s="817" t="str">
        <f>IF(ReadyForSummary_Dishwashing,'8 Dishwashing'!H42,"Not Estimated")</f>
        <v>Not Estimated</v>
      </c>
      <c r="I25" s="817" t="str">
        <f>IF(ReadyForSummary_Dishwashing,'8 Dishwashing'!I42,"Not Estimated")</f>
        <v>Not Estimated</v>
      </c>
      <c r="J25" s="835" t="str">
        <f>IF(ReadyForSummary_Dishwashing,'8 Dishwashing'!K42,"Not Estimated")</f>
        <v>Not Estimated</v>
      </c>
      <c r="K25" s="464" t="str">
        <f>IF(ReadyForSummary_Dishwashing,'8 Dishwashing'!L42,"Not Estimated")</f>
        <v>Not Estimated</v>
      </c>
      <c r="L25" s="3"/>
      <c r="M25" s="3"/>
      <c r="N25" s="13"/>
      <c r="O25" s="847" t="b">
        <v>1</v>
      </c>
      <c r="P25" s="13"/>
      <c r="Q25" s="13"/>
      <c r="R25" s="13"/>
      <c r="S25" s="13"/>
      <c r="T25" s="13"/>
      <c r="U25" s="13"/>
      <c r="V25" s="13"/>
      <c r="W25" s="13"/>
      <c r="X25" s="13"/>
      <c r="Y25" s="13"/>
      <c r="Z25" s="13"/>
      <c r="AA25" s="13"/>
      <c r="AB25" s="13"/>
    </row>
    <row r="26" spans="1:28" s="12" customFormat="1" ht="15">
      <c r="A26" s="13"/>
      <c r="B26" s="410"/>
      <c r="C26" s="878"/>
      <c r="D26" s="879"/>
      <c r="E26" s="816"/>
      <c r="F26" s="3"/>
      <c r="G26" s="3"/>
      <c r="H26" s="816"/>
      <c r="I26" s="816"/>
      <c r="J26" s="3"/>
      <c r="K26" s="3"/>
      <c r="L26" s="3"/>
      <c r="M26" s="3"/>
      <c r="N26" s="13"/>
      <c r="O26" s="847" t="b">
        <v>1</v>
      </c>
      <c r="P26" s="13"/>
      <c r="Q26" s="13"/>
      <c r="R26" s="13"/>
      <c r="S26" s="13"/>
      <c r="T26" s="13"/>
      <c r="U26" s="13"/>
      <c r="V26" s="13"/>
      <c r="W26" s="13"/>
      <c r="X26" s="13"/>
      <c r="Y26" s="13"/>
      <c r="Z26" s="13"/>
      <c r="AA26" s="13"/>
      <c r="AB26" s="13"/>
    </row>
    <row r="27" spans="1:28" s="12" customFormat="1" ht="15">
      <c r="A27" s="13"/>
      <c r="B27" s="410"/>
      <c r="C27" s="878" t="s">
        <v>830</v>
      </c>
      <c r="D27" s="883"/>
      <c r="E27" s="463" t="str">
        <f>IF(OR(ISNUMBER(E10),ISNUMBER(E17),ISNUMBER(E21),ISNUMBER(E25)),SUM(E10,E17,E21,E25),"Not Estimated")</f>
        <v>Not Estimated</v>
      </c>
      <c r="F27" s="465" t="str">
        <f>IF(OR(COUNTIF(F6:F9,"Not Estimated")&gt;0,COUNTIF(F12:F16,"Not Estimated")&gt;0,COUNTIF(F19:F20,"Not Estimated")&gt;0,COUNTIF(F23:F24,"Not Estimated")&gt;0,AND(ISNUMBER(F10)=FALSE,ISNUMBER(F17)=FALSE,ISNUMBER(F21)=FALSE,ISNUMBER(F25)=FALSE)),"Not Estimated",SUM(F10,F17,F21:F25))</f>
        <v>Not Estimated</v>
      </c>
      <c r="G27" s="463" t="str">
        <f>IF(OR(ISNUMBER(G10),ISNUMBER(G17),ISNUMBER(G21),ISNUMBER(G25)),SUM(G10,G17,G21,G25),"Not Estimated")</f>
        <v>Not Estimated</v>
      </c>
      <c r="H27" s="463" t="str">
        <f>IF(OR(ISNUMBER(H10),ISNUMBER(H17),ISNUMBER(H21),ISNUMBER(H25)),SUM(H10,H17,H21,H25),"Not Estimated")</f>
        <v>Not Estimated</v>
      </c>
      <c r="I27" s="463" t="str">
        <f>IF(OR(ISNUMBER(I10),ISNUMBER(I17),ISNUMBER(I21),ISNUMBER(I25)),SUM(I10,I17,I21,I25),"Not Estimated")</f>
        <v>Not Estimated</v>
      </c>
      <c r="J27" s="462" t="str">
        <f>IF(OR(ISNUMBER(J10),ISNUMBER(J17),ISNUMBER(J21),ISNUMBER(J25)),SUM(J10,J17,J21,J25),"Not Estimated")</f>
        <v>Not Estimated</v>
      </c>
      <c r="K27" s="464" t="str">
        <f>IF(ISNUMBER(F27),IF(J27&gt;0,F27/J27,0),IF(F27="Not Estimated","Not Estimated","N/A"))</f>
        <v>Not Estimated</v>
      </c>
      <c r="L27" s="3"/>
      <c r="M27" s="3"/>
      <c r="N27" s="13"/>
      <c r="O27" s="847" t="b">
        <v>1</v>
      </c>
      <c r="P27" s="13"/>
      <c r="Q27" s="13"/>
      <c r="R27" s="13"/>
      <c r="S27" s="13"/>
      <c r="T27" s="13"/>
      <c r="U27" s="13"/>
      <c r="V27" s="13"/>
      <c r="W27" s="13"/>
      <c r="X27" s="13"/>
      <c r="Y27" s="13"/>
      <c r="Z27" s="13"/>
      <c r="AA27" s="13"/>
      <c r="AB27" s="13"/>
    </row>
    <row r="28" spans="1:28" s="12" customFormat="1" ht="36" customHeight="1">
      <c r="A28" s="13"/>
      <c r="B28" s="410"/>
      <c r="C28" s="872" t="s">
        <v>841</v>
      </c>
      <c r="D28" s="872"/>
      <c r="E28" s="872"/>
      <c r="F28" s="872"/>
      <c r="G28" s="872"/>
      <c r="H28" s="872"/>
      <c r="I28" s="884" t="str">
        <f>IF(OR(ReadyForSummary_Linen_Laundry,Summary_Linen_Laundry_No_BMP&lt;&gt;"",Summary_Linen_Laundry_Alt_BMP&lt;&gt;""),"","{You have not completed the Linen Laundry tab.}")</f>
        <v>{You have not completed the Linen Laundry tab.}</v>
      </c>
      <c r="J28" s="884"/>
      <c r="K28" s="884"/>
      <c r="L28" s="884"/>
      <c r="M28" s="3"/>
      <c r="N28" s="13"/>
      <c r="O28" s="827" t="b">
        <v>1</v>
      </c>
      <c r="P28" s="831" t="b">
        <v>0</v>
      </c>
      <c r="Q28" s="13"/>
      <c r="R28" s="13"/>
      <c r="S28" s="13"/>
      <c r="T28" s="13"/>
      <c r="U28" s="13"/>
      <c r="V28" s="13"/>
      <c r="W28" s="13"/>
      <c r="X28" s="13"/>
      <c r="Y28" s="13"/>
      <c r="Z28" s="13"/>
      <c r="AA28" s="13"/>
      <c r="AB28" s="13"/>
    </row>
    <row r="29" spans="1:28" s="12" customFormat="1" ht="53.25" customHeight="1" hidden="1">
      <c r="A29" s="13"/>
      <c r="B29" s="410"/>
      <c r="C29" s="792" t="s">
        <v>760</v>
      </c>
      <c r="D29" s="873">
        <f>IF(O29=TRUE,'6 Linen Laundry'!D30,"")</f>
      </c>
      <c r="E29" s="873"/>
      <c r="F29" s="873"/>
      <c r="G29" s="873"/>
      <c r="H29" s="873"/>
      <c r="I29" s="873"/>
      <c r="J29" s="873"/>
      <c r="K29" s="873"/>
      <c r="L29" s="873"/>
      <c r="M29" s="3"/>
      <c r="N29" s="13"/>
      <c r="O29" s="828" t="b">
        <f>AND(P29=TRUE,ReadyForSummary_Linen_Laundry)</f>
        <v>0</v>
      </c>
      <c r="P29" s="829" t="b">
        <v>0</v>
      </c>
      <c r="Q29" s="13"/>
      <c r="R29" s="13"/>
      <c r="S29" s="13"/>
      <c r="T29" s="13"/>
      <c r="U29" s="13"/>
      <c r="V29" s="13"/>
      <c r="W29" s="13"/>
      <c r="X29" s="13"/>
      <c r="Y29" s="13"/>
      <c r="Z29" s="13"/>
      <c r="AA29" s="13"/>
      <c r="AB29" s="13"/>
    </row>
    <row r="30" spans="1:28" s="12" customFormat="1" ht="21.75" customHeight="1" hidden="1">
      <c r="A30" s="13"/>
      <c r="B30" s="410"/>
      <c r="C30" s="792" t="s">
        <v>760</v>
      </c>
      <c r="D30" s="873">
        <f>IF(O30=TRUE,'6 Linen Laundry'!D31,"")</f>
      </c>
      <c r="E30" s="873"/>
      <c r="F30" s="873"/>
      <c r="G30" s="873"/>
      <c r="H30" s="873"/>
      <c r="I30" s="873"/>
      <c r="J30" s="873"/>
      <c r="K30" s="873"/>
      <c r="L30" s="873"/>
      <c r="M30" s="3"/>
      <c r="N30" s="13"/>
      <c r="O30" s="828" t="b">
        <f>AND(P30=TRUE,ReadyForSummary_Linen_Laundry)</f>
        <v>0</v>
      </c>
      <c r="P30" s="829" t="b">
        <v>1</v>
      </c>
      <c r="Q30" s="13"/>
      <c r="R30" s="13"/>
      <c r="S30" s="13"/>
      <c r="T30" s="13"/>
      <c r="U30" s="13"/>
      <c r="V30" s="13"/>
      <c r="W30" s="13"/>
      <c r="X30" s="13"/>
      <c r="Y30" s="13"/>
      <c r="Z30" s="13"/>
      <c r="AA30" s="13"/>
      <c r="AB30" s="13"/>
    </row>
    <row r="31" spans="1:28" s="12" customFormat="1" ht="67.5" customHeight="1" hidden="1">
      <c r="A31" s="13"/>
      <c r="B31" s="410"/>
      <c r="C31" s="792" t="s">
        <v>760</v>
      </c>
      <c r="D31" s="873">
        <f>IF(O31=TRUE,'6 Linen Laundry'!D32,"")</f>
      </c>
      <c r="E31" s="873"/>
      <c r="F31" s="873"/>
      <c r="G31" s="873"/>
      <c r="H31" s="873"/>
      <c r="I31" s="873"/>
      <c r="J31" s="873"/>
      <c r="K31" s="873"/>
      <c r="L31" s="873"/>
      <c r="M31" s="3"/>
      <c r="N31" s="13"/>
      <c r="O31" s="828" t="b">
        <f>AND(P31=TRUE,ReadyForSummary_Linen_Laundry)</f>
        <v>0</v>
      </c>
      <c r="P31" s="829" t="b">
        <v>1</v>
      </c>
      <c r="Q31" s="13"/>
      <c r="R31" s="13"/>
      <c r="S31" s="13"/>
      <c r="T31" s="13"/>
      <c r="U31" s="13"/>
      <c r="V31" s="13"/>
      <c r="W31" s="13"/>
      <c r="X31" s="13"/>
      <c r="Y31" s="13"/>
      <c r="Z31" s="13"/>
      <c r="AA31" s="13"/>
      <c r="AB31" s="13"/>
    </row>
    <row r="32" spans="1:28" s="12" customFormat="1" ht="53.25" customHeight="1" hidden="1">
      <c r="A32" s="13"/>
      <c r="B32" s="410"/>
      <c r="C32" s="792" t="s">
        <v>760</v>
      </c>
      <c r="D32" s="873">
        <f>IF(O32=TRUE,'6 Linen Laundry'!D33,"")</f>
      </c>
      <c r="E32" s="873"/>
      <c r="F32" s="873"/>
      <c r="G32" s="873"/>
      <c r="H32" s="873"/>
      <c r="I32" s="873"/>
      <c r="J32" s="873"/>
      <c r="K32" s="873"/>
      <c r="L32" s="873"/>
      <c r="M32" s="3"/>
      <c r="N32" s="13"/>
      <c r="O32" s="828" t="b">
        <f>AND(P32=TRUE,ReadyForSummary_Linen_Laundry)</f>
        <v>0</v>
      </c>
      <c r="P32" s="829" t="b">
        <v>1</v>
      </c>
      <c r="Q32" s="13"/>
      <c r="R32" s="13"/>
      <c r="S32" s="13"/>
      <c r="T32" s="13"/>
      <c r="U32" s="13"/>
      <c r="V32" s="13"/>
      <c r="W32" s="13"/>
      <c r="X32" s="13"/>
      <c r="Y32" s="13"/>
      <c r="Z32" s="13"/>
      <c r="AA32" s="13"/>
      <c r="AB32" s="13"/>
    </row>
    <row r="33" spans="1:28" s="12" customFormat="1" ht="53.25" customHeight="1" hidden="1">
      <c r="A33" s="13"/>
      <c r="B33" s="410"/>
      <c r="C33" s="792" t="s">
        <v>760</v>
      </c>
      <c r="D33" s="873">
        <f>IF(O33=TRUE,'6 Linen Laundry'!E48,"")</f>
      </c>
      <c r="E33" s="873"/>
      <c r="F33" s="873"/>
      <c r="G33" s="873"/>
      <c r="H33" s="873"/>
      <c r="I33" s="873"/>
      <c r="J33" s="873"/>
      <c r="K33" s="873"/>
      <c r="L33" s="873"/>
      <c r="M33" s="3"/>
      <c r="N33" s="13"/>
      <c r="O33" s="828" t="b">
        <f>P33</f>
        <v>0</v>
      </c>
      <c r="P33" s="829" t="b">
        <v>0</v>
      </c>
      <c r="Q33" s="13"/>
      <c r="R33" s="13"/>
      <c r="S33" s="13"/>
      <c r="T33" s="13"/>
      <c r="U33" s="13"/>
      <c r="V33" s="13"/>
      <c r="W33" s="13"/>
      <c r="X33" s="13"/>
      <c r="Y33" s="13"/>
      <c r="Z33" s="13"/>
      <c r="AA33" s="13"/>
      <c r="AB33" s="13"/>
    </row>
    <row r="34" spans="1:28" s="12" customFormat="1" ht="35.25" customHeight="1" hidden="1">
      <c r="A34" s="13"/>
      <c r="B34" s="410"/>
      <c r="C34" s="792" t="s">
        <v>760</v>
      </c>
      <c r="D34" s="873">
        <f>IF(O34=TRUE,IF('6 Linen Laundry'!InHouseLaundry="Yes","There are no additional best management practice recommendations for this water use area."&amp;CHAR(10),'6 Linen Laundry'!NoBMPs),"")</f>
      </c>
      <c r="E34" s="873"/>
      <c r="F34" s="873"/>
      <c r="G34" s="873"/>
      <c r="H34" s="873"/>
      <c r="I34" s="873"/>
      <c r="J34" s="873"/>
      <c r="K34" s="873"/>
      <c r="L34" s="873"/>
      <c r="M34" s="3"/>
      <c r="N34" s="13"/>
      <c r="O34" s="828" t="b">
        <f>P34</f>
        <v>0</v>
      </c>
      <c r="P34" s="829" t="b">
        <v>0</v>
      </c>
      <c r="Q34" s="13"/>
      <c r="R34" s="13"/>
      <c r="S34" s="13"/>
      <c r="T34" s="13"/>
      <c r="U34" s="13"/>
      <c r="V34" s="13"/>
      <c r="W34" s="13"/>
      <c r="X34" s="13"/>
      <c r="Y34" s="13"/>
      <c r="Z34" s="13"/>
      <c r="AA34" s="13"/>
      <c r="AB34" s="13"/>
    </row>
    <row r="35" spans="1:28" s="394" customFormat="1" ht="23.25" customHeight="1">
      <c r="A35" s="392"/>
      <c r="B35" s="410"/>
      <c r="C35" s="872" t="s">
        <v>842</v>
      </c>
      <c r="D35" s="872"/>
      <c r="E35" s="872"/>
      <c r="F35" s="872"/>
      <c r="G35" s="872"/>
      <c r="H35" s="872"/>
      <c r="I35" s="880" t="str">
        <f>IF(OR(ReadyForSummary_Commercial_Kitchen,Summary_Commercial_Kitchen_No_BMP&lt;&gt;""),"","{You have not completed the Commercial Kitchens tab.}")</f>
        <v>{You have not completed the Commercial Kitchens tab.}</v>
      </c>
      <c r="J35" s="880"/>
      <c r="K35" s="880"/>
      <c r="L35" s="880"/>
      <c r="N35" s="392"/>
      <c r="O35" s="827" t="b">
        <v>1</v>
      </c>
      <c r="P35" s="831" t="b">
        <v>0</v>
      </c>
      <c r="Q35" s="392"/>
      <c r="R35" s="392"/>
      <c r="S35" s="392"/>
      <c r="T35" s="392"/>
      <c r="U35" s="392"/>
      <c r="V35" s="392"/>
      <c r="W35" s="392"/>
      <c r="X35" s="392"/>
      <c r="Y35" s="392"/>
      <c r="Z35" s="392"/>
      <c r="AA35" s="392"/>
      <c r="AB35" s="392"/>
    </row>
    <row r="36" spans="1:28" s="12" customFormat="1" ht="81.75" customHeight="1" hidden="1">
      <c r="A36" s="13"/>
      <c r="B36" s="410"/>
      <c r="C36" s="792" t="s">
        <v>760</v>
      </c>
      <c r="D36" s="873">
        <f>IF(O36=TRUE,'7 Commercial Kitchens'!D71,"")</f>
      </c>
      <c r="E36" s="873"/>
      <c r="F36" s="873"/>
      <c r="G36" s="873"/>
      <c r="H36" s="873"/>
      <c r="I36" s="873"/>
      <c r="J36" s="873"/>
      <c r="K36" s="873"/>
      <c r="L36" s="873"/>
      <c r="M36" s="3"/>
      <c r="N36" s="13"/>
      <c r="O36" s="828" t="b">
        <f aca="true" t="shared" si="0" ref="O36:O44">AND(P36=TRUE,ReadyForSummary_Commercial_Kitchen)</f>
        <v>0</v>
      </c>
      <c r="P36" s="829" t="b">
        <v>1</v>
      </c>
      <c r="Q36" s="13"/>
      <c r="R36" s="13"/>
      <c r="S36" s="13"/>
      <c r="T36" s="13"/>
      <c r="U36" s="13"/>
      <c r="V36" s="13"/>
      <c r="W36" s="13"/>
      <c r="X36" s="13"/>
      <c r="Y36" s="13"/>
      <c r="Z36" s="13"/>
      <c r="AA36" s="13"/>
      <c r="AB36" s="13"/>
    </row>
    <row r="37" spans="1:28" s="12" customFormat="1" ht="37.5" customHeight="1" hidden="1">
      <c r="A37" s="13"/>
      <c r="B37" s="410"/>
      <c r="C37" s="792" t="s">
        <v>760</v>
      </c>
      <c r="D37" s="873">
        <f>IF(O37=TRUE,'7 Commercial Kitchens'!D72,"")</f>
      </c>
      <c r="E37" s="873"/>
      <c r="F37" s="873"/>
      <c r="G37" s="873"/>
      <c r="H37" s="873"/>
      <c r="I37" s="873"/>
      <c r="J37" s="873"/>
      <c r="K37" s="873"/>
      <c r="L37" s="873"/>
      <c r="M37" s="3"/>
      <c r="N37" s="13"/>
      <c r="O37" s="828" t="b">
        <f t="shared" si="0"/>
        <v>0</v>
      </c>
      <c r="P37" s="829" t="b">
        <v>0</v>
      </c>
      <c r="Q37" s="13"/>
      <c r="R37" s="13"/>
      <c r="S37" s="13"/>
      <c r="T37" s="13"/>
      <c r="U37" s="13"/>
      <c r="V37" s="13"/>
      <c r="W37" s="13"/>
      <c r="X37" s="13"/>
      <c r="Y37" s="13"/>
      <c r="Z37" s="13"/>
      <c r="AA37" s="13"/>
      <c r="AB37" s="13"/>
    </row>
    <row r="38" spans="1:28" s="12" customFormat="1" ht="46.5" customHeight="1" hidden="1">
      <c r="A38" s="13"/>
      <c r="B38" s="410"/>
      <c r="C38" s="792" t="s">
        <v>760</v>
      </c>
      <c r="D38" s="873">
        <f>IF(O38=TRUE,'7 Commercial Kitchens'!D73,"")</f>
      </c>
      <c r="E38" s="873"/>
      <c r="F38" s="873"/>
      <c r="G38" s="873"/>
      <c r="H38" s="873"/>
      <c r="I38" s="873"/>
      <c r="J38" s="873"/>
      <c r="K38" s="873"/>
      <c r="L38" s="873"/>
      <c r="M38" s="3"/>
      <c r="N38" s="13"/>
      <c r="O38" s="828" t="b">
        <f t="shared" si="0"/>
        <v>0</v>
      </c>
      <c r="P38" s="829" t="b">
        <v>0</v>
      </c>
      <c r="Q38" s="13"/>
      <c r="R38" s="13"/>
      <c r="S38" s="13"/>
      <c r="T38" s="13"/>
      <c r="U38" s="13"/>
      <c r="V38" s="13"/>
      <c r="W38" s="13"/>
      <c r="X38" s="13"/>
      <c r="Y38" s="13"/>
      <c r="Z38" s="13"/>
      <c r="AA38" s="13"/>
      <c r="AB38" s="13"/>
    </row>
    <row r="39" spans="1:28" s="12" customFormat="1" ht="42" customHeight="1" hidden="1">
      <c r="A39" s="13"/>
      <c r="B39" s="410"/>
      <c r="C39" s="792" t="s">
        <v>760</v>
      </c>
      <c r="D39" s="873">
        <f>IF(O39=TRUE,'7 Commercial Kitchens'!D74,"")</f>
      </c>
      <c r="E39" s="873"/>
      <c r="F39" s="873"/>
      <c r="G39" s="873"/>
      <c r="H39" s="873"/>
      <c r="I39" s="873"/>
      <c r="J39" s="873"/>
      <c r="K39" s="873"/>
      <c r="L39" s="873"/>
      <c r="M39" s="3"/>
      <c r="N39" s="13"/>
      <c r="O39" s="828" t="b">
        <f t="shared" si="0"/>
        <v>0</v>
      </c>
      <c r="P39" s="829" t="b">
        <v>0</v>
      </c>
      <c r="Q39" s="13"/>
      <c r="R39" s="13"/>
      <c r="S39" s="13"/>
      <c r="T39" s="13"/>
      <c r="U39" s="13"/>
      <c r="V39" s="13"/>
      <c r="W39" s="13"/>
      <c r="X39" s="13"/>
      <c r="Y39" s="13"/>
      <c r="Z39" s="13"/>
      <c r="AA39" s="13"/>
      <c r="AB39" s="13"/>
    </row>
    <row r="40" spans="1:28" s="12" customFormat="1" ht="47.25" customHeight="1" hidden="1">
      <c r="A40" s="13"/>
      <c r="B40" s="410"/>
      <c r="C40" s="792" t="s">
        <v>760</v>
      </c>
      <c r="D40" s="873">
        <f>IF(O40=TRUE,'7 Commercial Kitchens'!D75,"")</f>
      </c>
      <c r="E40" s="873"/>
      <c r="F40" s="873"/>
      <c r="G40" s="873"/>
      <c r="H40" s="873"/>
      <c r="I40" s="873"/>
      <c r="J40" s="873"/>
      <c r="K40" s="873"/>
      <c r="L40" s="873"/>
      <c r="M40" s="3"/>
      <c r="N40" s="13"/>
      <c r="O40" s="828" t="b">
        <f t="shared" si="0"/>
        <v>0</v>
      </c>
      <c r="P40" s="829" t="b">
        <v>0</v>
      </c>
      <c r="Q40" s="13"/>
      <c r="R40" s="13"/>
      <c r="S40" s="13"/>
      <c r="T40" s="13"/>
      <c r="U40" s="13"/>
      <c r="V40" s="13"/>
      <c r="W40" s="13"/>
      <c r="X40" s="13"/>
      <c r="Y40" s="13"/>
      <c r="Z40" s="13"/>
      <c r="AA40" s="13"/>
      <c r="AB40" s="13"/>
    </row>
    <row r="41" spans="1:28" s="12" customFormat="1" ht="25.5" customHeight="1" hidden="1">
      <c r="A41" s="13"/>
      <c r="B41" s="410"/>
      <c r="C41" s="792" t="s">
        <v>760</v>
      </c>
      <c r="D41" s="873">
        <f>IF(O41=TRUE,'7 Commercial Kitchens'!D76,"")</f>
      </c>
      <c r="E41" s="873"/>
      <c r="F41" s="873"/>
      <c r="G41" s="873"/>
      <c r="H41" s="873"/>
      <c r="I41" s="873"/>
      <c r="J41" s="873"/>
      <c r="K41" s="873"/>
      <c r="L41" s="873"/>
      <c r="M41" s="3"/>
      <c r="N41" s="13"/>
      <c r="O41" s="828" t="b">
        <f t="shared" si="0"/>
        <v>0</v>
      </c>
      <c r="P41" s="829" t="b">
        <v>0</v>
      </c>
      <c r="Q41" s="13"/>
      <c r="R41" s="13"/>
      <c r="S41" s="13"/>
      <c r="T41" s="13"/>
      <c r="U41" s="13"/>
      <c r="V41" s="13"/>
      <c r="W41" s="13"/>
      <c r="X41" s="13"/>
      <c r="Y41" s="13"/>
      <c r="Z41" s="13"/>
      <c r="AA41" s="13"/>
      <c r="AB41" s="13"/>
    </row>
    <row r="42" spans="1:28" s="12" customFormat="1" ht="45" customHeight="1" hidden="1">
      <c r="A42" s="13"/>
      <c r="B42" s="410"/>
      <c r="C42" s="792" t="s">
        <v>760</v>
      </c>
      <c r="D42" s="873">
        <f>IF(O42=TRUE,'7 Commercial Kitchens'!D77,"")</f>
      </c>
      <c r="E42" s="873"/>
      <c r="F42" s="873"/>
      <c r="G42" s="873"/>
      <c r="H42" s="873"/>
      <c r="I42" s="873"/>
      <c r="J42" s="873"/>
      <c r="K42" s="873"/>
      <c r="L42" s="873"/>
      <c r="M42" s="3"/>
      <c r="N42" s="13"/>
      <c r="O42" s="828" t="b">
        <f t="shared" si="0"/>
        <v>0</v>
      </c>
      <c r="P42" s="829" t="b">
        <v>0</v>
      </c>
      <c r="Q42" s="13"/>
      <c r="R42" s="13"/>
      <c r="S42" s="13"/>
      <c r="T42" s="13"/>
      <c r="U42" s="13"/>
      <c r="V42" s="13"/>
      <c r="W42" s="13"/>
      <c r="X42" s="13"/>
      <c r="Y42" s="13"/>
      <c r="Z42" s="13"/>
      <c r="AA42" s="13"/>
      <c r="AB42" s="13"/>
    </row>
    <row r="43" spans="1:28" s="12" customFormat="1" ht="61.5" customHeight="1" hidden="1">
      <c r="A43" s="13"/>
      <c r="B43" s="410"/>
      <c r="C43" s="792" t="s">
        <v>760</v>
      </c>
      <c r="D43" s="873">
        <f>IF(O43=TRUE,'7 Commercial Kitchens'!D78,"")</f>
      </c>
      <c r="E43" s="873"/>
      <c r="F43" s="873"/>
      <c r="G43" s="873"/>
      <c r="H43" s="873"/>
      <c r="I43" s="873"/>
      <c r="J43" s="873"/>
      <c r="K43" s="873"/>
      <c r="L43" s="873"/>
      <c r="M43" s="3"/>
      <c r="N43" s="13"/>
      <c r="O43" s="828" t="b">
        <f t="shared" si="0"/>
        <v>0</v>
      </c>
      <c r="P43" s="829" t="b">
        <v>0</v>
      </c>
      <c r="Q43" s="13"/>
      <c r="R43" s="13"/>
      <c r="S43" s="13"/>
      <c r="T43" s="13"/>
      <c r="U43" s="13"/>
      <c r="V43" s="13"/>
      <c r="W43" s="13"/>
      <c r="X43" s="13"/>
      <c r="Y43" s="13"/>
      <c r="Z43" s="13"/>
      <c r="AA43" s="13"/>
      <c r="AB43" s="13"/>
    </row>
    <row r="44" spans="1:28" s="12" customFormat="1" ht="42" customHeight="1" hidden="1">
      <c r="A44" s="13"/>
      <c r="B44" s="410"/>
      <c r="C44" s="792" t="s">
        <v>760</v>
      </c>
      <c r="D44" s="873">
        <f>IF(O44=TRUE,'7 Commercial Kitchens'!D79,"")</f>
      </c>
      <c r="E44" s="873"/>
      <c r="F44" s="873"/>
      <c r="G44" s="873"/>
      <c r="H44" s="873"/>
      <c r="I44" s="873"/>
      <c r="J44" s="873"/>
      <c r="K44" s="873"/>
      <c r="L44" s="873"/>
      <c r="M44" s="3"/>
      <c r="N44" s="13"/>
      <c r="O44" s="828" t="b">
        <f t="shared" si="0"/>
        <v>0</v>
      </c>
      <c r="P44" s="829" t="b">
        <v>0</v>
      </c>
      <c r="Q44" s="13"/>
      <c r="R44" s="13"/>
      <c r="S44" s="13"/>
      <c r="T44" s="13"/>
      <c r="U44" s="13"/>
      <c r="V44" s="13"/>
      <c r="W44" s="13"/>
      <c r="X44" s="13"/>
      <c r="Y44" s="13"/>
      <c r="Z44" s="13"/>
      <c r="AA44" s="13"/>
      <c r="AB44" s="13"/>
    </row>
    <row r="45" spans="1:28" s="12" customFormat="1" ht="22.5" customHeight="1" hidden="1">
      <c r="A45" s="13"/>
      <c r="B45" s="410"/>
      <c r="C45" s="792" t="s">
        <v>760</v>
      </c>
      <c r="D45" s="873">
        <f>IF(O45=TRUE,IF('7 Commercial Kitchens'!G8="Yes","There are no additional best management practice recommendations for this water use area.",'7 Commercial Kitchens'!NoBMPs),"")</f>
      </c>
      <c r="E45" s="873"/>
      <c r="F45" s="873"/>
      <c r="G45" s="873"/>
      <c r="H45" s="873"/>
      <c r="I45" s="873"/>
      <c r="J45" s="873"/>
      <c r="K45" s="873"/>
      <c r="L45" s="873"/>
      <c r="M45" s="3"/>
      <c r="N45" s="13"/>
      <c r="O45" s="828" t="b">
        <f>P45</f>
        <v>0</v>
      </c>
      <c r="P45" s="829" t="b">
        <v>0</v>
      </c>
      <c r="Q45" s="13"/>
      <c r="R45" s="13"/>
      <c r="S45" s="13"/>
      <c r="T45" s="13"/>
      <c r="U45" s="13"/>
      <c r="V45" s="13"/>
      <c r="W45" s="13"/>
      <c r="X45" s="13"/>
      <c r="Y45" s="13"/>
      <c r="Z45" s="13"/>
      <c r="AA45" s="13"/>
      <c r="AB45" s="13"/>
    </row>
    <row r="46" spans="1:28" s="394" customFormat="1" ht="23.25" customHeight="1">
      <c r="A46" s="392"/>
      <c r="B46" s="410"/>
      <c r="C46" s="872" t="s">
        <v>843</v>
      </c>
      <c r="D46" s="872"/>
      <c r="E46" s="872"/>
      <c r="F46" s="872"/>
      <c r="G46" s="872"/>
      <c r="H46" s="872"/>
      <c r="I46" s="880" t="str">
        <f>IF(OR(ReadyForSummary_HVAC_Mechanical,Summary_HVAC_Mechanical_No_BMP&lt;&gt;""),"","{You have not completed the HVAC and Mechanical tab.}")</f>
        <v>{You have not completed the HVAC and Mechanical tab.}</v>
      </c>
      <c r="J46" s="880"/>
      <c r="K46" s="880"/>
      <c r="L46" s="880"/>
      <c r="N46" s="392"/>
      <c r="O46" s="827" t="b">
        <v>1</v>
      </c>
      <c r="P46" s="831" t="b">
        <v>0</v>
      </c>
      <c r="Q46" s="392"/>
      <c r="R46" s="392"/>
      <c r="S46" s="392"/>
      <c r="T46" s="392"/>
      <c r="U46" s="392"/>
      <c r="V46" s="392"/>
      <c r="W46" s="392"/>
      <c r="X46" s="392"/>
      <c r="Y46" s="392"/>
      <c r="Z46" s="392"/>
      <c r="AA46" s="392"/>
      <c r="AB46" s="392"/>
    </row>
    <row r="47" spans="1:31" s="1" customFormat="1" ht="55.5" customHeight="1" hidden="1">
      <c r="A47" s="13"/>
      <c r="B47"/>
      <c r="C47" s="784" t="s">
        <v>760</v>
      </c>
      <c r="D47" s="873">
        <f>IF(O47=TRUE,'9 HVAC &amp; Mechanical'!D69,"")</f>
      </c>
      <c r="E47" s="873"/>
      <c r="F47" s="873"/>
      <c r="G47" s="873"/>
      <c r="H47" s="873"/>
      <c r="I47" s="873"/>
      <c r="J47" s="873"/>
      <c r="K47" s="873"/>
      <c r="L47" s="873"/>
      <c r="M47" s="394"/>
      <c r="N47" s="37"/>
      <c r="O47" s="828" t="b">
        <f aca="true" t="shared" si="1" ref="O47:O58">AND(P47=TRUE,ReadyForSummary_HVAC_Mechanical)</f>
        <v>0</v>
      </c>
      <c r="P47" s="830" t="b">
        <v>0</v>
      </c>
      <c r="Q47" s="37"/>
      <c r="R47" s="37"/>
      <c r="S47" s="37"/>
      <c r="T47" s="37"/>
      <c r="U47" s="37"/>
      <c r="V47" s="37"/>
      <c r="W47" s="37"/>
      <c r="X47" s="37"/>
      <c r="Y47" s="37"/>
      <c r="Z47" s="37"/>
      <c r="AA47" s="37"/>
      <c r="AB47" s="37"/>
      <c r="AC47" s="37"/>
      <c r="AD47" s="37"/>
      <c r="AE47" s="37"/>
    </row>
    <row r="48" spans="1:31" s="825" customFormat="1" ht="36.75" customHeight="1" hidden="1">
      <c r="A48" s="58"/>
      <c r="B48" s="824"/>
      <c r="C48" s="784" t="s">
        <v>760</v>
      </c>
      <c r="D48" s="873">
        <f>IF(O48=TRUE,'9 HVAC &amp; Mechanical'!D70,"")</f>
      </c>
      <c r="E48" s="873"/>
      <c r="F48" s="873"/>
      <c r="G48" s="873"/>
      <c r="H48" s="873"/>
      <c r="I48" s="873"/>
      <c r="J48" s="873"/>
      <c r="K48" s="873"/>
      <c r="L48" s="873"/>
      <c r="M48" s="394"/>
      <c r="N48" s="59"/>
      <c r="O48" s="828" t="b">
        <f t="shared" si="1"/>
        <v>0</v>
      </c>
      <c r="P48" s="831" t="b">
        <v>0</v>
      </c>
      <c r="Q48" s="59"/>
      <c r="R48" s="59"/>
      <c r="S48" s="59"/>
      <c r="T48" s="59"/>
      <c r="U48" s="59"/>
      <c r="V48" s="59"/>
      <c r="W48" s="59"/>
      <c r="X48" s="59"/>
      <c r="Y48" s="59"/>
      <c r="Z48" s="59"/>
      <c r="AA48" s="59"/>
      <c r="AB48" s="59"/>
      <c r="AC48" s="59"/>
      <c r="AD48" s="59"/>
      <c r="AE48" s="59"/>
    </row>
    <row r="49" spans="1:31" s="825" customFormat="1" ht="36.75" customHeight="1" hidden="1">
      <c r="A49" s="58"/>
      <c r="B49" s="824"/>
      <c r="C49" s="784" t="s">
        <v>760</v>
      </c>
      <c r="D49" s="873">
        <f>IF(O49=TRUE,'9 HVAC &amp; Mechanical'!D71,"")</f>
      </c>
      <c r="E49" s="873"/>
      <c r="F49" s="873"/>
      <c r="G49" s="873"/>
      <c r="H49" s="873"/>
      <c r="I49" s="873"/>
      <c r="J49" s="873"/>
      <c r="K49" s="873"/>
      <c r="L49" s="873"/>
      <c r="M49" s="394"/>
      <c r="N49" s="59"/>
      <c r="O49" s="828" t="b">
        <f t="shared" si="1"/>
        <v>0</v>
      </c>
      <c r="P49" s="831" t="b">
        <v>0</v>
      </c>
      <c r="Q49" s="59"/>
      <c r="R49" s="59"/>
      <c r="S49" s="59"/>
      <c r="T49" s="59"/>
      <c r="U49" s="59"/>
      <c r="V49" s="59"/>
      <c r="W49" s="59"/>
      <c r="X49" s="59"/>
      <c r="Y49" s="59"/>
      <c r="Z49" s="59"/>
      <c r="AA49" s="59"/>
      <c r="AB49" s="59"/>
      <c r="AC49" s="59"/>
      <c r="AD49" s="59"/>
      <c r="AE49" s="59"/>
    </row>
    <row r="50" spans="1:31" s="390" customFormat="1" ht="37.5" customHeight="1" hidden="1">
      <c r="A50" s="50"/>
      <c r="B50" s="802"/>
      <c r="C50" s="784" t="s">
        <v>760</v>
      </c>
      <c r="D50" s="873">
        <f>IF(O50=TRUE,'9 HVAC &amp; Mechanical'!D72,"")</f>
      </c>
      <c r="E50" s="873"/>
      <c r="F50" s="873"/>
      <c r="G50" s="873"/>
      <c r="H50" s="873"/>
      <c r="I50" s="873"/>
      <c r="J50" s="873"/>
      <c r="K50" s="873"/>
      <c r="L50" s="873"/>
      <c r="M50" s="394"/>
      <c r="N50" s="60"/>
      <c r="O50" s="828" t="b">
        <f t="shared" si="1"/>
        <v>0</v>
      </c>
      <c r="P50" s="832" t="b">
        <v>0</v>
      </c>
      <c r="Q50" s="60"/>
      <c r="R50" s="60"/>
      <c r="S50" s="60"/>
      <c r="T50" s="60"/>
      <c r="U50" s="60"/>
      <c r="V50" s="60"/>
      <c r="W50" s="60"/>
      <c r="X50" s="60"/>
      <c r="Y50" s="60"/>
      <c r="Z50" s="60"/>
      <c r="AA50" s="60"/>
      <c r="AB50" s="60"/>
      <c r="AC50" s="60"/>
      <c r="AD50" s="60"/>
      <c r="AE50" s="60"/>
    </row>
    <row r="51" spans="1:31" s="1" customFormat="1" ht="44.25" customHeight="1" hidden="1">
      <c r="A51" s="13"/>
      <c r="B51"/>
      <c r="C51" s="784" t="s">
        <v>760</v>
      </c>
      <c r="D51" s="873">
        <f>IF(O51=TRUE,'9 HVAC &amp; Mechanical'!D73,"")</f>
      </c>
      <c r="E51" s="873"/>
      <c r="F51" s="873"/>
      <c r="G51" s="873"/>
      <c r="H51" s="873"/>
      <c r="I51" s="873"/>
      <c r="J51" s="873"/>
      <c r="K51" s="873"/>
      <c r="L51" s="873"/>
      <c r="M51" s="394"/>
      <c r="N51" s="37"/>
      <c r="O51" s="828" t="b">
        <f t="shared" si="1"/>
        <v>0</v>
      </c>
      <c r="P51" s="830" t="b">
        <v>0</v>
      </c>
      <c r="Q51" s="37"/>
      <c r="R51" s="37"/>
      <c r="S51" s="37"/>
      <c r="T51" s="37"/>
      <c r="U51" s="37"/>
      <c r="V51" s="37"/>
      <c r="W51" s="37"/>
      <c r="X51" s="37"/>
      <c r="Y51" s="37"/>
      <c r="Z51" s="37"/>
      <c r="AA51" s="37"/>
      <c r="AB51" s="37"/>
      <c r="AC51" s="37"/>
      <c r="AD51" s="37"/>
      <c r="AE51" s="37"/>
    </row>
    <row r="52" spans="1:31" s="825" customFormat="1" ht="36.75" customHeight="1" hidden="1">
      <c r="A52" s="58"/>
      <c r="B52" s="824"/>
      <c r="C52" s="784" t="s">
        <v>760</v>
      </c>
      <c r="D52" s="873">
        <f>IF(O52=TRUE,'9 HVAC &amp; Mechanical'!D74,"")</f>
      </c>
      <c r="E52" s="873"/>
      <c r="F52" s="873"/>
      <c r="G52" s="873"/>
      <c r="H52" s="873"/>
      <c r="I52" s="873"/>
      <c r="J52" s="873"/>
      <c r="K52" s="873"/>
      <c r="L52" s="873"/>
      <c r="M52" s="394"/>
      <c r="N52" s="59"/>
      <c r="O52" s="828" t="b">
        <f t="shared" si="1"/>
        <v>0</v>
      </c>
      <c r="P52" s="831" t="b">
        <v>0</v>
      </c>
      <c r="Q52" s="59"/>
      <c r="R52" s="59"/>
      <c r="S52" s="59"/>
      <c r="T52" s="59"/>
      <c r="U52" s="59"/>
      <c r="V52" s="59"/>
      <c r="W52" s="59"/>
      <c r="X52" s="59"/>
      <c r="Y52" s="59"/>
      <c r="Z52" s="59"/>
      <c r="AA52" s="59"/>
      <c r="AB52" s="59"/>
      <c r="AC52" s="59"/>
      <c r="AD52" s="59"/>
      <c r="AE52" s="59"/>
    </row>
    <row r="53" spans="1:31" s="825" customFormat="1" ht="52.5" customHeight="1" hidden="1">
      <c r="A53" s="58"/>
      <c r="B53" s="824"/>
      <c r="C53" s="784" t="s">
        <v>760</v>
      </c>
      <c r="D53" s="873">
        <f>IF(O53=TRUE,'9 HVAC &amp; Mechanical'!D75,"")</f>
      </c>
      <c r="E53" s="873"/>
      <c r="F53" s="873"/>
      <c r="G53" s="873"/>
      <c r="H53" s="873"/>
      <c r="I53" s="873"/>
      <c r="J53" s="873"/>
      <c r="K53" s="873"/>
      <c r="L53" s="873"/>
      <c r="M53" s="394"/>
      <c r="N53" s="59"/>
      <c r="O53" s="828" t="b">
        <f t="shared" si="1"/>
        <v>0</v>
      </c>
      <c r="P53" s="831" t="b">
        <v>0</v>
      </c>
      <c r="Q53" s="59"/>
      <c r="R53" s="59"/>
      <c r="S53" s="59"/>
      <c r="T53" s="59"/>
      <c r="U53" s="59"/>
      <c r="V53" s="59"/>
      <c r="W53" s="59"/>
      <c r="X53" s="59"/>
      <c r="Y53" s="59"/>
      <c r="Z53" s="59"/>
      <c r="AA53" s="59"/>
      <c r="AB53" s="59"/>
      <c r="AC53" s="59"/>
      <c r="AD53" s="59"/>
      <c r="AE53" s="59"/>
    </row>
    <row r="54" spans="1:31" s="390" customFormat="1" ht="51" customHeight="1" hidden="1">
      <c r="A54" s="50"/>
      <c r="B54" s="802"/>
      <c r="C54" s="784" t="s">
        <v>760</v>
      </c>
      <c r="D54" s="873">
        <f>IF(O54=TRUE,'9 HVAC &amp; Mechanical'!D76,"")</f>
      </c>
      <c r="E54" s="873"/>
      <c r="F54" s="873"/>
      <c r="G54" s="873"/>
      <c r="H54" s="873"/>
      <c r="I54" s="873"/>
      <c r="J54" s="873"/>
      <c r="K54" s="873"/>
      <c r="L54" s="873"/>
      <c r="M54" s="394"/>
      <c r="N54" s="60"/>
      <c r="O54" s="828" t="b">
        <f t="shared" si="1"/>
        <v>0</v>
      </c>
      <c r="P54" s="832" t="b">
        <v>0</v>
      </c>
      <c r="Q54" s="60"/>
      <c r="R54" s="60"/>
      <c r="S54" s="60"/>
      <c r="T54" s="60"/>
      <c r="U54" s="60"/>
      <c r="V54" s="60"/>
      <c r="W54" s="60"/>
      <c r="X54" s="60"/>
      <c r="Y54" s="60"/>
      <c r="Z54" s="60"/>
      <c r="AA54" s="60"/>
      <c r="AB54" s="60"/>
      <c r="AC54" s="60"/>
      <c r="AD54" s="60"/>
      <c r="AE54" s="60"/>
    </row>
    <row r="55" spans="1:31" s="825" customFormat="1" ht="51" customHeight="1" hidden="1">
      <c r="A55" s="58"/>
      <c r="B55" s="824"/>
      <c r="C55" s="784" t="s">
        <v>760</v>
      </c>
      <c r="D55" s="873">
        <f>IF(O55=TRUE,'9 HVAC &amp; Mechanical'!D77,"")</f>
      </c>
      <c r="E55" s="873"/>
      <c r="F55" s="873"/>
      <c r="G55" s="873"/>
      <c r="H55" s="873"/>
      <c r="I55" s="873"/>
      <c r="J55" s="873"/>
      <c r="K55" s="873"/>
      <c r="L55" s="873"/>
      <c r="M55" s="394"/>
      <c r="N55" s="59"/>
      <c r="O55" s="828" t="b">
        <f t="shared" si="1"/>
        <v>0</v>
      </c>
      <c r="P55" s="831" t="b">
        <v>0</v>
      </c>
      <c r="Q55" s="59"/>
      <c r="R55" s="59"/>
      <c r="S55" s="59"/>
      <c r="T55" s="59"/>
      <c r="U55" s="59"/>
      <c r="V55" s="59"/>
      <c r="W55" s="59"/>
      <c r="X55" s="59"/>
      <c r="Y55" s="59"/>
      <c r="Z55" s="59"/>
      <c r="AA55" s="59"/>
      <c r="AB55" s="59"/>
      <c r="AC55" s="59"/>
      <c r="AD55" s="59"/>
      <c r="AE55" s="59"/>
    </row>
    <row r="56" spans="1:31" s="825" customFormat="1" ht="36" customHeight="1" hidden="1">
      <c r="A56" s="58"/>
      <c r="B56" s="824"/>
      <c r="C56" s="784" t="s">
        <v>760</v>
      </c>
      <c r="D56" s="873">
        <f>IF(O56=TRUE,'9 HVAC &amp; Mechanical'!D78,"")</f>
      </c>
      <c r="E56" s="873"/>
      <c r="F56" s="873"/>
      <c r="G56" s="873"/>
      <c r="H56" s="873"/>
      <c r="I56" s="873"/>
      <c r="J56" s="873"/>
      <c r="K56" s="873"/>
      <c r="L56" s="873"/>
      <c r="M56" s="394"/>
      <c r="N56" s="59"/>
      <c r="O56" s="828" t="b">
        <f t="shared" si="1"/>
        <v>0</v>
      </c>
      <c r="P56" s="831" t="b">
        <v>1</v>
      </c>
      <c r="Q56" s="59"/>
      <c r="R56" s="59"/>
      <c r="S56" s="59"/>
      <c r="T56" s="59"/>
      <c r="U56" s="59"/>
      <c r="V56" s="59"/>
      <c r="W56" s="59"/>
      <c r="X56" s="59"/>
      <c r="Y56" s="59"/>
      <c r="Z56" s="59"/>
      <c r="AA56" s="59"/>
      <c r="AB56" s="59"/>
      <c r="AC56" s="59"/>
      <c r="AD56" s="59"/>
      <c r="AE56" s="59"/>
    </row>
    <row r="57" spans="1:31" s="825" customFormat="1" ht="36.75" customHeight="1" hidden="1">
      <c r="A57" s="58"/>
      <c r="B57" s="824"/>
      <c r="C57" s="784" t="s">
        <v>760</v>
      </c>
      <c r="D57" s="873">
        <f>IF(O57=TRUE,'9 HVAC &amp; Mechanical'!D79,"")</f>
      </c>
      <c r="E57" s="873"/>
      <c r="F57" s="873"/>
      <c r="G57" s="873"/>
      <c r="H57" s="873"/>
      <c r="I57" s="873"/>
      <c r="J57" s="873"/>
      <c r="K57" s="873"/>
      <c r="L57" s="873"/>
      <c r="M57" s="394"/>
      <c r="N57" s="59"/>
      <c r="O57" s="828" t="b">
        <f t="shared" si="1"/>
        <v>0</v>
      </c>
      <c r="P57" s="831" t="b">
        <v>0</v>
      </c>
      <c r="Q57" s="59"/>
      <c r="R57" s="59"/>
      <c r="S57" s="59"/>
      <c r="T57" s="59"/>
      <c r="U57" s="59"/>
      <c r="V57" s="59"/>
      <c r="W57" s="59"/>
      <c r="X57" s="59"/>
      <c r="Y57" s="59"/>
      <c r="Z57" s="59"/>
      <c r="AA57" s="59"/>
      <c r="AB57" s="59"/>
      <c r="AC57" s="59"/>
      <c r="AD57" s="59"/>
      <c r="AE57" s="59"/>
    </row>
    <row r="58" spans="1:31" s="825" customFormat="1" ht="51" customHeight="1" hidden="1">
      <c r="A58" s="58"/>
      <c r="B58" s="824"/>
      <c r="C58" s="784" t="s">
        <v>760</v>
      </c>
      <c r="D58" s="873">
        <f>IF(O58=TRUE,'9 HVAC &amp; Mechanical'!D80,"")</f>
      </c>
      <c r="E58" s="873"/>
      <c r="F58" s="873"/>
      <c r="G58" s="873"/>
      <c r="H58" s="873"/>
      <c r="I58" s="873"/>
      <c r="J58" s="873"/>
      <c r="K58" s="873"/>
      <c r="L58" s="873"/>
      <c r="M58" s="394"/>
      <c r="N58" s="59"/>
      <c r="O58" s="828" t="b">
        <f t="shared" si="1"/>
        <v>0</v>
      </c>
      <c r="P58" s="831" t="b">
        <v>0</v>
      </c>
      <c r="Q58" s="59"/>
      <c r="R58" s="59"/>
      <c r="S58" s="59"/>
      <c r="T58" s="59"/>
      <c r="U58" s="59"/>
      <c r="V58" s="59"/>
      <c r="W58" s="59"/>
      <c r="X58" s="59"/>
      <c r="Y58" s="59"/>
      <c r="Z58" s="59"/>
      <c r="AA58" s="59"/>
      <c r="AB58" s="59"/>
      <c r="AC58" s="59"/>
      <c r="AD58" s="59"/>
      <c r="AE58" s="59"/>
    </row>
    <row r="59" spans="1:28" s="12" customFormat="1" ht="38.25" customHeight="1" hidden="1">
      <c r="A59" s="13"/>
      <c r="B59" s="410"/>
      <c r="C59" s="792" t="s">
        <v>760</v>
      </c>
      <c r="D59" s="873">
        <f>IF(O59=TRUE,IF(OR('9 HVAC &amp; Mechanical'!CoolingTower="Yes",'9 HVAC &amp; Mechanical'!SinglePassCooling="Yes",'9 HVAC &amp; Mechanical'!SteamBoilers="Yes"),"There are no additional best management practice recommendations for this water use area."&amp;CHAR(10),'9 HVAC &amp; Mechanical'!NoBMPs),"")</f>
      </c>
      <c r="E59" s="873"/>
      <c r="F59" s="873"/>
      <c r="G59" s="873"/>
      <c r="H59" s="873"/>
      <c r="I59" s="873"/>
      <c r="J59" s="873"/>
      <c r="K59" s="873"/>
      <c r="L59" s="873"/>
      <c r="M59" s="3"/>
      <c r="N59" s="13"/>
      <c r="O59" s="828" t="b">
        <f>P59</f>
        <v>0</v>
      </c>
      <c r="P59" s="829" t="b">
        <v>0</v>
      </c>
      <c r="Q59" s="13"/>
      <c r="R59" s="13"/>
      <c r="S59" s="13"/>
      <c r="T59" s="13"/>
      <c r="U59" s="13"/>
      <c r="V59" s="13"/>
      <c r="W59" s="13"/>
      <c r="X59" s="13"/>
      <c r="Y59" s="13"/>
      <c r="Z59" s="13"/>
      <c r="AA59" s="13"/>
      <c r="AB59" s="13"/>
    </row>
    <row r="60" spans="1:28" s="394" customFormat="1" ht="23.25" customHeight="1">
      <c r="A60" s="392"/>
      <c r="B60" s="410"/>
      <c r="C60" s="872" t="s">
        <v>844</v>
      </c>
      <c r="D60" s="872"/>
      <c r="E60" s="872"/>
      <c r="F60" s="872"/>
      <c r="G60" s="872"/>
      <c r="H60" s="872"/>
      <c r="I60" s="880" t="str">
        <f>IF(OR(ReadyForSummary_Irrigation,Summary_Irrigation_No_BMP&lt;&gt;"",Summary_Irrigation_Alt_BMP&lt;&gt;""),"","{You have not completed the Irrigation tab.}")</f>
        <v>{You have not completed the Irrigation tab.}</v>
      </c>
      <c r="J60" s="880"/>
      <c r="K60" s="880"/>
      <c r="L60" s="880"/>
      <c r="N60" s="392"/>
      <c r="O60" s="827" t="b">
        <v>1</v>
      </c>
      <c r="P60" s="831" t="b">
        <v>0</v>
      </c>
      <c r="Q60" s="392"/>
      <c r="R60" s="392"/>
      <c r="S60" s="392"/>
      <c r="T60" s="392"/>
      <c r="U60" s="392"/>
      <c r="V60" s="392"/>
      <c r="W60" s="392"/>
      <c r="X60" s="392"/>
      <c r="Y60" s="392"/>
      <c r="Z60" s="392"/>
      <c r="AA60" s="392"/>
      <c r="AB60" s="392"/>
    </row>
    <row r="61" spans="1:28" s="394" customFormat="1" ht="47.25" customHeight="1" hidden="1">
      <c r="A61" s="392"/>
      <c r="B61" s="410"/>
      <c r="C61" s="784" t="s">
        <v>760</v>
      </c>
      <c r="D61" s="857">
        <f>IF(O61=TRUE,'10 Irrigation'!D18,"")</f>
      </c>
      <c r="E61" s="857"/>
      <c r="F61" s="857"/>
      <c r="G61" s="857"/>
      <c r="H61" s="857"/>
      <c r="I61" s="857"/>
      <c r="J61" s="857"/>
      <c r="K61" s="857"/>
      <c r="L61" s="857"/>
      <c r="N61" s="392"/>
      <c r="O61" s="828" t="b">
        <f>AND(P61=TRUE,ReadyForSummary_Irrigation)</f>
        <v>0</v>
      </c>
      <c r="P61" s="829" t="b">
        <v>0</v>
      </c>
      <c r="Q61" s="392"/>
      <c r="R61" s="392"/>
      <c r="S61" s="392"/>
      <c r="T61" s="392"/>
      <c r="U61" s="392"/>
      <c r="V61" s="392"/>
      <c r="W61" s="392"/>
      <c r="X61" s="392"/>
      <c r="Y61" s="392"/>
      <c r="Z61" s="392"/>
      <c r="AA61" s="392"/>
      <c r="AB61" s="392"/>
    </row>
    <row r="62" spans="1:28" s="394" customFormat="1" ht="23.25" customHeight="1" hidden="1">
      <c r="A62" s="392"/>
      <c r="B62" s="410"/>
      <c r="C62" s="822"/>
      <c r="D62" s="874">
        <f>IF(O61=TRUE,'10 Irrigation'!D19,"")</f>
      </c>
      <c r="E62" s="874"/>
      <c r="F62" s="874"/>
      <c r="G62" s="874"/>
      <c r="H62" s="818"/>
      <c r="I62" s="818"/>
      <c r="J62" s="818"/>
      <c r="K62" s="818"/>
      <c r="L62" s="818"/>
      <c r="N62" s="392"/>
      <c r="O62" s="828" t="b">
        <f>O61</f>
        <v>0</v>
      </c>
      <c r="P62" s="829"/>
      <c r="Q62" s="392"/>
      <c r="R62" s="392"/>
      <c r="S62" s="392"/>
      <c r="T62" s="392"/>
      <c r="U62" s="392"/>
      <c r="V62" s="392"/>
      <c r="W62" s="392"/>
      <c r="X62" s="392"/>
      <c r="Y62" s="392"/>
      <c r="Z62" s="392"/>
      <c r="AA62" s="392"/>
      <c r="AB62" s="392"/>
    </row>
    <row r="63" spans="1:28" s="394" customFormat="1" ht="47.25" customHeight="1" hidden="1">
      <c r="A63" s="392"/>
      <c r="B63" s="410"/>
      <c r="C63" s="784" t="s">
        <v>760</v>
      </c>
      <c r="D63" s="857">
        <f>IF(O63=TRUE,'10 Irrigation'!D20,"")</f>
      </c>
      <c r="E63" s="857"/>
      <c r="F63" s="857"/>
      <c r="G63" s="857"/>
      <c r="H63" s="857"/>
      <c r="I63" s="857"/>
      <c r="J63" s="857"/>
      <c r="K63" s="857"/>
      <c r="L63" s="857"/>
      <c r="N63" s="392"/>
      <c r="O63" s="828" t="b">
        <f>AND(P63=TRUE,ReadyForSummary_Irrigation)</f>
        <v>0</v>
      </c>
      <c r="P63" s="829" t="b">
        <v>1</v>
      </c>
      <c r="Q63" s="392"/>
      <c r="R63" s="392"/>
      <c r="S63" s="392"/>
      <c r="T63" s="392"/>
      <c r="U63" s="392"/>
      <c r="V63" s="392"/>
      <c r="W63" s="392"/>
      <c r="X63" s="392"/>
      <c r="Y63" s="392"/>
      <c r="Z63" s="392"/>
      <c r="AA63" s="392"/>
      <c r="AB63" s="392"/>
    </row>
    <row r="64" spans="1:28" s="394" customFormat="1" ht="17.25" customHeight="1" hidden="1">
      <c r="A64" s="392"/>
      <c r="B64" s="410"/>
      <c r="C64" s="784"/>
      <c r="D64" s="882">
        <f>IF(O63=TRUE,'10 Irrigation'!D21,"")</f>
      </c>
      <c r="E64" s="882"/>
      <c r="F64" s="882"/>
      <c r="G64" s="882"/>
      <c r="H64" s="695"/>
      <c r="I64" s="695"/>
      <c r="J64" s="695"/>
      <c r="K64" s="695"/>
      <c r="L64" s="695"/>
      <c r="N64" s="392"/>
      <c r="O64" s="828" t="b">
        <f>O63</f>
        <v>0</v>
      </c>
      <c r="P64" s="829"/>
      <c r="Q64" s="392"/>
      <c r="R64" s="392"/>
      <c r="S64" s="392"/>
      <c r="T64" s="392"/>
      <c r="U64" s="392"/>
      <c r="V64" s="392"/>
      <c r="W64" s="392"/>
      <c r="X64" s="392"/>
      <c r="Y64" s="392"/>
      <c r="Z64" s="392"/>
      <c r="AA64" s="392"/>
      <c r="AB64" s="392"/>
    </row>
    <row r="65" spans="1:28" s="394" customFormat="1" ht="36" customHeight="1" hidden="1">
      <c r="A65" s="392"/>
      <c r="B65" s="410"/>
      <c r="C65" s="784" t="s">
        <v>760</v>
      </c>
      <c r="D65" s="857">
        <f>IF(O65=TRUE,'10 Irrigation'!D22,"")</f>
      </c>
      <c r="E65" s="857"/>
      <c r="F65" s="857"/>
      <c r="G65" s="857"/>
      <c r="H65" s="857"/>
      <c r="I65" s="857"/>
      <c r="J65" s="857"/>
      <c r="K65" s="857"/>
      <c r="L65" s="857"/>
      <c r="N65" s="392"/>
      <c r="O65" s="828" t="b">
        <f>AND(P65=TRUE,ReadyForSummary_Irrigation)</f>
        <v>0</v>
      </c>
      <c r="P65" s="829" t="b">
        <v>0</v>
      </c>
      <c r="Q65" s="392"/>
      <c r="R65" s="392"/>
      <c r="S65" s="392"/>
      <c r="T65" s="392"/>
      <c r="U65" s="392"/>
      <c r="V65" s="392"/>
      <c r="W65" s="392"/>
      <c r="X65" s="392"/>
      <c r="Y65" s="392"/>
      <c r="Z65" s="392"/>
      <c r="AA65" s="392"/>
      <c r="AB65" s="392"/>
    </row>
    <row r="66" spans="1:28" s="394" customFormat="1" ht="38.25" customHeight="1" hidden="1">
      <c r="A66" s="392"/>
      <c r="B66" s="410"/>
      <c r="C66" s="784" t="s">
        <v>760</v>
      </c>
      <c r="D66" s="857">
        <f>IF(O66=TRUE,'10 Irrigation'!D23,"")</f>
      </c>
      <c r="E66" s="857"/>
      <c r="F66" s="857"/>
      <c r="G66" s="857"/>
      <c r="H66" s="857"/>
      <c r="I66" s="857"/>
      <c r="J66" s="857"/>
      <c r="K66" s="857"/>
      <c r="L66" s="857"/>
      <c r="N66" s="392"/>
      <c r="O66" s="828" t="b">
        <f>AND(P66=TRUE,ReadyForSummary_Irrigation)</f>
        <v>0</v>
      </c>
      <c r="P66" s="829" t="b">
        <v>1</v>
      </c>
      <c r="Q66" s="392"/>
      <c r="R66" s="392"/>
      <c r="S66" s="392"/>
      <c r="T66" s="392"/>
      <c r="U66" s="392"/>
      <c r="V66" s="392"/>
      <c r="W66" s="392"/>
      <c r="X66" s="392"/>
      <c r="Y66" s="392"/>
      <c r="Z66" s="392"/>
      <c r="AA66" s="392"/>
      <c r="AB66" s="392"/>
    </row>
    <row r="67" spans="1:28" s="394" customFormat="1" ht="32.25" customHeight="1" hidden="1">
      <c r="A67" s="392"/>
      <c r="B67" s="410"/>
      <c r="C67" s="784" t="s">
        <v>760</v>
      </c>
      <c r="D67" s="857">
        <f>IF(O67=TRUE,'10 Irrigation'!D24,"")</f>
      </c>
      <c r="E67" s="857"/>
      <c r="F67" s="857"/>
      <c r="G67" s="857"/>
      <c r="H67" s="857"/>
      <c r="I67" s="857"/>
      <c r="J67" s="857"/>
      <c r="K67" s="857"/>
      <c r="L67" s="857"/>
      <c r="N67" s="392"/>
      <c r="O67" s="828" t="b">
        <f>AND(P67=TRUE,ReadyForSummary_Irrigation)</f>
        <v>0</v>
      </c>
      <c r="P67" s="829" t="b">
        <v>1</v>
      </c>
      <c r="Q67" s="392"/>
      <c r="R67" s="392"/>
      <c r="S67" s="392"/>
      <c r="T67" s="392"/>
      <c r="U67" s="392"/>
      <c r="V67" s="392"/>
      <c r="W67" s="392"/>
      <c r="X67" s="392"/>
      <c r="Y67" s="392"/>
      <c r="Z67" s="392"/>
      <c r="AA67" s="392"/>
      <c r="AB67" s="392"/>
    </row>
    <row r="68" spans="1:28" s="394" customFormat="1" ht="23.25" customHeight="1" hidden="1">
      <c r="A68" s="392"/>
      <c r="B68" s="410"/>
      <c r="C68" s="822"/>
      <c r="D68" s="874">
        <f>IF(O67=TRUE,'10 Irrigation'!D25,"")</f>
      </c>
      <c r="E68" s="874"/>
      <c r="F68" s="874"/>
      <c r="G68" s="818"/>
      <c r="H68" s="818"/>
      <c r="I68" s="818"/>
      <c r="J68" s="818"/>
      <c r="K68" s="818"/>
      <c r="L68" s="818"/>
      <c r="N68" s="392"/>
      <c r="O68" s="828" t="b">
        <f>O67</f>
        <v>0</v>
      </c>
      <c r="P68" s="829"/>
      <c r="Q68" s="392"/>
      <c r="R68" s="392"/>
      <c r="S68" s="392"/>
      <c r="T68" s="392"/>
      <c r="U68" s="392"/>
      <c r="V68" s="392"/>
      <c r="W68" s="392"/>
      <c r="X68" s="392"/>
      <c r="Y68" s="392"/>
      <c r="Z68" s="392"/>
      <c r="AA68" s="392"/>
      <c r="AB68" s="392"/>
    </row>
    <row r="69" spans="1:28" s="394" customFormat="1" ht="31.5" customHeight="1" hidden="1">
      <c r="A69" s="392"/>
      <c r="B69" s="410"/>
      <c r="C69" s="784" t="s">
        <v>760</v>
      </c>
      <c r="D69" s="857">
        <f>IF(O69=TRUE,'10 Irrigation'!D26,"")</f>
      </c>
      <c r="E69" s="857"/>
      <c r="F69" s="857"/>
      <c r="G69" s="857"/>
      <c r="H69" s="857"/>
      <c r="I69" s="857"/>
      <c r="J69" s="857"/>
      <c r="K69" s="857"/>
      <c r="L69" s="857"/>
      <c r="N69" s="392"/>
      <c r="O69" s="828" t="b">
        <f>AND(P69=TRUE,ReadyForSummary_Irrigation)</f>
        <v>0</v>
      </c>
      <c r="P69" s="829" t="b">
        <v>0</v>
      </c>
      <c r="Q69" s="392"/>
      <c r="R69" s="392"/>
      <c r="S69" s="392"/>
      <c r="T69" s="392"/>
      <c r="U69" s="392"/>
      <c r="V69" s="392"/>
      <c r="W69" s="392"/>
      <c r="X69" s="392"/>
      <c r="Y69" s="392"/>
      <c r="Z69" s="392"/>
      <c r="AA69" s="392"/>
      <c r="AB69" s="392"/>
    </row>
    <row r="70" spans="1:28" s="394" customFormat="1" ht="23.25" customHeight="1" hidden="1">
      <c r="A70" s="392"/>
      <c r="B70" s="410"/>
      <c r="C70" s="822"/>
      <c r="D70" s="876">
        <f>IF(O69=TRUE,'10 Irrigation'!D27,"")</f>
      </c>
      <c r="E70" s="876"/>
      <c r="F70" s="876"/>
      <c r="G70" s="818"/>
      <c r="H70" s="818"/>
      <c r="I70" s="818"/>
      <c r="J70" s="818"/>
      <c r="K70" s="818"/>
      <c r="L70" s="818"/>
      <c r="N70" s="392"/>
      <c r="O70" s="828" t="b">
        <f>O69</f>
        <v>0</v>
      </c>
      <c r="P70" s="829"/>
      <c r="Q70" s="392"/>
      <c r="R70" s="392"/>
      <c r="S70" s="392"/>
      <c r="T70" s="392"/>
      <c r="U70" s="392"/>
      <c r="V70" s="392"/>
      <c r="W70" s="392"/>
      <c r="X70" s="392"/>
      <c r="Y70" s="392"/>
      <c r="Z70" s="392"/>
      <c r="AA70" s="392"/>
      <c r="AB70" s="392"/>
    </row>
    <row r="71" spans="1:28" s="394" customFormat="1" ht="32.25" customHeight="1" hidden="1">
      <c r="A71" s="392"/>
      <c r="B71" s="410"/>
      <c r="C71" s="784" t="s">
        <v>760</v>
      </c>
      <c r="D71" s="857">
        <f>IF(O71=TRUE,'10 Irrigation'!E31,"")</f>
      </c>
      <c r="E71" s="857"/>
      <c r="F71" s="857"/>
      <c r="G71" s="857"/>
      <c r="H71" s="857"/>
      <c r="I71" s="857"/>
      <c r="J71" s="857"/>
      <c r="K71" s="857"/>
      <c r="L71" s="857"/>
      <c r="N71" s="392"/>
      <c r="O71" s="828" t="b">
        <f>P71</f>
        <v>0</v>
      </c>
      <c r="P71" s="829" t="b">
        <v>0</v>
      </c>
      <c r="Q71" s="392"/>
      <c r="R71" s="392"/>
      <c r="S71" s="392"/>
      <c r="T71" s="392"/>
      <c r="U71" s="392"/>
      <c r="V71" s="392"/>
      <c r="W71" s="392"/>
      <c r="X71" s="392"/>
      <c r="Y71" s="392"/>
      <c r="Z71" s="392"/>
      <c r="AA71" s="392"/>
      <c r="AB71" s="392"/>
    </row>
    <row r="72" spans="1:28" s="394" customFormat="1" ht="23.25" customHeight="1" hidden="1">
      <c r="A72" s="392"/>
      <c r="B72" s="410"/>
      <c r="C72" s="833"/>
      <c r="D72" s="877">
        <f>IF(O71=TRUE,'10 Irrigation'!E32,"")</f>
      </c>
      <c r="E72" s="877"/>
      <c r="F72" s="877"/>
      <c r="G72" s="877"/>
      <c r="H72" s="818"/>
      <c r="I72" s="818"/>
      <c r="J72" s="818"/>
      <c r="K72" s="818"/>
      <c r="L72" s="818"/>
      <c r="N72" s="392"/>
      <c r="O72" s="828" t="b">
        <f>O71</f>
        <v>0</v>
      </c>
      <c r="P72" s="829"/>
      <c r="Q72" s="392"/>
      <c r="R72" s="392"/>
      <c r="S72" s="392"/>
      <c r="T72" s="392"/>
      <c r="U72" s="392"/>
      <c r="V72" s="392"/>
      <c r="W72" s="392"/>
      <c r="X72" s="392"/>
      <c r="Y72" s="392"/>
      <c r="Z72" s="392"/>
      <c r="AA72" s="392"/>
      <c r="AB72" s="392"/>
    </row>
    <row r="73" spans="1:28" s="12" customFormat="1" ht="22.5" customHeight="1" hidden="1">
      <c r="A73" s="13"/>
      <c r="B73" s="410"/>
      <c r="C73" s="792" t="s">
        <v>760</v>
      </c>
      <c r="D73" s="873">
        <f>IF(O73=TRUE,"There are no additional best management practice recommendations for this water use area.","")</f>
      </c>
      <c r="E73" s="873"/>
      <c r="F73" s="873"/>
      <c r="G73" s="873"/>
      <c r="H73" s="873"/>
      <c r="I73" s="873"/>
      <c r="J73" s="873"/>
      <c r="K73" s="873"/>
      <c r="L73" s="873"/>
      <c r="M73" s="3"/>
      <c r="N73" s="13"/>
      <c r="O73" s="828" t="b">
        <f>P73</f>
        <v>0</v>
      </c>
      <c r="P73" s="829" t="b">
        <v>0</v>
      </c>
      <c r="Q73" s="13"/>
      <c r="R73" s="13"/>
      <c r="S73" s="13"/>
      <c r="T73" s="13"/>
      <c r="U73" s="13"/>
      <c r="V73" s="13"/>
      <c r="W73" s="13"/>
      <c r="X73" s="13"/>
      <c r="Y73" s="13"/>
      <c r="Z73" s="13"/>
      <c r="AA73" s="13"/>
      <c r="AB73" s="13"/>
    </row>
    <row r="74" spans="1:28" s="394" customFormat="1" ht="23.25" customHeight="1">
      <c r="A74" s="392"/>
      <c r="B74" s="410"/>
      <c r="C74" s="872" t="s">
        <v>845</v>
      </c>
      <c r="D74" s="872"/>
      <c r="E74" s="872"/>
      <c r="F74" s="872"/>
      <c r="G74" s="872"/>
      <c r="H74" s="872"/>
      <c r="I74" s="880" t="str">
        <f>IF(OR(ReadyForSummary_Pool_Spa,Summary_Pool_Spa_No_BMP&lt;&gt;""),"","{You have not completed the Pools &amp; Spas tab.}")</f>
        <v>{You have not completed the Pools &amp; Spas tab.}</v>
      </c>
      <c r="J74" s="880"/>
      <c r="K74" s="880"/>
      <c r="L74" s="880"/>
      <c r="N74" s="392"/>
      <c r="O74" s="827" t="b">
        <v>1</v>
      </c>
      <c r="P74" s="831" t="b">
        <v>0</v>
      </c>
      <c r="Q74" s="392"/>
      <c r="R74" s="392"/>
      <c r="S74" s="392"/>
      <c r="T74" s="392"/>
      <c r="U74" s="392"/>
      <c r="V74" s="392"/>
      <c r="W74" s="392"/>
      <c r="X74" s="392"/>
      <c r="Y74" s="392"/>
      <c r="Z74" s="392"/>
      <c r="AA74" s="392"/>
      <c r="AB74" s="392"/>
    </row>
    <row r="75" spans="1:31" s="1" customFormat="1" ht="43.5" customHeight="1" hidden="1">
      <c r="A75" s="13"/>
      <c r="B75"/>
      <c r="C75" s="784" t="s">
        <v>760</v>
      </c>
      <c r="D75" s="857">
        <f>IF(O75=TRUE,'11 Pools &amp; Spas'!D29,"")</f>
      </c>
      <c r="E75" s="857"/>
      <c r="F75" s="857"/>
      <c r="G75" s="857"/>
      <c r="H75" s="857"/>
      <c r="I75" s="857"/>
      <c r="J75" s="857"/>
      <c r="K75" s="857"/>
      <c r="L75" s="857"/>
      <c r="M75" s="394"/>
      <c r="N75" s="37"/>
      <c r="O75" s="828" t="b">
        <f>AND(P75=TRUE,ReadyForSummary_Pool_Spa)</f>
        <v>0</v>
      </c>
      <c r="P75" s="829" t="b">
        <v>0</v>
      </c>
      <c r="Q75" s="37"/>
      <c r="R75" s="37"/>
      <c r="S75" s="37"/>
      <c r="T75" s="37"/>
      <c r="U75" s="37"/>
      <c r="V75" s="37"/>
      <c r="W75" s="37"/>
      <c r="X75" s="37"/>
      <c r="Y75" s="37"/>
      <c r="Z75" s="37"/>
      <c r="AA75" s="37"/>
      <c r="AB75" s="37"/>
      <c r="AC75" s="37"/>
      <c r="AD75" s="37"/>
      <c r="AE75" s="37"/>
    </row>
    <row r="76" spans="1:31" s="1" customFormat="1" ht="22.5" customHeight="1" hidden="1">
      <c r="A76" s="13"/>
      <c r="B76"/>
      <c r="C76" s="784" t="s">
        <v>760</v>
      </c>
      <c r="D76" s="873">
        <f>IF(O76=TRUE,'11 Pools &amp; Spas'!D30,"")</f>
      </c>
      <c r="E76" s="873"/>
      <c r="F76" s="873"/>
      <c r="G76" s="873"/>
      <c r="H76" s="873"/>
      <c r="I76" s="873"/>
      <c r="J76" s="873"/>
      <c r="K76" s="873"/>
      <c r="L76" s="873"/>
      <c r="M76" s="394"/>
      <c r="N76" s="37"/>
      <c r="O76" s="828" t="b">
        <f>AND(P76=TRUE,ReadyForSummary_Pool_Spa)</f>
        <v>0</v>
      </c>
      <c r="P76" s="829" t="b">
        <v>0</v>
      </c>
      <c r="Q76" s="37"/>
      <c r="R76" s="37"/>
      <c r="S76" s="37"/>
      <c r="T76" s="37"/>
      <c r="U76" s="37"/>
      <c r="V76" s="37"/>
      <c r="W76" s="37"/>
      <c r="X76" s="37"/>
      <c r="Y76" s="37"/>
      <c r="Z76" s="37"/>
      <c r="AA76" s="37"/>
      <c r="AB76" s="37"/>
      <c r="AC76" s="37"/>
      <c r="AD76" s="37"/>
      <c r="AE76" s="37"/>
    </row>
    <row r="77" spans="1:31" s="1" customFormat="1" ht="22.5" customHeight="1" hidden="1">
      <c r="A77" s="13"/>
      <c r="B77"/>
      <c r="C77" s="784" t="s">
        <v>760</v>
      </c>
      <c r="D77" s="873">
        <f>IF(O77=TRUE,'11 Pools &amp; Spas'!D31,"")</f>
      </c>
      <c r="E77" s="873"/>
      <c r="F77" s="873"/>
      <c r="G77" s="873"/>
      <c r="H77" s="873"/>
      <c r="I77" s="873"/>
      <c r="J77" s="873"/>
      <c r="K77" s="873"/>
      <c r="L77" s="873"/>
      <c r="M77" s="394"/>
      <c r="N77" s="37"/>
      <c r="O77" s="828" t="b">
        <f>AND(P77=TRUE,ReadyForSummary_Pool_Spa)</f>
        <v>0</v>
      </c>
      <c r="P77" s="829" t="b">
        <v>1</v>
      </c>
      <c r="Q77" s="37"/>
      <c r="R77" s="37"/>
      <c r="S77" s="37"/>
      <c r="T77" s="37"/>
      <c r="U77" s="37"/>
      <c r="V77" s="37"/>
      <c r="W77" s="37"/>
      <c r="X77" s="37"/>
      <c r="Y77" s="37"/>
      <c r="Z77" s="37"/>
      <c r="AA77" s="37"/>
      <c r="AB77" s="37"/>
      <c r="AC77" s="37"/>
      <c r="AD77" s="37"/>
      <c r="AE77" s="37"/>
    </row>
    <row r="78" spans="1:31" s="1" customFormat="1" ht="33" customHeight="1" hidden="1">
      <c r="A78" s="13"/>
      <c r="B78"/>
      <c r="C78" s="784" t="s">
        <v>760</v>
      </c>
      <c r="D78" s="857">
        <f>IF(O78=TRUE,'11 Pools &amp; Spas'!D32,"")</f>
      </c>
      <c r="E78" s="857"/>
      <c r="F78" s="857"/>
      <c r="G78" s="857"/>
      <c r="H78" s="857"/>
      <c r="I78" s="857"/>
      <c r="J78" s="857"/>
      <c r="K78" s="857"/>
      <c r="L78" s="857"/>
      <c r="M78" s="394"/>
      <c r="N78" s="37"/>
      <c r="O78" s="828" t="b">
        <f>AND(P78=TRUE,ReadyForSummary_Pool_Spa)</f>
        <v>0</v>
      </c>
      <c r="P78" s="829" t="b">
        <v>1</v>
      </c>
      <c r="Q78" s="37"/>
      <c r="R78" s="37"/>
      <c r="S78" s="37"/>
      <c r="T78" s="37"/>
      <c r="U78" s="37"/>
      <c r="V78" s="37"/>
      <c r="W78" s="37"/>
      <c r="X78" s="37"/>
      <c r="Y78" s="37"/>
      <c r="Z78" s="37"/>
      <c r="AA78" s="37"/>
      <c r="AB78" s="37"/>
      <c r="AC78" s="37"/>
      <c r="AD78" s="37"/>
      <c r="AE78" s="37"/>
    </row>
    <row r="79" spans="1:28" s="12" customFormat="1" ht="22.5" customHeight="1" hidden="1">
      <c r="A79" s="13"/>
      <c r="B79" s="410"/>
      <c r="C79" s="792" t="s">
        <v>760</v>
      </c>
      <c r="D79" s="873">
        <f>IF(O79=TRUE,IF(OR('11 Pools &amp; Spas'!Pool="Yes",'11 Pools &amp; Spas'!Spa="Yes"),"There are no additional best management practice recommendations for this water use area.",'11 Pools &amp; Spas'!NoBMPs),"")</f>
      </c>
      <c r="E79" s="873"/>
      <c r="F79" s="873"/>
      <c r="G79" s="873"/>
      <c r="H79" s="873"/>
      <c r="I79" s="873"/>
      <c r="J79" s="873"/>
      <c r="K79" s="873"/>
      <c r="L79" s="873"/>
      <c r="M79" s="3"/>
      <c r="N79" s="13"/>
      <c r="O79" s="828" t="b">
        <f>P79</f>
        <v>0</v>
      </c>
      <c r="P79" s="829" t="b">
        <v>0</v>
      </c>
      <c r="Q79" s="13"/>
      <c r="R79" s="13"/>
      <c r="S79" s="13"/>
      <c r="T79" s="13"/>
      <c r="U79" s="13"/>
      <c r="V79" s="13"/>
      <c r="W79" s="13"/>
      <c r="X79" s="13"/>
      <c r="Y79" s="13"/>
      <c r="Z79" s="13"/>
      <c r="AA79" s="13"/>
      <c r="AB79" s="13"/>
    </row>
    <row r="80" spans="1:28" s="12" customFormat="1" ht="27" customHeight="1">
      <c r="A80" s="13"/>
      <c r="B80" s="410"/>
      <c r="C80" s="872" t="s">
        <v>835</v>
      </c>
      <c r="D80" s="872"/>
      <c r="E80" s="872"/>
      <c r="F80" s="872"/>
      <c r="G80" s="872"/>
      <c r="H80" s="872"/>
      <c r="I80" s="823"/>
      <c r="J80" s="823"/>
      <c r="K80" s="823"/>
      <c r="L80" s="823"/>
      <c r="M80" s="3"/>
      <c r="N80" s="13"/>
      <c r="O80" s="13"/>
      <c r="P80" s="13"/>
      <c r="Q80" s="13"/>
      <c r="R80" s="13"/>
      <c r="S80" s="13"/>
      <c r="T80" s="13"/>
      <c r="U80" s="13"/>
      <c r="V80" s="13"/>
      <c r="W80" s="13"/>
      <c r="X80" s="13"/>
      <c r="Y80" s="13"/>
      <c r="Z80" s="13"/>
      <c r="AA80" s="13"/>
      <c r="AB80" s="13"/>
    </row>
    <row r="81" spans="1:28" s="12" customFormat="1" ht="18.75">
      <c r="A81" s="13"/>
      <c r="B81" s="410"/>
      <c r="C81" s="787" t="s">
        <v>760</v>
      </c>
      <c r="D81" s="875" t="s">
        <v>762</v>
      </c>
      <c r="E81" s="875"/>
      <c r="F81" s="875"/>
      <c r="G81" s="875"/>
      <c r="H81" s="875"/>
      <c r="I81" s="875"/>
      <c r="J81" s="875"/>
      <c r="K81" s="875"/>
      <c r="L81" s="823"/>
      <c r="M81" s="3"/>
      <c r="N81" s="13"/>
      <c r="O81" s="13"/>
      <c r="P81" s="13"/>
      <c r="Q81" s="13"/>
      <c r="R81" s="13"/>
      <c r="S81" s="13"/>
      <c r="T81" s="13"/>
      <c r="U81" s="13"/>
      <c r="V81" s="13"/>
      <c r="W81" s="13"/>
      <c r="X81" s="13"/>
      <c r="Y81" s="13"/>
      <c r="Z81" s="13"/>
      <c r="AA81" s="13"/>
      <c r="AB81" s="13"/>
    </row>
    <row r="82" spans="1:28" s="389" customFormat="1" ht="26.25" customHeight="1">
      <c r="A82" s="50"/>
      <c r="B82" s="412"/>
      <c r="C82" s="786" t="s">
        <v>760</v>
      </c>
      <c r="D82" s="868" t="s">
        <v>833</v>
      </c>
      <c r="E82" s="868"/>
      <c r="F82" s="868"/>
      <c r="G82" s="868"/>
      <c r="H82" s="881" t="s">
        <v>834</v>
      </c>
      <c r="I82" s="881"/>
      <c r="J82" s="837"/>
      <c r="K82" s="837"/>
      <c r="L82" s="836"/>
      <c r="M82" s="451"/>
      <c r="N82" s="50"/>
      <c r="O82" s="50"/>
      <c r="P82" s="50"/>
      <c r="Q82" s="50"/>
      <c r="R82" s="50"/>
      <c r="S82" s="50"/>
      <c r="T82" s="50"/>
      <c r="U82" s="50"/>
      <c r="V82" s="50"/>
      <c r="W82" s="50"/>
      <c r="X82" s="50"/>
      <c r="Y82" s="50"/>
      <c r="Z82" s="50"/>
      <c r="AA82" s="50"/>
      <c r="AB82" s="50"/>
    </row>
    <row r="83" spans="1:28" s="12" customFormat="1" ht="19.5" customHeight="1">
      <c r="A83" s="13"/>
      <c r="B83" s="654" t="s">
        <v>877</v>
      </c>
      <c r="C83" s="409"/>
      <c r="D83" s="13"/>
      <c r="E83" s="13"/>
      <c r="F83" s="13"/>
      <c r="G83" s="13"/>
      <c r="H83" s="13"/>
      <c r="I83" s="13"/>
      <c r="J83" s="13"/>
      <c r="K83" s="13"/>
      <c r="L83" s="13"/>
      <c r="M83" s="13"/>
      <c r="N83" s="13"/>
      <c r="O83" s="13"/>
      <c r="P83" s="13"/>
      <c r="Q83" s="13"/>
      <c r="R83" s="13"/>
      <c r="S83" s="13"/>
      <c r="T83" s="13"/>
      <c r="U83" s="13"/>
      <c r="V83" s="13"/>
      <c r="W83" s="13"/>
      <c r="X83" s="13"/>
      <c r="Y83" s="13"/>
      <c r="Z83" s="13"/>
      <c r="AA83" s="13"/>
      <c r="AB83" s="13"/>
    </row>
    <row r="84" spans="1:28" s="12" customFormat="1" ht="15">
      <c r="A84" s="13"/>
      <c r="B84" s="409"/>
      <c r="C84" s="409"/>
      <c r="D84" s="13"/>
      <c r="E84" s="13"/>
      <c r="F84" s="13"/>
      <c r="G84" s="13"/>
      <c r="H84" s="13"/>
      <c r="I84" s="13"/>
      <c r="J84" s="13"/>
      <c r="K84" s="13"/>
      <c r="L84" s="13"/>
      <c r="M84" s="13"/>
      <c r="N84" s="13"/>
      <c r="O84" s="13"/>
      <c r="P84" s="13"/>
      <c r="Q84" s="13"/>
      <c r="R84" s="13"/>
      <c r="S84" s="13"/>
      <c r="T84" s="13"/>
      <c r="U84" s="13"/>
      <c r="V84" s="13"/>
      <c r="W84" s="13"/>
      <c r="X84" s="13"/>
      <c r="Y84" s="13"/>
      <c r="Z84" s="13"/>
      <c r="AA84" s="13"/>
      <c r="AB84" s="13"/>
    </row>
    <row r="85" spans="1:28" s="12" customFormat="1" ht="15">
      <c r="A85" s="13"/>
      <c r="B85" s="409"/>
      <c r="C85" s="409"/>
      <c r="D85" s="13"/>
      <c r="E85" s="13"/>
      <c r="F85" s="13"/>
      <c r="G85" s="13"/>
      <c r="H85" s="13"/>
      <c r="I85" s="13"/>
      <c r="J85" s="13"/>
      <c r="K85" s="13"/>
      <c r="L85" s="13"/>
      <c r="M85" s="13"/>
      <c r="N85" s="13"/>
      <c r="O85" s="13"/>
      <c r="P85" s="13"/>
      <c r="Q85" s="13"/>
      <c r="R85" s="13"/>
      <c r="S85" s="13"/>
      <c r="T85" s="13"/>
      <c r="U85" s="13"/>
      <c r="V85" s="13"/>
      <c r="W85" s="13"/>
      <c r="X85" s="13"/>
      <c r="Y85" s="13"/>
      <c r="Z85" s="13"/>
      <c r="AA85" s="13"/>
      <c r="AB85" s="13"/>
    </row>
    <row r="86" spans="1:28" s="12" customFormat="1" ht="15">
      <c r="A86" s="13"/>
      <c r="B86" s="409"/>
      <c r="C86" s="409"/>
      <c r="D86" s="13"/>
      <c r="E86" s="13"/>
      <c r="F86" s="13"/>
      <c r="G86" s="13"/>
      <c r="H86" s="13"/>
      <c r="I86" s="13"/>
      <c r="J86" s="13"/>
      <c r="K86" s="13"/>
      <c r="L86" s="13"/>
      <c r="M86" s="13"/>
      <c r="N86" s="13"/>
      <c r="O86" s="13"/>
      <c r="P86" s="13"/>
      <c r="Q86" s="13"/>
      <c r="R86" s="13"/>
      <c r="S86" s="13"/>
      <c r="T86" s="13"/>
      <c r="U86" s="13"/>
      <c r="V86" s="13"/>
      <c r="W86" s="13"/>
      <c r="X86" s="13"/>
      <c r="Y86" s="13"/>
      <c r="Z86" s="13"/>
      <c r="AA86" s="13"/>
      <c r="AB86" s="13"/>
    </row>
    <row r="87" spans="1:28" s="12" customFormat="1" ht="15">
      <c r="A87" s="13"/>
      <c r="B87" s="409"/>
      <c r="C87" s="409"/>
      <c r="D87" s="13"/>
      <c r="E87" s="13"/>
      <c r="F87" s="13"/>
      <c r="G87" s="13"/>
      <c r="H87" s="13"/>
      <c r="I87" s="13"/>
      <c r="J87" s="13"/>
      <c r="K87" s="13"/>
      <c r="L87" s="13"/>
      <c r="M87" s="13"/>
      <c r="N87" s="13"/>
      <c r="O87" s="13"/>
      <c r="P87" s="13"/>
      <c r="Q87" s="13"/>
      <c r="R87" s="13"/>
      <c r="S87" s="13"/>
      <c r="T87" s="13"/>
      <c r="U87" s="13"/>
      <c r="V87" s="13"/>
      <c r="W87" s="13"/>
      <c r="X87" s="13"/>
      <c r="Y87" s="13"/>
      <c r="Z87" s="13"/>
      <c r="AA87" s="13"/>
      <c r="AB87" s="13"/>
    </row>
    <row r="88" spans="1:28" s="12" customFormat="1" ht="15">
      <c r="A88" s="13"/>
      <c r="B88" s="409"/>
      <c r="C88" s="409"/>
      <c r="D88" s="13"/>
      <c r="E88" s="13"/>
      <c r="F88" s="13"/>
      <c r="G88" s="13"/>
      <c r="H88" s="13"/>
      <c r="I88" s="13"/>
      <c r="J88" s="13"/>
      <c r="K88" s="13"/>
      <c r="L88" s="13"/>
      <c r="M88" s="13"/>
      <c r="N88" s="13"/>
      <c r="O88" s="13"/>
      <c r="P88" s="13"/>
      <c r="Q88" s="13"/>
      <c r="R88" s="13"/>
      <c r="S88" s="13"/>
      <c r="T88" s="13"/>
      <c r="U88" s="13"/>
      <c r="V88" s="13"/>
      <c r="W88" s="13"/>
      <c r="X88" s="13"/>
      <c r="Y88" s="13"/>
      <c r="Z88" s="13"/>
      <c r="AA88" s="13"/>
      <c r="AB88" s="13"/>
    </row>
    <row r="89" spans="1:28" s="12" customFormat="1" ht="15">
      <c r="A89" s="13"/>
      <c r="B89" s="409"/>
      <c r="C89" s="409"/>
      <c r="D89" s="13"/>
      <c r="E89" s="13"/>
      <c r="F89" s="13"/>
      <c r="G89" s="13"/>
      <c r="H89" s="13"/>
      <c r="I89" s="13"/>
      <c r="J89" s="13"/>
      <c r="K89" s="13"/>
      <c r="L89" s="13"/>
      <c r="M89" s="13"/>
      <c r="N89" s="13"/>
      <c r="O89" s="13"/>
      <c r="P89" s="13"/>
      <c r="Q89" s="13"/>
      <c r="R89" s="13"/>
      <c r="S89" s="13"/>
      <c r="T89" s="13"/>
      <c r="U89" s="13"/>
      <c r="V89" s="13"/>
      <c r="W89" s="13"/>
      <c r="X89" s="13"/>
      <c r="Y89" s="13"/>
      <c r="Z89" s="13"/>
      <c r="AA89" s="13"/>
      <c r="AB89" s="13"/>
    </row>
    <row r="90" spans="1:28" s="12" customFormat="1" ht="15">
      <c r="A90" s="13"/>
      <c r="B90" s="409"/>
      <c r="C90" s="409"/>
      <c r="D90" s="13"/>
      <c r="E90" s="13"/>
      <c r="F90" s="13"/>
      <c r="G90" s="13"/>
      <c r="H90" s="13"/>
      <c r="I90" s="13"/>
      <c r="J90" s="13"/>
      <c r="K90" s="13"/>
      <c r="L90" s="13"/>
      <c r="M90" s="13"/>
      <c r="N90" s="13"/>
      <c r="O90" s="13"/>
      <c r="P90" s="13"/>
      <c r="Q90" s="13"/>
      <c r="R90" s="13"/>
      <c r="S90" s="13"/>
      <c r="T90" s="13"/>
      <c r="U90" s="13"/>
      <c r="V90" s="13"/>
      <c r="W90" s="13"/>
      <c r="X90" s="13"/>
      <c r="Y90" s="13"/>
      <c r="Z90" s="13"/>
      <c r="AA90" s="13"/>
      <c r="AB90" s="13"/>
    </row>
    <row r="91" spans="1:28" s="12" customFormat="1" ht="15">
      <c r="A91" s="13"/>
      <c r="B91" s="409"/>
      <c r="C91" s="409"/>
      <c r="D91" s="13"/>
      <c r="E91" s="13"/>
      <c r="F91" s="13"/>
      <c r="G91" s="13"/>
      <c r="H91" s="13"/>
      <c r="I91" s="13"/>
      <c r="J91" s="13"/>
      <c r="K91" s="13"/>
      <c r="L91" s="13"/>
      <c r="M91" s="13"/>
      <c r="N91" s="13"/>
      <c r="O91" s="13"/>
      <c r="P91" s="13"/>
      <c r="Q91" s="13"/>
      <c r="R91" s="13"/>
      <c r="S91" s="13"/>
      <c r="T91" s="13"/>
      <c r="U91" s="13"/>
      <c r="V91" s="13"/>
      <c r="W91" s="13"/>
      <c r="X91" s="13"/>
      <c r="Y91" s="13"/>
      <c r="Z91" s="13"/>
      <c r="AA91" s="13"/>
      <c r="AB91" s="13"/>
    </row>
    <row r="92" spans="1:28" s="12" customFormat="1" ht="15">
      <c r="A92" s="13"/>
      <c r="B92" s="409"/>
      <c r="C92" s="409"/>
      <c r="D92" s="13"/>
      <c r="E92" s="13"/>
      <c r="F92" s="13"/>
      <c r="G92" s="13"/>
      <c r="H92" s="13"/>
      <c r="I92" s="13"/>
      <c r="J92" s="13"/>
      <c r="K92" s="13"/>
      <c r="L92" s="13"/>
      <c r="M92" s="13"/>
      <c r="N92" s="13"/>
      <c r="O92" s="13"/>
      <c r="P92" s="13"/>
      <c r="Q92" s="13"/>
      <c r="R92" s="13"/>
      <c r="S92" s="13"/>
      <c r="T92" s="13"/>
      <c r="U92" s="13"/>
      <c r="V92" s="13"/>
      <c r="W92" s="13"/>
      <c r="X92" s="13"/>
      <c r="Y92" s="13"/>
      <c r="Z92" s="13"/>
      <c r="AA92" s="13"/>
      <c r="AB92" s="13"/>
    </row>
    <row r="93" spans="1:28" s="12" customFormat="1" ht="15">
      <c r="A93" s="13"/>
      <c r="B93" s="409"/>
      <c r="C93" s="409"/>
      <c r="D93" s="13"/>
      <c r="E93" s="13"/>
      <c r="F93" s="13"/>
      <c r="G93" s="13"/>
      <c r="H93" s="13"/>
      <c r="I93" s="13"/>
      <c r="J93" s="13"/>
      <c r="K93" s="13"/>
      <c r="L93" s="13"/>
      <c r="M93" s="13"/>
      <c r="N93" s="13"/>
      <c r="O93" s="13"/>
      <c r="P93" s="13"/>
      <c r="Q93" s="13"/>
      <c r="R93" s="13"/>
      <c r="S93" s="13"/>
      <c r="T93" s="13"/>
      <c r="U93" s="13"/>
      <c r="V93" s="13"/>
      <c r="W93" s="13"/>
      <c r="X93" s="13"/>
      <c r="Y93" s="13"/>
      <c r="Z93" s="13"/>
      <c r="AA93" s="13"/>
      <c r="AB93" s="13"/>
    </row>
    <row r="94" spans="1:28" s="12" customFormat="1" ht="15">
      <c r="A94" s="13"/>
      <c r="B94" s="409"/>
      <c r="C94" s="409"/>
      <c r="D94" s="13"/>
      <c r="E94" s="13"/>
      <c r="F94" s="13"/>
      <c r="G94" s="13"/>
      <c r="H94" s="13"/>
      <c r="I94" s="13"/>
      <c r="J94" s="13"/>
      <c r="K94" s="13"/>
      <c r="L94" s="13"/>
      <c r="M94" s="13"/>
      <c r="N94" s="13"/>
      <c r="O94" s="13"/>
      <c r="P94" s="13"/>
      <c r="Q94" s="13"/>
      <c r="R94" s="13"/>
      <c r="S94" s="13"/>
      <c r="T94" s="13"/>
      <c r="U94" s="13"/>
      <c r="V94" s="13"/>
      <c r="W94" s="13"/>
      <c r="X94" s="13"/>
      <c r="Y94" s="13"/>
      <c r="Z94" s="13"/>
      <c r="AA94" s="13"/>
      <c r="AB94" s="13"/>
    </row>
    <row r="95" spans="1:28" s="12" customFormat="1" ht="15">
      <c r="A95" s="13"/>
      <c r="B95" s="409"/>
      <c r="C95" s="409"/>
      <c r="D95" s="13"/>
      <c r="E95" s="13"/>
      <c r="F95" s="13"/>
      <c r="G95" s="13"/>
      <c r="H95" s="13"/>
      <c r="I95" s="13"/>
      <c r="J95" s="13"/>
      <c r="K95" s="13"/>
      <c r="L95" s="13"/>
      <c r="M95" s="13"/>
      <c r="N95" s="13"/>
      <c r="O95" s="13"/>
      <c r="P95" s="13"/>
      <c r="Q95" s="13"/>
      <c r="R95" s="13"/>
      <c r="S95" s="13"/>
      <c r="T95" s="13"/>
      <c r="U95" s="13"/>
      <c r="V95" s="13"/>
      <c r="W95" s="13"/>
      <c r="X95" s="13"/>
      <c r="Y95" s="13"/>
      <c r="Z95" s="13"/>
      <c r="AA95" s="13"/>
      <c r="AB95" s="13"/>
    </row>
    <row r="96" spans="1:28" s="12" customFormat="1" ht="15">
      <c r="A96" s="13"/>
      <c r="B96" s="409"/>
      <c r="C96" s="409"/>
      <c r="D96" s="13"/>
      <c r="E96" s="13"/>
      <c r="F96" s="13"/>
      <c r="G96" s="13"/>
      <c r="H96" s="13"/>
      <c r="I96" s="13"/>
      <c r="J96" s="13"/>
      <c r="K96" s="13"/>
      <c r="L96" s="13"/>
      <c r="M96" s="13"/>
      <c r="N96" s="13"/>
      <c r="O96" s="13"/>
      <c r="P96" s="13"/>
      <c r="Q96" s="13"/>
      <c r="R96" s="13"/>
      <c r="S96" s="13"/>
      <c r="T96" s="13"/>
      <c r="U96" s="13"/>
      <c r="V96" s="13"/>
      <c r="W96" s="13"/>
      <c r="X96" s="13"/>
      <c r="Y96" s="13"/>
      <c r="Z96" s="13"/>
      <c r="AA96" s="13"/>
      <c r="AB96" s="13"/>
    </row>
    <row r="97" spans="1:28" s="12" customFormat="1" ht="15">
      <c r="A97" s="13"/>
      <c r="B97" s="409"/>
      <c r="C97" s="409"/>
      <c r="D97" s="13"/>
      <c r="E97" s="13"/>
      <c r="F97" s="13"/>
      <c r="G97" s="13"/>
      <c r="H97" s="13"/>
      <c r="I97" s="13"/>
      <c r="J97" s="13"/>
      <c r="K97" s="13"/>
      <c r="L97" s="13"/>
      <c r="M97" s="13"/>
      <c r="N97" s="13"/>
      <c r="O97" s="13"/>
      <c r="P97" s="13"/>
      <c r="Q97" s="13"/>
      <c r="R97" s="13"/>
      <c r="S97" s="13"/>
      <c r="T97" s="13"/>
      <c r="U97" s="13"/>
      <c r="V97" s="13"/>
      <c r="W97" s="13"/>
      <c r="X97" s="13"/>
      <c r="Y97" s="13"/>
      <c r="Z97" s="13"/>
      <c r="AA97" s="13"/>
      <c r="AB97" s="13"/>
    </row>
    <row r="98" spans="1:28" s="12" customFormat="1" ht="15">
      <c r="A98" s="13"/>
      <c r="B98" s="409"/>
      <c r="C98" s="409"/>
      <c r="D98" s="13"/>
      <c r="E98" s="13"/>
      <c r="F98" s="13"/>
      <c r="G98" s="13"/>
      <c r="H98" s="13"/>
      <c r="I98" s="13"/>
      <c r="J98" s="13"/>
      <c r="K98" s="13"/>
      <c r="L98" s="13"/>
      <c r="M98" s="13"/>
      <c r="N98" s="13"/>
      <c r="O98" s="13"/>
      <c r="P98" s="13"/>
      <c r="Q98" s="13"/>
      <c r="R98" s="13"/>
      <c r="S98" s="13"/>
      <c r="T98" s="13"/>
      <c r="U98" s="13"/>
      <c r="V98" s="13"/>
      <c r="W98" s="13"/>
      <c r="X98" s="13"/>
      <c r="Y98" s="13"/>
      <c r="Z98" s="13"/>
      <c r="AA98" s="13"/>
      <c r="AB98" s="13"/>
    </row>
    <row r="99" spans="1:28" s="12" customFormat="1" ht="15">
      <c r="A99" s="13"/>
      <c r="B99" s="409"/>
      <c r="C99" s="409"/>
      <c r="D99" s="13"/>
      <c r="E99" s="13"/>
      <c r="F99" s="13"/>
      <c r="G99" s="13"/>
      <c r="H99" s="13"/>
      <c r="I99" s="13"/>
      <c r="J99" s="13"/>
      <c r="K99" s="13"/>
      <c r="L99" s="13"/>
      <c r="M99" s="13"/>
      <c r="N99" s="13"/>
      <c r="O99" s="13"/>
      <c r="P99" s="13"/>
      <c r="Q99" s="13"/>
      <c r="R99" s="13"/>
      <c r="S99" s="13"/>
      <c r="T99" s="13"/>
      <c r="U99" s="13"/>
      <c r="V99" s="13"/>
      <c r="W99" s="13"/>
      <c r="X99" s="13"/>
      <c r="Y99" s="13"/>
      <c r="Z99" s="13"/>
      <c r="AA99" s="13"/>
      <c r="AB99" s="13"/>
    </row>
    <row r="100" spans="1:28" s="12" customFormat="1" ht="15">
      <c r="A100" s="13"/>
      <c r="B100" s="409"/>
      <c r="C100" s="409"/>
      <c r="D100" s="13"/>
      <c r="E100" s="13"/>
      <c r="F100" s="13"/>
      <c r="G100" s="13"/>
      <c r="H100" s="13"/>
      <c r="I100" s="13"/>
      <c r="J100" s="13"/>
      <c r="K100" s="13"/>
      <c r="L100" s="13"/>
      <c r="M100" s="13"/>
      <c r="N100" s="13"/>
      <c r="O100" s="13"/>
      <c r="P100" s="13"/>
      <c r="Q100" s="13"/>
      <c r="R100" s="13"/>
      <c r="S100" s="13"/>
      <c r="T100" s="13"/>
      <c r="U100" s="13"/>
      <c r="V100" s="13"/>
      <c r="W100" s="13"/>
      <c r="X100" s="13"/>
      <c r="Y100" s="13"/>
      <c r="Z100" s="13"/>
      <c r="AA100" s="13"/>
      <c r="AB100" s="13"/>
    </row>
    <row r="101" spans="1:28" s="12" customFormat="1" ht="15">
      <c r="A101" s="13"/>
      <c r="B101" s="409"/>
      <c r="C101" s="409"/>
      <c r="D101" s="13"/>
      <c r="E101" s="13"/>
      <c r="F101" s="13"/>
      <c r="G101" s="13"/>
      <c r="H101" s="13"/>
      <c r="I101" s="13"/>
      <c r="J101" s="13"/>
      <c r="K101" s="13"/>
      <c r="L101" s="13"/>
      <c r="M101" s="13"/>
      <c r="N101" s="13"/>
      <c r="O101" s="13"/>
      <c r="P101" s="13"/>
      <c r="Q101" s="13"/>
      <c r="R101" s="13"/>
      <c r="S101" s="13"/>
      <c r="T101" s="13"/>
      <c r="U101" s="13"/>
      <c r="V101" s="13"/>
      <c r="W101" s="13"/>
      <c r="X101" s="13"/>
      <c r="Y101" s="13"/>
      <c r="Z101" s="13"/>
      <c r="AA101" s="13"/>
      <c r="AB101" s="13"/>
    </row>
    <row r="102" spans="1:28" s="12" customFormat="1" ht="15">
      <c r="A102" s="13"/>
      <c r="B102" s="409"/>
      <c r="C102" s="409"/>
      <c r="D102" s="13"/>
      <c r="E102" s="13"/>
      <c r="F102" s="13"/>
      <c r="G102" s="13"/>
      <c r="H102" s="13"/>
      <c r="I102" s="13"/>
      <c r="J102" s="13"/>
      <c r="K102" s="13"/>
      <c r="L102" s="13"/>
      <c r="M102" s="13"/>
      <c r="N102" s="13"/>
      <c r="O102" s="13"/>
      <c r="P102" s="13"/>
      <c r="Q102" s="13"/>
      <c r="R102" s="13"/>
      <c r="S102" s="13"/>
      <c r="T102" s="13"/>
      <c r="U102" s="13"/>
      <c r="V102" s="13"/>
      <c r="W102" s="13"/>
      <c r="X102" s="13"/>
      <c r="Y102" s="13"/>
      <c r="Z102" s="13"/>
      <c r="AA102" s="13"/>
      <c r="AB102" s="13"/>
    </row>
    <row r="103" spans="1:28" s="12" customFormat="1" ht="15">
      <c r="A103" s="13"/>
      <c r="B103" s="409"/>
      <c r="C103" s="409"/>
      <c r="D103" s="13"/>
      <c r="E103" s="13"/>
      <c r="F103" s="13"/>
      <c r="G103" s="13"/>
      <c r="H103" s="13"/>
      <c r="I103" s="13"/>
      <c r="J103" s="13"/>
      <c r="K103" s="13"/>
      <c r="L103" s="13"/>
      <c r="M103" s="13"/>
      <c r="N103" s="13"/>
      <c r="O103" s="13"/>
      <c r="P103" s="13"/>
      <c r="Q103" s="13"/>
      <c r="R103" s="13"/>
      <c r="S103" s="13"/>
      <c r="T103" s="13"/>
      <c r="U103" s="13"/>
      <c r="V103" s="13"/>
      <c r="W103" s="13"/>
      <c r="X103" s="13"/>
      <c r="Y103" s="13"/>
      <c r="Z103" s="13"/>
      <c r="AA103" s="13"/>
      <c r="AB103" s="13"/>
    </row>
    <row r="104" spans="1:28" s="12" customFormat="1" ht="15">
      <c r="A104" s="13"/>
      <c r="B104" s="409"/>
      <c r="C104" s="409"/>
      <c r="D104" s="13"/>
      <c r="E104" s="13"/>
      <c r="F104" s="13"/>
      <c r="G104" s="13"/>
      <c r="H104" s="13"/>
      <c r="I104" s="13"/>
      <c r="J104" s="13"/>
      <c r="K104" s="13"/>
      <c r="L104" s="13"/>
      <c r="M104" s="13"/>
      <c r="N104" s="13"/>
      <c r="O104" s="13"/>
      <c r="P104" s="13"/>
      <c r="Q104" s="13"/>
      <c r="R104" s="13"/>
      <c r="S104" s="13"/>
      <c r="T104" s="13"/>
      <c r="U104" s="13"/>
      <c r="V104" s="13"/>
      <c r="W104" s="13"/>
      <c r="X104" s="13"/>
      <c r="Y104" s="13"/>
      <c r="Z104" s="13"/>
      <c r="AA104" s="13"/>
      <c r="AB104" s="13"/>
    </row>
    <row r="105" spans="1:28" s="12" customFormat="1" ht="15">
      <c r="A105" s="13"/>
      <c r="B105" s="409"/>
      <c r="C105" s="409"/>
      <c r="D105" s="13"/>
      <c r="E105" s="13"/>
      <c r="F105" s="13"/>
      <c r="G105" s="13"/>
      <c r="H105" s="13"/>
      <c r="I105" s="13"/>
      <c r="J105" s="13"/>
      <c r="K105" s="13"/>
      <c r="L105" s="13"/>
      <c r="M105" s="13"/>
      <c r="N105" s="13"/>
      <c r="O105" s="13"/>
      <c r="P105" s="13"/>
      <c r="Q105" s="13"/>
      <c r="R105" s="13"/>
      <c r="S105" s="13"/>
      <c r="T105" s="13"/>
      <c r="U105" s="13"/>
      <c r="V105" s="13"/>
      <c r="W105" s="13"/>
      <c r="X105" s="13"/>
      <c r="Y105" s="13"/>
      <c r="Z105" s="13"/>
      <c r="AA105" s="13"/>
      <c r="AB105" s="13"/>
    </row>
    <row r="106" spans="1:28" s="12" customFormat="1" ht="15">
      <c r="A106" s="13"/>
      <c r="B106" s="409"/>
      <c r="C106" s="409"/>
      <c r="D106" s="13"/>
      <c r="E106" s="13"/>
      <c r="F106" s="13"/>
      <c r="G106" s="13"/>
      <c r="H106" s="13"/>
      <c r="I106" s="13"/>
      <c r="J106" s="13"/>
      <c r="K106" s="13"/>
      <c r="L106" s="13"/>
      <c r="M106" s="13"/>
      <c r="N106" s="13"/>
      <c r="O106" s="13"/>
      <c r="P106" s="13"/>
      <c r="Q106" s="13"/>
      <c r="R106" s="13"/>
      <c r="S106" s="13"/>
      <c r="T106" s="13"/>
      <c r="U106" s="13"/>
      <c r="V106" s="13"/>
      <c r="W106" s="13"/>
      <c r="X106" s="13"/>
      <c r="Y106" s="13"/>
      <c r="Z106" s="13"/>
      <c r="AA106" s="13"/>
      <c r="AB106" s="13"/>
    </row>
    <row r="107" spans="1:28" s="12" customFormat="1" ht="15">
      <c r="A107" s="13"/>
      <c r="B107" s="409"/>
      <c r="C107" s="409"/>
      <c r="D107" s="13"/>
      <c r="E107" s="13"/>
      <c r="F107" s="13"/>
      <c r="G107" s="13"/>
      <c r="H107" s="13"/>
      <c r="I107" s="13"/>
      <c r="J107" s="13"/>
      <c r="K107" s="13"/>
      <c r="L107" s="13"/>
      <c r="M107" s="13"/>
      <c r="N107" s="13"/>
      <c r="O107" s="13"/>
      <c r="P107" s="13"/>
      <c r="Q107" s="13"/>
      <c r="R107" s="13"/>
      <c r="S107" s="13"/>
      <c r="T107" s="13"/>
      <c r="U107" s="13"/>
      <c r="V107" s="13"/>
      <c r="W107" s="13"/>
      <c r="X107" s="13"/>
      <c r="Y107" s="13"/>
      <c r="Z107" s="13"/>
      <c r="AA107" s="13"/>
      <c r="AB107" s="13"/>
    </row>
    <row r="108" spans="1:28" s="12" customFormat="1" ht="15">
      <c r="A108" s="13"/>
      <c r="B108" s="409"/>
      <c r="C108" s="409"/>
      <c r="D108" s="13"/>
      <c r="E108" s="13"/>
      <c r="F108" s="13"/>
      <c r="G108" s="13"/>
      <c r="H108" s="13"/>
      <c r="I108" s="13"/>
      <c r="J108" s="13"/>
      <c r="K108" s="13"/>
      <c r="L108" s="13"/>
      <c r="M108" s="13"/>
      <c r="N108" s="13"/>
      <c r="O108" s="13"/>
      <c r="P108" s="13"/>
      <c r="Q108" s="13"/>
      <c r="R108" s="13"/>
      <c r="S108" s="13"/>
      <c r="T108" s="13"/>
      <c r="U108" s="13"/>
      <c r="V108" s="13"/>
      <c r="W108" s="13"/>
      <c r="X108" s="13"/>
      <c r="Y108" s="13"/>
      <c r="Z108" s="13"/>
      <c r="AA108" s="13"/>
      <c r="AB108" s="13"/>
    </row>
    <row r="109" spans="1:28" s="12" customFormat="1" ht="15">
      <c r="A109" s="13"/>
      <c r="B109" s="409"/>
      <c r="C109" s="409"/>
      <c r="D109" s="13"/>
      <c r="E109" s="13"/>
      <c r="F109" s="13"/>
      <c r="G109" s="13"/>
      <c r="H109" s="13"/>
      <c r="I109" s="13"/>
      <c r="J109" s="13"/>
      <c r="K109" s="13"/>
      <c r="L109" s="13"/>
      <c r="M109" s="13"/>
      <c r="N109" s="13"/>
      <c r="O109" s="13"/>
      <c r="P109" s="13"/>
      <c r="Q109" s="13"/>
      <c r="R109" s="13"/>
      <c r="S109" s="13"/>
      <c r="T109" s="13"/>
      <c r="U109" s="13"/>
      <c r="V109" s="13"/>
      <c r="W109" s="13"/>
      <c r="X109" s="13"/>
      <c r="Y109" s="13"/>
      <c r="Z109" s="13"/>
      <c r="AA109" s="13"/>
      <c r="AB109" s="13"/>
    </row>
    <row r="110" spans="1:28" s="12" customFormat="1" ht="15">
      <c r="A110" s="13"/>
      <c r="B110" s="409"/>
      <c r="C110" s="409"/>
      <c r="D110" s="13"/>
      <c r="E110" s="13"/>
      <c r="F110" s="13"/>
      <c r="G110" s="13"/>
      <c r="H110" s="13"/>
      <c r="I110" s="13"/>
      <c r="J110" s="13"/>
      <c r="K110" s="13"/>
      <c r="L110" s="13"/>
      <c r="M110" s="13"/>
      <c r="N110" s="13"/>
      <c r="O110" s="13"/>
      <c r="P110" s="13"/>
      <c r="Q110" s="13"/>
      <c r="R110" s="13"/>
      <c r="S110" s="13"/>
      <c r="T110" s="13"/>
      <c r="U110" s="13"/>
      <c r="V110" s="13"/>
      <c r="W110" s="13"/>
      <c r="X110" s="13"/>
      <c r="Y110" s="13"/>
      <c r="Z110" s="13"/>
      <c r="AA110" s="13"/>
      <c r="AB110" s="13"/>
    </row>
    <row r="111" spans="1:28" s="12" customFormat="1" ht="15">
      <c r="A111" s="13"/>
      <c r="B111" s="409"/>
      <c r="C111" s="409"/>
      <c r="D111" s="13"/>
      <c r="E111" s="13"/>
      <c r="F111" s="13"/>
      <c r="G111" s="13"/>
      <c r="H111" s="13"/>
      <c r="I111" s="13"/>
      <c r="J111" s="13"/>
      <c r="K111" s="13"/>
      <c r="L111" s="13"/>
      <c r="M111" s="13"/>
      <c r="N111" s="13"/>
      <c r="O111" s="13"/>
      <c r="P111" s="13"/>
      <c r="Q111" s="13"/>
      <c r="R111" s="13"/>
      <c r="S111" s="13"/>
      <c r="T111" s="13"/>
      <c r="U111" s="13"/>
      <c r="V111" s="13"/>
      <c r="W111" s="13"/>
      <c r="X111" s="13"/>
      <c r="Y111" s="13"/>
      <c r="Z111" s="13"/>
      <c r="AA111" s="13"/>
      <c r="AB111" s="13"/>
    </row>
    <row r="112" spans="1:28" s="12" customFormat="1" ht="15">
      <c r="A112" s="13"/>
      <c r="B112" s="409"/>
      <c r="C112" s="409"/>
      <c r="D112" s="13"/>
      <c r="E112" s="13"/>
      <c r="F112" s="13"/>
      <c r="G112" s="13"/>
      <c r="H112" s="13"/>
      <c r="I112" s="13"/>
      <c r="J112" s="13"/>
      <c r="K112" s="13"/>
      <c r="L112" s="13"/>
      <c r="M112" s="13"/>
      <c r="N112" s="13"/>
      <c r="O112" s="13"/>
      <c r="P112" s="13"/>
      <c r="Q112" s="13"/>
      <c r="R112" s="13"/>
      <c r="S112" s="13"/>
      <c r="T112" s="13"/>
      <c r="U112" s="13"/>
      <c r="V112" s="13"/>
      <c r="W112" s="13"/>
      <c r="X112" s="13"/>
      <c r="Y112" s="13"/>
      <c r="Z112" s="13"/>
      <c r="AA112" s="13"/>
      <c r="AB112" s="13"/>
    </row>
    <row r="113" spans="1:28" s="12" customFormat="1" ht="15">
      <c r="A113" s="13"/>
      <c r="B113" s="409"/>
      <c r="C113" s="409"/>
      <c r="D113" s="13"/>
      <c r="E113" s="13"/>
      <c r="F113" s="13"/>
      <c r="G113" s="13"/>
      <c r="H113" s="13"/>
      <c r="I113" s="13"/>
      <c r="J113" s="13"/>
      <c r="K113" s="13"/>
      <c r="L113" s="13"/>
      <c r="M113" s="13"/>
      <c r="N113" s="13"/>
      <c r="O113" s="13"/>
      <c r="P113" s="13"/>
      <c r="Q113" s="13"/>
      <c r="R113" s="13"/>
      <c r="S113" s="13"/>
      <c r="T113" s="13"/>
      <c r="U113" s="13"/>
      <c r="V113" s="13"/>
      <c r="W113" s="13"/>
      <c r="X113" s="13"/>
      <c r="Y113" s="13"/>
      <c r="Z113" s="13"/>
      <c r="AA113" s="13"/>
      <c r="AB113" s="13"/>
    </row>
    <row r="114" spans="1:28" s="12" customFormat="1" ht="15">
      <c r="A114" s="13"/>
      <c r="B114" s="409"/>
      <c r="C114" s="409"/>
      <c r="D114" s="13"/>
      <c r="E114" s="13"/>
      <c r="F114" s="13"/>
      <c r="G114" s="13"/>
      <c r="H114" s="13"/>
      <c r="I114" s="13"/>
      <c r="J114" s="13"/>
      <c r="K114" s="13"/>
      <c r="L114" s="13"/>
      <c r="M114" s="13"/>
      <c r="N114" s="13"/>
      <c r="O114" s="13"/>
      <c r="P114" s="13"/>
      <c r="Q114" s="13"/>
      <c r="R114" s="13"/>
      <c r="S114" s="13"/>
      <c r="T114" s="13"/>
      <c r="U114" s="13"/>
      <c r="V114" s="13"/>
      <c r="W114" s="13"/>
      <c r="X114" s="13"/>
      <c r="Y114" s="13"/>
      <c r="Z114" s="13"/>
      <c r="AA114" s="13"/>
      <c r="AB114" s="13"/>
    </row>
    <row r="115" spans="1:28" s="12" customFormat="1" ht="15">
      <c r="A115" s="13"/>
      <c r="B115" s="409"/>
      <c r="C115" s="409"/>
      <c r="D115" s="13"/>
      <c r="E115" s="13"/>
      <c r="F115" s="13"/>
      <c r="G115" s="13"/>
      <c r="H115" s="13"/>
      <c r="I115" s="13"/>
      <c r="J115" s="13"/>
      <c r="K115" s="13"/>
      <c r="L115" s="13"/>
      <c r="M115" s="13"/>
      <c r="N115" s="13"/>
      <c r="O115" s="13"/>
      <c r="P115" s="13"/>
      <c r="Q115" s="13"/>
      <c r="R115" s="13"/>
      <c r="S115" s="13"/>
      <c r="T115" s="13"/>
      <c r="U115" s="13"/>
      <c r="V115" s="13"/>
      <c r="W115" s="13"/>
      <c r="X115" s="13"/>
      <c r="Y115" s="13"/>
      <c r="Z115" s="13"/>
      <c r="AA115" s="13"/>
      <c r="AB115" s="13"/>
    </row>
    <row r="116" spans="1:28" s="12" customFormat="1" ht="15">
      <c r="A116" s="13"/>
      <c r="B116" s="409"/>
      <c r="C116" s="409"/>
      <c r="D116" s="13"/>
      <c r="E116" s="13"/>
      <c r="F116" s="13"/>
      <c r="G116" s="13"/>
      <c r="H116" s="13"/>
      <c r="I116" s="13"/>
      <c r="J116" s="13"/>
      <c r="K116" s="13"/>
      <c r="L116" s="13"/>
      <c r="M116" s="13"/>
      <c r="N116" s="13"/>
      <c r="O116" s="13"/>
      <c r="P116" s="13"/>
      <c r="Q116" s="13"/>
      <c r="R116" s="13"/>
      <c r="S116" s="13"/>
      <c r="T116" s="13"/>
      <c r="U116" s="13"/>
      <c r="V116" s="13"/>
      <c r="W116" s="13"/>
      <c r="X116" s="13"/>
      <c r="Y116" s="13"/>
      <c r="Z116" s="13"/>
      <c r="AA116" s="13"/>
      <c r="AB116" s="13"/>
    </row>
    <row r="117" spans="1:28" s="12" customFormat="1" ht="15">
      <c r="A117" s="13"/>
      <c r="B117" s="409"/>
      <c r="C117" s="409"/>
      <c r="D117" s="13"/>
      <c r="E117" s="13"/>
      <c r="F117" s="13"/>
      <c r="G117" s="13"/>
      <c r="H117" s="13"/>
      <c r="I117" s="13"/>
      <c r="J117" s="13"/>
      <c r="K117" s="13"/>
      <c r="L117" s="13"/>
      <c r="M117" s="13"/>
      <c r="N117" s="13"/>
      <c r="O117" s="13"/>
      <c r="P117" s="13"/>
      <c r="Q117" s="13"/>
      <c r="R117" s="13"/>
      <c r="S117" s="13"/>
      <c r="T117" s="13"/>
      <c r="U117" s="13"/>
      <c r="V117" s="13"/>
      <c r="W117" s="13"/>
      <c r="X117" s="13"/>
      <c r="Y117" s="13"/>
      <c r="Z117" s="13"/>
      <c r="AA117" s="13"/>
      <c r="AB117" s="13"/>
    </row>
    <row r="118" spans="1:28" s="12" customFormat="1" ht="15">
      <c r="A118" s="13"/>
      <c r="B118" s="409"/>
      <c r="C118" s="409"/>
      <c r="D118" s="13"/>
      <c r="E118" s="13"/>
      <c r="F118" s="13"/>
      <c r="G118" s="13"/>
      <c r="H118" s="13"/>
      <c r="I118" s="13"/>
      <c r="J118" s="13"/>
      <c r="K118" s="13"/>
      <c r="L118" s="13"/>
      <c r="M118" s="13"/>
      <c r="N118" s="13"/>
      <c r="O118" s="13"/>
      <c r="P118" s="13"/>
      <c r="Q118" s="13"/>
      <c r="R118" s="13"/>
      <c r="S118" s="13"/>
      <c r="T118" s="13"/>
      <c r="U118" s="13"/>
      <c r="V118" s="13"/>
      <c r="W118" s="13"/>
      <c r="X118" s="13"/>
      <c r="Y118" s="13"/>
      <c r="Z118" s="13"/>
      <c r="AA118" s="13"/>
      <c r="AB118" s="13"/>
    </row>
    <row r="119" spans="1:28" s="12" customFormat="1" ht="15">
      <c r="A119" s="13"/>
      <c r="B119" s="409"/>
      <c r="C119" s="409"/>
      <c r="D119" s="13"/>
      <c r="E119" s="13"/>
      <c r="F119" s="13"/>
      <c r="G119" s="13"/>
      <c r="H119" s="13"/>
      <c r="I119" s="13"/>
      <c r="J119" s="13"/>
      <c r="K119" s="13"/>
      <c r="L119" s="13"/>
      <c r="M119" s="13"/>
      <c r="N119" s="13"/>
      <c r="O119" s="13"/>
      <c r="P119" s="13"/>
      <c r="Q119" s="13"/>
      <c r="R119" s="13"/>
      <c r="S119" s="13"/>
      <c r="T119" s="13"/>
      <c r="U119" s="13"/>
      <c r="V119" s="13"/>
      <c r="W119" s="13"/>
      <c r="X119" s="13"/>
      <c r="Y119" s="13"/>
      <c r="Z119" s="13"/>
      <c r="AA119" s="13"/>
      <c r="AB119" s="13"/>
    </row>
    <row r="120" spans="1:28" s="12" customFormat="1" ht="15">
      <c r="A120" s="13"/>
      <c r="B120" s="409"/>
      <c r="C120" s="409"/>
      <c r="D120" s="13"/>
      <c r="E120" s="13"/>
      <c r="F120" s="13"/>
      <c r="G120" s="13"/>
      <c r="H120" s="13"/>
      <c r="I120" s="13"/>
      <c r="J120" s="13"/>
      <c r="K120" s="13"/>
      <c r="L120" s="13"/>
      <c r="M120" s="13"/>
      <c r="N120" s="13"/>
      <c r="O120" s="13"/>
      <c r="P120" s="13"/>
      <c r="Q120" s="13"/>
      <c r="R120" s="13"/>
      <c r="S120" s="13"/>
      <c r="T120" s="13"/>
      <c r="U120" s="13"/>
      <c r="V120" s="13"/>
      <c r="W120" s="13"/>
      <c r="X120" s="13"/>
      <c r="Y120" s="13"/>
      <c r="Z120" s="13"/>
      <c r="AA120" s="13"/>
      <c r="AB120" s="13"/>
    </row>
    <row r="121" spans="1:28" s="12" customFormat="1" ht="15">
      <c r="A121" s="13"/>
      <c r="B121" s="409"/>
      <c r="C121" s="409"/>
      <c r="D121" s="13"/>
      <c r="E121" s="13"/>
      <c r="F121" s="13"/>
      <c r="G121" s="13"/>
      <c r="H121" s="13"/>
      <c r="I121" s="13"/>
      <c r="J121" s="13"/>
      <c r="K121" s="13"/>
      <c r="L121" s="13"/>
      <c r="M121" s="13"/>
      <c r="N121" s="13"/>
      <c r="O121" s="13"/>
      <c r="P121" s="13"/>
      <c r="Q121" s="13"/>
      <c r="R121" s="13"/>
      <c r="S121" s="13"/>
      <c r="T121" s="13"/>
      <c r="U121" s="13"/>
      <c r="V121" s="13"/>
      <c r="W121" s="13"/>
      <c r="X121" s="13"/>
      <c r="Y121" s="13"/>
      <c r="Z121" s="13"/>
      <c r="AA121" s="13"/>
      <c r="AB121" s="13"/>
    </row>
    <row r="122" spans="1:28" s="12" customFormat="1" ht="15">
      <c r="A122" s="13"/>
      <c r="B122" s="409"/>
      <c r="C122" s="409"/>
      <c r="D122" s="13"/>
      <c r="E122" s="13"/>
      <c r="F122" s="13"/>
      <c r="G122" s="13"/>
      <c r="H122" s="13"/>
      <c r="I122" s="13"/>
      <c r="J122" s="13"/>
      <c r="K122" s="13"/>
      <c r="L122" s="13"/>
      <c r="M122" s="13"/>
      <c r="N122" s="13"/>
      <c r="O122" s="13"/>
      <c r="P122" s="13"/>
      <c r="Q122" s="13"/>
      <c r="R122" s="13"/>
      <c r="S122" s="13"/>
      <c r="T122" s="13"/>
      <c r="U122" s="13"/>
      <c r="V122" s="13"/>
      <c r="W122" s="13"/>
      <c r="X122" s="13"/>
      <c r="Y122" s="13"/>
      <c r="Z122" s="13"/>
      <c r="AA122" s="13"/>
      <c r="AB122" s="13"/>
    </row>
    <row r="123" spans="1:28" s="12" customFormat="1" ht="15">
      <c r="A123" s="13"/>
      <c r="B123" s="409"/>
      <c r="C123" s="409"/>
      <c r="D123" s="13"/>
      <c r="E123" s="13"/>
      <c r="F123" s="13"/>
      <c r="G123" s="13"/>
      <c r="H123" s="13"/>
      <c r="I123" s="13"/>
      <c r="J123" s="13"/>
      <c r="K123" s="13"/>
      <c r="L123" s="13"/>
      <c r="M123" s="13"/>
      <c r="N123" s="13"/>
      <c r="O123" s="13"/>
      <c r="P123" s="13"/>
      <c r="Q123" s="13"/>
      <c r="R123" s="13"/>
      <c r="S123" s="13"/>
      <c r="T123" s="13"/>
      <c r="U123" s="13"/>
      <c r="V123" s="13"/>
      <c r="W123" s="13"/>
      <c r="X123" s="13"/>
      <c r="Y123" s="13"/>
      <c r="Z123" s="13"/>
      <c r="AA123" s="13"/>
      <c r="AB123" s="13"/>
    </row>
    <row r="124" spans="1:28" s="12" customFormat="1" ht="15">
      <c r="A124" s="13"/>
      <c r="B124" s="409"/>
      <c r="C124" s="409"/>
      <c r="D124" s="13"/>
      <c r="E124" s="13"/>
      <c r="F124" s="13"/>
      <c r="G124" s="13"/>
      <c r="H124" s="13"/>
      <c r="I124" s="13"/>
      <c r="J124" s="13"/>
      <c r="K124" s="13"/>
      <c r="L124" s="13"/>
      <c r="M124" s="13"/>
      <c r="N124" s="13"/>
      <c r="O124" s="13"/>
      <c r="P124" s="13"/>
      <c r="Q124" s="13"/>
      <c r="R124" s="13"/>
      <c r="S124" s="13"/>
      <c r="T124" s="13"/>
      <c r="U124" s="13"/>
      <c r="V124" s="13"/>
      <c r="W124" s="13"/>
      <c r="X124" s="13"/>
      <c r="Y124" s="13"/>
      <c r="Z124" s="13"/>
      <c r="AA124" s="13"/>
      <c r="AB124" s="13"/>
    </row>
    <row r="125" spans="1:28" s="12" customFormat="1" ht="15">
      <c r="A125" s="13"/>
      <c r="B125" s="409"/>
      <c r="C125" s="409"/>
      <c r="D125" s="13"/>
      <c r="E125" s="13"/>
      <c r="F125" s="13"/>
      <c r="G125" s="13"/>
      <c r="H125" s="13"/>
      <c r="I125" s="13"/>
      <c r="J125" s="13"/>
      <c r="K125" s="13"/>
      <c r="L125" s="13"/>
      <c r="M125" s="13"/>
      <c r="N125" s="13"/>
      <c r="O125" s="13"/>
      <c r="P125" s="13"/>
      <c r="Q125" s="13"/>
      <c r="R125" s="13"/>
      <c r="S125" s="13"/>
      <c r="T125" s="13"/>
      <c r="U125" s="13"/>
      <c r="V125" s="13"/>
      <c r="W125" s="13"/>
      <c r="X125" s="13"/>
      <c r="Y125" s="13"/>
      <c r="Z125" s="13"/>
      <c r="AA125" s="13"/>
      <c r="AB125" s="13"/>
    </row>
    <row r="126" spans="1:28" s="12" customFormat="1" ht="15">
      <c r="A126" s="13"/>
      <c r="B126" s="409"/>
      <c r="C126" s="409"/>
      <c r="D126" s="13"/>
      <c r="E126" s="13"/>
      <c r="F126" s="13"/>
      <c r="G126" s="13"/>
      <c r="H126" s="13"/>
      <c r="I126" s="13"/>
      <c r="J126" s="13"/>
      <c r="K126" s="13"/>
      <c r="L126" s="13"/>
      <c r="M126" s="13"/>
      <c r="N126" s="13"/>
      <c r="O126" s="13"/>
      <c r="P126" s="13"/>
      <c r="Q126" s="13"/>
      <c r="R126" s="13"/>
      <c r="S126" s="13"/>
      <c r="T126" s="13"/>
      <c r="U126" s="13"/>
      <c r="V126" s="13"/>
      <c r="W126" s="13"/>
      <c r="X126" s="13"/>
      <c r="Y126" s="13"/>
      <c r="Z126" s="13"/>
      <c r="AA126" s="13"/>
      <c r="AB126" s="13"/>
    </row>
    <row r="127" spans="1:28" s="12" customFormat="1" ht="15">
      <c r="A127" s="13"/>
      <c r="B127" s="409"/>
      <c r="C127" s="409"/>
      <c r="D127" s="13"/>
      <c r="E127" s="13"/>
      <c r="F127" s="13"/>
      <c r="G127" s="13"/>
      <c r="H127" s="13"/>
      <c r="I127" s="13"/>
      <c r="J127" s="13"/>
      <c r="K127" s="13"/>
      <c r="L127" s="13"/>
      <c r="M127" s="13"/>
      <c r="N127" s="13"/>
      <c r="O127" s="13"/>
      <c r="P127" s="13"/>
      <c r="Q127" s="13"/>
      <c r="R127" s="13"/>
      <c r="S127" s="13"/>
      <c r="T127" s="13"/>
      <c r="U127" s="13"/>
      <c r="V127" s="13"/>
      <c r="W127" s="13"/>
      <c r="X127" s="13"/>
      <c r="Y127" s="13"/>
      <c r="Z127" s="13"/>
      <c r="AA127" s="13"/>
      <c r="AB127" s="13"/>
    </row>
    <row r="128" spans="1:28" s="12" customFormat="1" ht="15">
      <c r="A128" s="13"/>
      <c r="B128" s="409"/>
      <c r="C128" s="409"/>
      <c r="D128" s="13"/>
      <c r="E128" s="13"/>
      <c r="F128" s="13"/>
      <c r="G128" s="13"/>
      <c r="H128" s="13"/>
      <c r="I128" s="13"/>
      <c r="J128" s="13"/>
      <c r="K128" s="13"/>
      <c r="L128" s="13"/>
      <c r="M128" s="13"/>
      <c r="N128" s="13"/>
      <c r="O128" s="13"/>
      <c r="P128" s="13"/>
      <c r="Q128" s="13"/>
      <c r="R128" s="13"/>
      <c r="S128" s="13"/>
      <c r="T128" s="13"/>
      <c r="U128" s="13"/>
      <c r="V128" s="13"/>
      <c r="W128" s="13"/>
      <c r="X128" s="13"/>
      <c r="Y128" s="13"/>
      <c r="Z128" s="13"/>
      <c r="AA128" s="13"/>
      <c r="AB128" s="13"/>
    </row>
    <row r="129" spans="1:28" s="12" customFormat="1" ht="15">
      <c r="A129" s="13"/>
      <c r="B129" s="409"/>
      <c r="C129" s="409"/>
      <c r="D129" s="13"/>
      <c r="E129" s="13"/>
      <c r="F129" s="13"/>
      <c r="G129" s="13"/>
      <c r="H129" s="13"/>
      <c r="I129" s="13"/>
      <c r="J129" s="13"/>
      <c r="K129" s="13"/>
      <c r="L129" s="13"/>
      <c r="M129" s="13"/>
      <c r="N129" s="13"/>
      <c r="O129" s="13"/>
      <c r="P129" s="13"/>
      <c r="Q129" s="13"/>
      <c r="R129" s="13"/>
      <c r="S129" s="13"/>
      <c r="T129" s="13"/>
      <c r="U129" s="13"/>
      <c r="V129" s="13"/>
      <c r="W129" s="13"/>
      <c r="X129" s="13"/>
      <c r="Y129" s="13"/>
      <c r="Z129" s="13"/>
      <c r="AA129" s="13"/>
      <c r="AB129" s="13"/>
    </row>
    <row r="130" spans="1:28" s="12" customFormat="1" ht="15">
      <c r="A130" s="13"/>
      <c r="B130" s="409"/>
      <c r="C130" s="409"/>
      <c r="D130" s="13"/>
      <c r="E130" s="13"/>
      <c r="F130" s="13"/>
      <c r="G130" s="13"/>
      <c r="H130" s="13"/>
      <c r="I130" s="13"/>
      <c r="J130" s="13"/>
      <c r="K130" s="13"/>
      <c r="L130" s="13"/>
      <c r="M130" s="13"/>
      <c r="N130" s="13"/>
      <c r="O130" s="13"/>
      <c r="P130" s="13"/>
      <c r="Q130" s="13"/>
      <c r="R130" s="13"/>
      <c r="S130" s="13"/>
      <c r="T130" s="13"/>
      <c r="U130" s="13"/>
      <c r="V130" s="13"/>
      <c r="W130" s="13"/>
      <c r="X130" s="13"/>
      <c r="Y130" s="13"/>
      <c r="Z130" s="13"/>
      <c r="AA130" s="13"/>
      <c r="AB130" s="13"/>
    </row>
    <row r="131" spans="1:28" s="12" customFormat="1" ht="15">
      <c r="A131" s="13"/>
      <c r="B131" s="409"/>
      <c r="C131" s="409"/>
      <c r="D131" s="13"/>
      <c r="E131" s="13"/>
      <c r="F131" s="13"/>
      <c r="G131" s="13"/>
      <c r="H131" s="13"/>
      <c r="I131" s="13"/>
      <c r="J131" s="13"/>
      <c r="K131" s="13"/>
      <c r="L131" s="13"/>
      <c r="M131" s="13"/>
      <c r="N131" s="13"/>
      <c r="O131" s="13"/>
      <c r="P131" s="13"/>
      <c r="Q131" s="13"/>
      <c r="R131" s="13"/>
      <c r="S131" s="13"/>
      <c r="T131" s="13"/>
      <c r="U131" s="13"/>
      <c r="V131" s="13"/>
      <c r="W131" s="13"/>
      <c r="X131" s="13"/>
      <c r="Y131" s="13"/>
      <c r="Z131" s="13"/>
      <c r="AA131" s="13"/>
      <c r="AB131" s="13"/>
    </row>
    <row r="132" spans="1:28" s="12" customFormat="1" ht="15">
      <c r="A132" s="13"/>
      <c r="B132" s="409"/>
      <c r="C132" s="409"/>
      <c r="D132" s="13"/>
      <c r="E132" s="13"/>
      <c r="F132" s="13"/>
      <c r="G132" s="13"/>
      <c r="H132" s="13"/>
      <c r="I132" s="13"/>
      <c r="J132" s="13"/>
      <c r="K132" s="13"/>
      <c r="L132" s="13"/>
      <c r="M132" s="13"/>
      <c r="N132" s="13"/>
      <c r="O132" s="13"/>
      <c r="P132" s="13"/>
      <c r="Q132" s="13"/>
      <c r="R132" s="13"/>
      <c r="S132" s="13"/>
      <c r="T132" s="13"/>
      <c r="U132" s="13"/>
      <c r="V132" s="13"/>
      <c r="W132" s="13"/>
      <c r="X132" s="13"/>
      <c r="Y132" s="13"/>
      <c r="Z132" s="13"/>
      <c r="AA132" s="13"/>
      <c r="AB132" s="13"/>
    </row>
    <row r="133" spans="1:28" s="12" customFormat="1" ht="15">
      <c r="A133" s="13"/>
      <c r="B133" s="409"/>
      <c r="C133" s="409"/>
      <c r="D133" s="13"/>
      <c r="E133" s="13"/>
      <c r="F133" s="13"/>
      <c r="G133" s="13"/>
      <c r="H133" s="13"/>
      <c r="I133" s="13"/>
      <c r="J133" s="13"/>
      <c r="K133" s="13"/>
      <c r="L133" s="13"/>
      <c r="M133" s="13"/>
      <c r="N133" s="13"/>
      <c r="O133" s="13"/>
      <c r="P133" s="13"/>
      <c r="Q133" s="13"/>
      <c r="R133" s="13"/>
      <c r="S133" s="13"/>
      <c r="T133" s="13"/>
      <c r="U133" s="13"/>
      <c r="V133" s="13"/>
      <c r="W133" s="13"/>
      <c r="X133" s="13"/>
      <c r="Y133" s="13"/>
      <c r="Z133" s="13"/>
      <c r="AA133" s="13"/>
      <c r="AB133" s="13"/>
    </row>
    <row r="134" spans="1:28" s="12" customFormat="1" ht="15">
      <c r="A134" s="13"/>
      <c r="B134" s="409"/>
      <c r="C134" s="409"/>
      <c r="D134" s="13"/>
      <c r="E134" s="13"/>
      <c r="F134" s="13"/>
      <c r="G134" s="13"/>
      <c r="H134" s="13"/>
      <c r="I134" s="13"/>
      <c r="J134" s="13"/>
      <c r="K134" s="13"/>
      <c r="L134" s="13"/>
      <c r="M134" s="13"/>
      <c r="N134" s="13"/>
      <c r="O134" s="13"/>
      <c r="P134" s="13"/>
      <c r="Q134" s="13"/>
      <c r="R134" s="13"/>
      <c r="S134" s="13"/>
      <c r="T134" s="13"/>
      <c r="U134" s="13"/>
      <c r="V134" s="13"/>
      <c r="W134" s="13"/>
      <c r="X134" s="13"/>
      <c r="Y134" s="13"/>
      <c r="Z134" s="13"/>
      <c r="AA134" s="13"/>
      <c r="AB134" s="13"/>
    </row>
    <row r="135" spans="1:28" s="12" customFormat="1" ht="15">
      <c r="A135" s="13"/>
      <c r="B135" s="409"/>
      <c r="C135" s="409"/>
      <c r="D135" s="13"/>
      <c r="E135" s="13"/>
      <c r="F135" s="13"/>
      <c r="G135" s="13"/>
      <c r="H135" s="13"/>
      <c r="I135" s="13"/>
      <c r="J135" s="13"/>
      <c r="K135" s="13"/>
      <c r="L135" s="13"/>
      <c r="M135" s="13"/>
      <c r="N135" s="13"/>
      <c r="O135" s="13"/>
      <c r="P135" s="13"/>
      <c r="Q135" s="13"/>
      <c r="R135" s="13"/>
      <c r="S135" s="13"/>
      <c r="T135" s="13"/>
      <c r="U135" s="13"/>
      <c r="V135" s="13"/>
      <c r="W135" s="13"/>
      <c r="X135" s="13"/>
      <c r="Y135" s="13"/>
      <c r="Z135" s="13"/>
      <c r="AA135" s="13"/>
      <c r="AB135" s="13"/>
    </row>
    <row r="136" spans="1:28" s="12" customFormat="1" ht="15">
      <c r="A136" s="13"/>
      <c r="B136" s="409"/>
      <c r="C136" s="409"/>
      <c r="D136" s="13"/>
      <c r="E136" s="13"/>
      <c r="F136" s="13"/>
      <c r="G136" s="13"/>
      <c r="H136" s="13"/>
      <c r="I136" s="13"/>
      <c r="J136" s="13"/>
      <c r="K136" s="13"/>
      <c r="L136" s="13"/>
      <c r="M136" s="13"/>
      <c r="N136" s="13"/>
      <c r="O136" s="13"/>
      <c r="P136" s="13"/>
      <c r="Q136" s="13"/>
      <c r="R136" s="13"/>
      <c r="S136" s="13"/>
      <c r="T136" s="13"/>
      <c r="U136" s="13"/>
      <c r="V136" s="13"/>
      <c r="W136" s="13"/>
      <c r="X136" s="13"/>
      <c r="Y136" s="13"/>
      <c r="Z136" s="13"/>
      <c r="AA136" s="13"/>
      <c r="AB136" s="13"/>
    </row>
    <row r="137" spans="1:28" s="12" customFormat="1" ht="15">
      <c r="A137" s="13"/>
      <c r="B137" s="409"/>
      <c r="C137" s="409"/>
      <c r="D137" s="13"/>
      <c r="E137" s="13"/>
      <c r="F137" s="13"/>
      <c r="G137" s="13"/>
      <c r="H137" s="13"/>
      <c r="I137" s="13"/>
      <c r="J137" s="13"/>
      <c r="K137" s="13"/>
      <c r="L137" s="13"/>
      <c r="M137" s="13"/>
      <c r="N137" s="13"/>
      <c r="O137" s="13"/>
      <c r="P137" s="13"/>
      <c r="Q137" s="13"/>
      <c r="R137" s="13"/>
      <c r="S137" s="13"/>
      <c r="T137" s="13"/>
      <c r="U137" s="13"/>
      <c r="V137" s="13"/>
      <c r="W137" s="13"/>
      <c r="X137" s="13"/>
      <c r="Y137" s="13"/>
      <c r="Z137" s="13"/>
      <c r="AA137" s="13"/>
      <c r="AB137" s="13"/>
    </row>
    <row r="138" spans="1:28" s="12" customFormat="1" ht="15">
      <c r="A138" s="13"/>
      <c r="B138" s="409"/>
      <c r="C138" s="409"/>
      <c r="D138" s="13"/>
      <c r="E138" s="13"/>
      <c r="F138" s="13"/>
      <c r="G138" s="13"/>
      <c r="H138" s="13"/>
      <c r="I138" s="13"/>
      <c r="J138" s="13"/>
      <c r="K138" s="13"/>
      <c r="L138" s="13"/>
      <c r="M138" s="13"/>
      <c r="N138" s="13"/>
      <c r="O138" s="13"/>
      <c r="P138" s="13"/>
      <c r="Q138" s="13"/>
      <c r="R138" s="13"/>
      <c r="S138" s="13"/>
      <c r="T138" s="13"/>
      <c r="U138" s="13"/>
      <c r="V138" s="13"/>
      <c r="W138" s="13"/>
      <c r="X138" s="13"/>
      <c r="Y138" s="13"/>
      <c r="Z138" s="13"/>
      <c r="AA138" s="13"/>
      <c r="AB138" s="13"/>
    </row>
  </sheetData>
  <sheetProtection sheet="1" formatRows="0"/>
  <mergeCells count="74">
    <mergeCell ref="D1:K1"/>
    <mergeCell ref="C28:H28"/>
    <mergeCell ref="D38:L38"/>
    <mergeCell ref="C5:D5"/>
    <mergeCell ref="C10:D10"/>
    <mergeCell ref="C2:L2"/>
    <mergeCell ref="C27:D27"/>
    <mergeCell ref="C3:K3"/>
    <mergeCell ref="C21:D21"/>
    <mergeCell ref="C17:D17"/>
    <mergeCell ref="D51:L51"/>
    <mergeCell ref="D68:F68"/>
    <mergeCell ref="D52:L52"/>
    <mergeCell ref="D44:L44"/>
    <mergeCell ref="D43:L43"/>
    <mergeCell ref="I60:L60"/>
    <mergeCell ref="D56:L56"/>
    <mergeCell ref="D41:L41"/>
    <mergeCell ref="D42:L42"/>
    <mergeCell ref="D34:L34"/>
    <mergeCell ref="C46:H46"/>
    <mergeCell ref="D30:L30"/>
    <mergeCell ref="D45:L45"/>
    <mergeCell ref="D37:L37"/>
    <mergeCell ref="C11:D11"/>
    <mergeCell ref="D29:L29"/>
    <mergeCell ref="D36:L36"/>
    <mergeCell ref="D39:L39"/>
    <mergeCell ref="C25:D25"/>
    <mergeCell ref="I28:L28"/>
    <mergeCell ref="C18:D18"/>
    <mergeCell ref="D33:L33"/>
    <mergeCell ref="D32:L32"/>
    <mergeCell ref="D31:L31"/>
    <mergeCell ref="D55:L55"/>
    <mergeCell ref="D58:L58"/>
    <mergeCell ref="D82:G82"/>
    <mergeCell ref="D76:L76"/>
    <mergeCell ref="H82:I82"/>
    <mergeCell ref="D63:L63"/>
    <mergeCell ref="D66:L66"/>
    <mergeCell ref="I74:L74"/>
    <mergeCell ref="D64:G64"/>
    <mergeCell ref="D69:L69"/>
    <mergeCell ref="C22:D22"/>
    <mergeCell ref="I35:L35"/>
    <mergeCell ref="C26:D26"/>
    <mergeCell ref="C35:H35"/>
    <mergeCell ref="D54:L54"/>
    <mergeCell ref="D47:L47"/>
    <mergeCell ref="D49:L49"/>
    <mergeCell ref="D48:L48"/>
    <mergeCell ref="I46:L46"/>
    <mergeCell ref="D40:L40"/>
    <mergeCell ref="D77:L77"/>
    <mergeCell ref="D75:L75"/>
    <mergeCell ref="D71:L71"/>
    <mergeCell ref="D81:K81"/>
    <mergeCell ref="C80:H80"/>
    <mergeCell ref="D70:F70"/>
    <mergeCell ref="D78:L78"/>
    <mergeCell ref="D72:G72"/>
    <mergeCell ref="C74:H74"/>
    <mergeCell ref="D79:L79"/>
    <mergeCell ref="C60:H60"/>
    <mergeCell ref="D50:L50"/>
    <mergeCell ref="D61:L61"/>
    <mergeCell ref="D65:L65"/>
    <mergeCell ref="D73:L73"/>
    <mergeCell ref="D67:L67"/>
    <mergeCell ref="D53:L53"/>
    <mergeCell ref="D62:G62"/>
    <mergeCell ref="D59:L59"/>
    <mergeCell ref="D57:L57"/>
  </mergeCells>
  <hyperlinks>
    <hyperlink ref="H82" r:id="rId1" display="Sanitary Fixture BMPs"/>
    <hyperlink ref="H82:I82" r:id="rId2" display="Sanitary Fixture BMPs"/>
    <hyperlink ref="D70" r:id="rId3" display="www.epa.gov/WaterSense/products/controltech.html"/>
    <hyperlink ref="D62:F62" r:id="rId4" display="http://www.epa.gov/watersense/outdoor/irrigation_professionals.html"/>
    <hyperlink ref="D62" r:id="rId5" display="www.epa.gov/watersense/outdoor/irrigation_professionals.html"/>
    <hyperlink ref="D68" r:id="rId6" display="www.epa.gov/WaterSense/products/controltech.html"/>
    <hyperlink ref="D68:F68" r:id="rId7" display="http://www.epa.gov/WaterSense/products/controltech.html."/>
    <hyperlink ref="D72" r:id="rId8" display="www.epa.gov/WaterSense/products/controltech.html"/>
    <hyperlink ref="D72:F72" r:id="rId9" display="/154/zoomed"/>
    <hyperlink ref="D64:G64" r:id="rId10" display="http://www.epa.gov/watersense/outdoor/what_to_plant.html"/>
  </hyperlinks>
  <printOptions horizontalCentered="1"/>
  <pageMargins left="0.25" right="0.25" top="0.5" bottom="0.5" header="0.25" footer="0.25"/>
  <pageSetup fitToHeight="0" fitToWidth="1" horizontalDpi="1200" verticalDpi="1200" orientation="landscape" scale="72" r:id="rId13"/>
  <headerFooter alignWithMargins="0">
    <oddHeader>&amp;C&amp;18&amp;F</oddHeader>
    <oddFooter>&amp;C&amp;P of &amp;N</oddFooter>
  </headerFooter>
  <ignoredErrors>
    <ignoredError sqref="O62:O64 O68:O72 F27" formula="1"/>
  </ignoredErrors>
  <drawing r:id="rId12"/>
  <legacyDrawing r:id="rId11"/>
</worksheet>
</file>

<file path=xl/worksheets/sheet4.xml><?xml version="1.0" encoding="utf-8"?>
<worksheet xmlns="http://schemas.openxmlformats.org/spreadsheetml/2006/main" xmlns:r="http://schemas.openxmlformats.org/officeDocument/2006/relationships">
  <sheetPr codeName="Facility_Info">
    <pageSetUpPr fitToPage="1"/>
  </sheetPr>
  <dimension ref="A1:AG105"/>
  <sheetViews>
    <sheetView showGridLines="0" zoomScalePageLayoutView="0" workbookViewId="0" topLeftCell="A1">
      <pane xSplit="1" ySplit="2" topLeftCell="B3" activePane="bottomRight" state="frozen"/>
      <selection pane="topLeft" activeCell="A1" sqref="A1"/>
      <selection pane="topRight" activeCell="B1" sqref="B1"/>
      <selection pane="bottomLeft" activeCell="A3" sqref="A3"/>
      <selection pane="bottomRight" activeCell="F26" sqref="F26:G29"/>
    </sheetView>
  </sheetViews>
  <sheetFormatPr defaultColWidth="9.140625" defaultRowHeight="15"/>
  <cols>
    <col min="1" max="2" width="4.7109375" style="32" customWidth="1"/>
    <col min="3" max="3" width="7.7109375" style="32" customWidth="1"/>
    <col min="4" max="4" width="24.7109375" style="66" customWidth="1"/>
    <col min="5" max="5" width="20.7109375" style="81" customWidth="1"/>
    <col min="6" max="6" width="15.28125" style="66" customWidth="1"/>
    <col min="7" max="7" width="26.7109375" style="66" customWidth="1"/>
    <col min="8" max="8" width="7.7109375" style="66" customWidth="1"/>
    <col min="9" max="9" width="13.00390625" style="66" customWidth="1"/>
    <col min="10" max="10" width="12.7109375" style="66" customWidth="1"/>
    <col min="11" max="11" width="20.7109375" style="66" customWidth="1"/>
    <col min="12" max="12" width="10.7109375" style="66" customWidth="1"/>
    <col min="13" max="14" width="4.7109375" style="66" customWidth="1"/>
    <col min="15" max="15" width="10.57421875" style="66" bestFit="1" customWidth="1"/>
    <col min="16" max="16" width="18.8515625" style="66" customWidth="1"/>
    <col min="17" max="16384" width="9.140625" style="66" customWidth="1"/>
  </cols>
  <sheetData>
    <row r="1" spans="1:33" s="32" customFormat="1" ht="42" customHeight="1">
      <c r="A1" s="14"/>
      <c r="B1" s="14"/>
      <c r="C1" s="14"/>
      <c r="D1" s="797" t="s">
        <v>783</v>
      </c>
      <c r="E1" s="14"/>
      <c r="F1" s="14"/>
      <c r="G1" s="14"/>
      <c r="H1" s="14"/>
      <c r="I1" s="14"/>
      <c r="J1" s="61"/>
      <c r="K1" s="14"/>
      <c r="L1" s="14"/>
      <c r="M1" s="14"/>
      <c r="N1" s="14"/>
      <c r="O1" s="14"/>
      <c r="P1" s="14"/>
      <c r="Q1" s="14"/>
      <c r="R1" s="14"/>
      <c r="S1" s="14"/>
      <c r="T1" s="14"/>
      <c r="U1" s="14"/>
      <c r="V1" s="14"/>
      <c r="W1" s="14"/>
      <c r="X1" s="14"/>
      <c r="Y1" s="14"/>
      <c r="Z1" s="14"/>
      <c r="AA1" s="14"/>
      <c r="AB1" s="14"/>
      <c r="AC1" s="14"/>
      <c r="AD1" s="14"/>
      <c r="AE1" s="14"/>
      <c r="AF1" s="14"/>
      <c r="AG1" s="14"/>
    </row>
    <row r="2" spans="1:33" ht="18.75">
      <c r="A2" s="14"/>
      <c r="B2" s="854" t="s">
        <v>4</v>
      </c>
      <c r="C2" s="854"/>
      <c r="D2" s="854"/>
      <c r="E2" s="34"/>
      <c r="F2" s="34"/>
      <c r="G2" s="34"/>
      <c r="H2" s="34"/>
      <c r="I2" s="34"/>
      <c r="J2" s="34"/>
      <c r="K2" s="34"/>
      <c r="L2" s="34"/>
      <c r="M2" s="34"/>
      <c r="N2" s="14"/>
      <c r="O2" s="14"/>
      <c r="P2" s="14"/>
      <c r="Q2" s="14"/>
      <c r="R2" s="14"/>
      <c r="S2" s="14"/>
      <c r="T2" s="14"/>
      <c r="U2" s="14"/>
      <c r="V2" s="14"/>
      <c r="W2" s="14"/>
      <c r="X2" s="14"/>
      <c r="Y2" s="14"/>
      <c r="Z2" s="14"/>
      <c r="AA2" s="14"/>
      <c r="AB2" s="14"/>
      <c r="AC2" s="14"/>
      <c r="AD2" s="14"/>
      <c r="AE2" s="14"/>
      <c r="AF2" s="14"/>
      <c r="AG2" s="14"/>
    </row>
    <row r="3" spans="1:33" s="814" customFormat="1" ht="87.75" customHeight="1">
      <c r="A3" s="813"/>
      <c r="B3" s="891" t="s">
        <v>813</v>
      </c>
      <c r="C3" s="892"/>
      <c r="D3" s="892"/>
      <c r="E3" s="892"/>
      <c r="F3" s="892"/>
      <c r="G3" s="892"/>
      <c r="H3" s="892"/>
      <c r="I3" s="892"/>
      <c r="J3" s="892"/>
      <c r="K3" s="892"/>
      <c r="L3" s="892"/>
      <c r="N3" s="813"/>
      <c r="O3" s="813"/>
      <c r="P3" s="813"/>
      <c r="Q3" s="813"/>
      <c r="R3" s="813"/>
      <c r="S3" s="813"/>
      <c r="T3" s="813"/>
      <c r="U3" s="813"/>
      <c r="V3" s="813"/>
      <c r="W3" s="813"/>
      <c r="X3" s="813"/>
      <c r="Y3" s="813"/>
      <c r="Z3" s="813"/>
      <c r="AA3" s="813"/>
      <c r="AB3" s="813"/>
      <c r="AC3" s="813"/>
      <c r="AD3" s="813"/>
      <c r="AE3" s="813"/>
      <c r="AF3" s="813"/>
      <c r="AG3" s="813"/>
    </row>
    <row r="4" spans="1:33" s="74" customFormat="1" ht="15.75">
      <c r="A4" s="14"/>
      <c r="B4" s="32"/>
      <c r="C4" s="901" t="s">
        <v>303</v>
      </c>
      <c r="D4" s="901"/>
      <c r="E4" s="65"/>
      <c r="F4" s="65"/>
      <c r="G4" s="65"/>
      <c r="H4" s="65"/>
      <c r="I4" s="65"/>
      <c r="J4" s="65"/>
      <c r="K4" s="65"/>
      <c r="L4" s="65"/>
      <c r="N4" s="14"/>
      <c r="O4" s="36" t="str">
        <f>IF(AND(HotelOperatingDays&gt;0,AverageOccupancyRate&gt;0,AverageGuestsPerRoom&gt;0,GuestRooms&gt;0),"Complete","Incomplete")</f>
        <v>Incomplete</v>
      </c>
      <c r="P4" s="14"/>
      <c r="Q4" s="14"/>
      <c r="R4" s="14"/>
      <c r="S4" s="14"/>
      <c r="T4" s="14"/>
      <c r="U4" s="14"/>
      <c r="V4" s="14"/>
      <c r="W4" s="14"/>
      <c r="X4" s="14"/>
      <c r="Y4" s="14"/>
      <c r="Z4" s="14"/>
      <c r="AA4" s="14"/>
      <c r="AB4" s="14"/>
      <c r="AC4" s="14"/>
      <c r="AD4" s="14"/>
      <c r="AE4" s="14"/>
      <c r="AF4" s="14"/>
      <c r="AG4" s="14"/>
    </row>
    <row r="5" spans="1:33" s="74" customFormat="1" ht="15">
      <c r="A5" s="14"/>
      <c r="B5" s="32"/>
      <c r="C5" s="899" t="s">
        <v>40</v>
      </c>
      <c r="D5" s="900"/>
      <c r="E5" s="903"/>
      <c r="F5" s="904"/>
      <c r="G5" s="905"/>
      <c r="H5" s="537"/>
      <c r="I5" s="539"/>
      <c r="J5" s="537"/>
      <c r="K5" s="537"/>
      <c r="L5" s="537"/>
      <c r="N5" s="14"/>
      <c r="O5" s="36" t="str">
        <f>IF(AND(COUNTA(F26:G27)=4,COUNTA(F28:G28)=2,OR(HotWaterFuelType&lt;&gt;"Natural Gas",COUNTA(F29:G29)=2)),"Complete","Incomplete")</f>
        <v>Incomplete</v>
      </c>
      <c r="P5" s="14"/>
      <c r="Q5" s="14"/>
      <c r="R5" s="14"/>
      <c r="S5" s="14"/>
      <c r="T5" s="14"/>
      <c r="U5" s="14"/>
      <c r="V5" s="14"/>
      <c r="W5" s="14"/>
      <c r="X5" s="14"/>
      <c r="Y5" s="14"/>
      <c r="Z5" s="14"/>
      <c r="AA5" s="14"/>
      <c r="AB5" s="14"/>
      <c r="AC5" s="14"/>
      <c r="AD5" s="14"/>
      <c r="AE5" s="14"/>
      <c r="AF5" s="14"/>
      <c r="AG5" s="14"/>
    </row>
    <row r="6" spans="1:33" s="74" customFormat="1" ht="15">
      <c r="A6" s="14"/>
      <c r="B6" s="32"/>
      <c r="C6" s="899" t="s">
        <v>41</v>
      </c>
      <c r="D6" s="900"/>
      <c r="E6" s="903"/>
      <c r="F6" s="904"/>
      <c r="G6" s="905"/>
      <c r="H6" s="68"/>
      <c r="I6" s="68"/>
      <c r="J6" s="68"/>
      <c r="K6" s="68"/>
      <c r="L6" s="68"/>
      <c r="N6" s="14"/>
      <c r="O6" s="14"/>
      <c r="P6" s="14"/>
      <c r="Q6" s="14"/>
      <c r="R6" s="14"/>
      <c r="S6" s="14"/>
      <c r="T6" s="14"/>
      <c r="U6" s="14"/>
      <c r="V6" s="14"/>
      <c r="W6" s="14"/>
      <c r="X6" s="14"/>
      <c r="Y6" s="14"/>
      <c r="Z6" s="14"/>
      <c r="AA6" s="14"/>
      <c r="AB6" s="14"/>
      <c r="AC6" s="14"/>
      <c r="AD6" s="14"/>
      <c r="AE6" s="14"/>
      <c r="AF6" s="14"/>
      <c r="AG6" s="14"/>
    </row>
    <row r="7" spans="1:33" s="74" customFormat="1" ht="15">
      <c r="A7" s="14"/>
      <c r="B7" s="32"/>
      <c r="C7" s="899" t="s">
        <v>42</v>
      </c>
      <c r="D7" s="900"/>
      <c r="E7" s="888"/>
      <c r="F7" s="889"/>
      <c r="G7" s="890"/>
      <c r="H7" s="554"/>
      <c r="I7" s="68"/>
      <c r="J7" s="68"/>
      <c r="K7" s="68"/>
      <c r="L7" s="68"/>
      <c r="N7" s="14"/>
      <c r="O7" s="14"/>
      <c r="P7" s="14"/>
      <c r="Q7" s="14"/>
      <c r="R7" s="14"/>
      <c r="S7" s="14"/>
      <c r="T7" s="14"/>
      <c r="U7" s="14"/>
      <c r="V7" s="14"/>
      <c r="W7" s="14"/>
      <c r="X7" s="14"/>
      <c r="Y7" s="14"/>
      <c r="Z7" s="14"/>
      <c r="AA7" s="14"/>
      <c r="AB7" s="14"/>
      <c r="AC7" s="14"/>
      <c r="AD7" s="14"/>
      <c r="AE7" s="14"/>
      <c r="AF7" s="14"/>
      <c r="AG7" s="14"/>
    </row>
    <row r="8" spans="1:33" s="74" customFormat="1" ht="15">
      <c r="A8" s="14"/>
      <c r="B8" s="32"/>
      <c r="C8" s="906"/>
      <c r="D8" s="906"/>
      <c r="E8" s="555"/>
      <c r="F8" s="77"/>
      <c r="G8" s="77"/>
      <c r="H8" s="77"/>
      <c r="I8" s="77"/>
      <c r="J8" s="77"/>
      <c r="K8" s="77"/>
      <c r="L8" s="77"/>
      <c r="N8" s="14"/>
      <c r="O8" s="14"/>
      <c r="P8" s="14"/>
      <c r="Q8" s="14"/>
      <c r="R8" s="14"/>
      <c r="S8" s="14"/>
      <c r="T8" s="14"/>
      <c r="U8" s="14"/>
      <c r="V8" s="14"/>
      <c r="W8" s="14"/>
      <c r="X8" s="14"/>
      <c r="Y8" s="14"/>
      <c r="Z8" s="14"/>
      <c r="AA8" s="14"/>
      <c r="AB8" s="14"/>
      <c r="AC8" s="14"/>
      <c r="AD8" s="14"/>
      <c r="AE8" s="14"/>
      <c r="AF8" s="14"/>
      <c r="AG8" s="14"/>
    </row>
    <row r="9" spans="1:33" s="74" customFormat="1" ht="15.75">
      <c r="A9" s="14"/>
      <c r="C9" s="901" t="s">
        <v>315</v>
      </c>
      <c r="D9" s="901"/>
      <c r="F9" s="65"/>
      <c r="G9" s="65"/>
      <c r="H9" s="65"/>
      <c r="I9" s="65"/>
      <c r="J9" s="65"/>
      <c r="K9" s="65"/>
      <c r="L9" s="65"/>
      <c r="N9" s="14"/>
      <c r="O9" s="14"/>
      <c r="P9" s="14"/>
      <c r="Q9" s="14"/>
      <c r="R9" s="14"/>
      <c r="S9" s="14"/>
      <c r="T9" s="14"/>
      <c r="U9" s="14"/>
      <c r="V9" s="14"/>
      <c r="W9" s="14"/>
      <c r="X9" s="14"/>
      <c r="Y9" s="14"/>
      <c r="Z9" s="14"/>
      <c r="AA9" s="14"/>
      <c r="AB9" s="14"/>
      <c r="AC9" s="14"/>
      <c r="AD9" s="14"/>
      <c r="AE9" s="14"/>
      <c r="AF9" s="14"/>
      <c r="AG9" s="14"/>
    </row>
    <row r="10" spans="1:33" s="74" customFormat="1" ht="15">
      <c r="A10" s="14"/>
      <c r="B10" s="32"/>
      <c r="C10" s="899" t="s">
        <v>301</v>
      </c>
      <c r="D10" s="900"/>
      <c r="E10" s="903"/>
      <c r="F10" s="904"/>
      <c r="G10" s="905"/>
      <c r="H10" s="902" t="s">
        <v>481</v>
      </c>
      <c r="I10" s="900"/>
      <c r="J10" s="916"/>
      <c r="K10" s="916"/>
      <c r="L10" s="916"/>
      <c r="N10" s="14"/>
      <c r="O10" s="14"/>
      <c r="P10" s="14"/>
      <c r="Q10" s="14"/>
      <c r="R10" s="14"/>
      <c r="S10" s="14"/>
      <c r="T10" s="14"/>
      <c r="U10" s="14"/>
      <c r="V10" s="14"/>
      <c r="W10" s="14"/>
      <c r="X10" s="14"/>
      <c r="Y10" s="14"/>
      <c r="Z10" s="14"/>
      <c r="AA10" s="14"/>
      <c r="AB10" s="14"/>
      <c r="AC10" s="14"/>
      <c r="AD10" s="14"/>
      <c r="AE10" s="14"/>
      <c r="AF10" s="14"/>
      <c r="AG10" s="14"/>
    </row>
    <row r="11" spans="1:33" s="74" customFormat="1" ht="15">
      <c r="A11" s="14"/>
      <c r="B11" s="32"/>
      <c r="C11" s="899" t="s">
        <v>302</v>
      </c>
      <c r="D11" s="900"/>
      <c r="E11" s="903"/>
      <c r="F11" s="904"/>
      <c r="G11" s="905"/>
      <c r="H11" s="902" t="s">
        <v>482</v>
      </c>
      <c r="I11" s="900"/>
      <c r="J11" s="893"/>
      <c r="K11" s="894"/>
      <c r="L11" s="895"/>
      <c r="N11" s="14"/>
      <c r="O11" s="14"/>
      <c r="P11" s="14"/>
      <c r="Q11" s="14"/>
      <c r="R11" s="14"/>
      <c r="S11" s="14"/>
      <c r="T11" s="14"/>
      <c r="U11" s="14"/>
      <c r="V11" s="14"/>
      <c r="W11" s="14"/>
      <c r="X11" s="14"/>
      <c r="Y11" s="14"/>
      <c r="Z11" s="14"/>
      <c r="AA11" s="14"/>
      <c r="AB11" s="14"/>
      <c r="AC11" s="14"/>
      <c r="AD11" s="14"/>
      <c r="AE11" s="14"/>
      <c r="AF11" s="14"/>
      <c r="AG11" s="14"/>
    </row>
    <row r="12" spans="1:33" s="74" customFormat="1" ht="15">
      <c r="A12" s="14"/>
      <c r="B12" s="32"/>
      <c r="C12" s="899" t="s">
        <v>6</v>
      </c>
      <c r="D12" s="900"/>
      <c r="E12" s="896"/>
      <c r="F12" s="897"/>
      <c r="G12" s="898"/>
      <c r="H12" s="902" t="s">
        <v>5</v>
      </c>
      <c r="I12" s="900"/>
      <c r="J12" s="893"/>
      <c r="K12" s="894"/>
      <c r="L12" s="895"/>
      <c r="N12" s="14"/>
      <c r="O12" s="14"/>
      <c r="P12" s="14"/>
      <c r="Q12" s="14"/>
      <c r="R12" s="14"/>
      <c r="S12" s="14"/>
      <c r="T12" s="14"/>
      <c r="U12" s="14"/>
      <c r="V12" s="14"/>
      <c r="W12" s="14"/>
      <c r="X12" s="14"/>
      <c r="Y12" s="14"/>
      <c r="Z12" s="14"/>
      <c r="AA12" s="14"/>
      <c r="AB12" s="14"/>
      <c r="AC12" s="14"/>
      <c r="AD12" s="14"/>
      <c r="AE12" s="14"/>
      <c r="AF12" s="14"/>
      <c r="AG12" s="14"/>
    </row>
    <row r="13" spans="1:33" s="74" customFormat="1" ht="15">
      <c r="A13" s="14"/>
      <c r="B13" s="32"/>
      <c r="C13" s="899" t="s">
        <v>8</v>
      </c>
      <c r="D13" s="900"/>
      <c r="E13" s="896"/>
      <c r="F13" s="897"/>
      <c r="G13" s="898"/>
      <c r="H13" s="902" t="s">
        <v>7</v>
      </c>
      <c r="I13" s="900"/>
      <c r="J13" s="893"/>
      <c r="K13" s="894"/>
      <c r="L13" s="895"/>
      <c r="N13" s="14"/>
      <c r="O13" s="14"/>
      <c r="P13" s="14"/>
      <c r="Q13" s="14"/>
      <c r="R13" s="14"/>
      <c r="S13" s="14"/>
      <c r="T13" s="14"/>
      <c r="U13" s="14"/>
      <c r="V13" s="14"/>
      <c r="W13" s="14"/>
      <c r="X13" s="14"/>
      <c r="Y13" s="14"/>
      <c r="Z13" s="14"/>
      <c r="AA13" s="14"/>
      <c r="AB13" s="14"/>
      <c r="AC13" s="14"/>
      <c r="AD13" s="14"/>
      <c r="AE13" s="14"/>
      <c r="AF13" s="14"/>
      <c r="AG13" s="14"/>
    </row>
    <row r="14" spans="1:33" s="74" customFormat="1" ht="15">
      <c r="A14" s="14"/>
      <c r="B14" s="32"/>
      <c r="C14" s="32"/>
      <c r="D14" s="914"/>
      <c r="E14" s="914"/>
      <c r="F14" s="537"/>
      <c r="G14" s="625"/>
      <c r="H14" s="907" t="s">
        <v>81</v>
      </c>
      <c r="I14" s="900"/>
      <c r="J14" s="893"/>
      <c r="K14" s="894"/>
      <c r="L14" s="895"/>
      <c r="N14" s="14"/>
      <c r="O14" s="14"/>
      <c r="P14" s="14"/>
      <c r="Q14" s="14"/>
      <c r="R14" s="14"/>
      <c r="S14" s="14"/>
      <c r="T14" s="14"/>
      <c r="U14" s="14"/>
      <c r="V14" s="14"/>
      <c r="W14" s="14"/>
      <c r="X14" s="14"/>
      <c r="Y14" s="14"/>
      <c r="Z14" s="14"/>
      <c r="AA14" s="14"/>
      <c r="AB14" s="14"/>
      <c r="AC14" s="14"/>
      <c r="AD14" s="14"/>
      <c r="AE14" s="14"/>
      <c r="AF14" s="14"/>
      <c r="AG14" s="14"/>
    </row>
    <row r="15" spans="1:33" s="74" customFormat="1" ht="15.75">
      <c r="A15" s="14"/>
      <c r="C15" s="901" t="s">
        <v>305</v>
      </c>
      <c r="D15" s="901"/>
      <c r="E15" s="65"/>
      <c r="F15" s="65"/>
      <c r="G15" s="65"/>
      <c r="H15" s="65"/>
      <c r="I15" s="65"/>
      <c r="J15" s="65"/>
      <c r="K15" s="65"/>
      <c r="L15" s="65"/>
      <c r="N15" s="14"/>
      <c r="O15" s="14"/>
      <c r="P15" s="14"/>
      <c r="Q15" s="14"/>
      <c r="R15" s="14"/>
      <c r="S15" s="14"/>
      <c r="T15" s="14"/>
      <c r="U15" s="14"/>
      <c r="V15" s="14"/>
      <c r="W15" s="14"/>
      <c r="X15" s="14"/>
      <c r="Y15" s="14"/>
      <c r="Z15" s="14"/>
      <c r="AA15" s="14"/>
      <c r="AB15" s="14"/>
      <c r="AC15" s="14"/>
      <c r="AD15" s="14"/>
      <c r="AE15" s="14"/>
      <c r="AF15" s="14"/>
      <c r="AG15" s="14"/>
    </row>
    <row r="16" spans="1:33" s="74" customFormat="1" ht="15">
      <c r="A16" s="14"/>
      <c r="B16" s="32"/>
      <c r="C16" s="32"/>
      <c r="D16" s="908" t="s">
        <v>314</v>
      </c>
      <c r="E16" s="909"/>
      <c r="F16" s="805"/>
      <c r="G16" s="910"/>
      <c r="H16" s="911"/>
      <c r="I16" s="911"/>
      <c r="J16" s="911"/>
      <c r="K16" s="911"/>
      <c r="L16" s="537"/>
      <c r="N16" s="14"/>
      <c r="O16" s="14"/>
      <c r="P16" s="14"/>
      <c r="Q16" s="14"/>
      <c r="R16" s="14"/>
      <c r="S16" s="14"/>
      <c r="T16" s="14"/>
      <c r="U16" s="14"/>
      <c r="V16" s="14"/>
      <c r="W16" s="14"/>
      <c r="X16" s="14"/>
      <c r="Y16" s="14"/>
      <c r="Z16" s="14"/>
      <c r="AA16" s="14"/>
      <c r="AB16" s="14"/>
      <c r="AC16" s="14"/>
      <c r="AD16" s="14"/>
      <c r="AE16" s="14"/>
      <c r="AF16" s="14"/>
      <c r="AG16" s="14"/>
    </row>
    <row r="17" spans="1:33" s="74" customFormat="1" ht="15">
      <c r="A17" s="14"/>
      <c r="B17" s="32"/>
      <c r="C17" s="32"/>
      <c r="D17" s="908" t="s">
        <v>304</v>
      </c>
      <c r="E17" s="909"/>
      <c r="F17" s="804"/>
      <c r="G17" s="912" t="s">
        <v>761</v>
      </c>
      <c r="H17" s="913"/>
      <c r="I17" s="913"/>
      <c r="J17" s="913"/>
      <c r="K17" s="913"/>
      <c r="L17" s="913"/>
      <c r="M17" s="913"/>
      <c r="N17" s="14"/>
      <c r="O17" s="14"/>
      <c r="P17" s="14"/>
      <c r="Q17" s="14"/>
      <c r="R17" s="14"/>
      <c r="S17" s="14"/>
      <c r="T17" s="14"/>
      <c r="U17" s="14"/>
      <c r="V17" s="14"/>
      <c r="W17" s="14"/>
      <c r="X17" s="14"/>
      <c r="Y17" s="14"/>
      <c r="Z17" s="14"/>
      <c r="AA17" s="14"/>
      <c r="AB17" s="14"/>
      <c r="AC17" s="14"/>
      <c r="AD17" s="14"/>
      <c r="AE17" s="14"/>
      <c r="AF17" s="14"/>
      <c r="AG17" s="14"/>
    </row>
    <row r="18" spans="1:33" s="74" customFormat="1" ht="15">
      <c r="A18" s="14"/>
      <c r="B18" s="32"/>
      <c r="C18" s="32"/>
      <c r="D18" s="908" t="s">
        <v>43</v>
      </c>
      <c r="E18" s="909"/>
      <c r="F18" s="731"/>
      <c r="G18" s="912" t="s">
        <v>708</v>
      </c>
      <c r="H18" s="913"/>
      <c r="I18" s="913"/>
      <c r="J18" s="913"/>
      <c r="K18" s="913"/>
      <c r="L18" s="913"/>
      <c r="M18" s="913"/>
      <c r="N18" s="14"/>
      <c r="O18" s="14"/>
      <c r="P18" s="14"/>
      <c r="Q18" s="14"/>
      <c r="R18" s="14"/>
      <c r="S18" s="14"/>
      <c r="T18" s="14"/>
      <c r="U18" s="14"/>
      <c r="V18" s="14"/>
      <c r="W18" s="14"/>
      <c r="X18" s="14"/>
      <c r="Y18" s="14"/>
      <c r="Z18" s="14"/>
      <c r="AA18" s="14"/>
      <c r="AB18" s="14"/>
      <c r="AC18" s="14"/>
      <c r="AD18" s="14"/>
      <c r="AE18" s="14"/>
      <c r="AF18" s="14"/>
      <c r="AG18" s="14"/>
    </row>
    <row r="19" spans="1:33" s="32" customFormat="1" ht="15" customHeight="1">
      <c r="A19" s="14"/>
      <c r="D19" s="908" t="s">
        <v>421</v>
      </c>
      <c r="E19" s="909"/>
      <c r="F19" s="732"/>
      <c r="G19" s="405"/>
      <c r="H19" s="62"/>
      <c r="I19" s="15"/>
      <c r="J19" s="15"/>
      <c r="K19" s="15"/>
      <c r="L19" s="537"/>
      <c r="N19" s="14"/>
      <c r="O19" s="14"/>
      <c r="P19" s="14"/>
      <c r="Q19" s="14"/>
      <c r="R19" s="14"/>
      <c r="S19" s="14"/>
      <c r="T19" s="14"/>
      <c r="U19" s="14"/>
      <c r="V19" s="14"/>
      <c r="W19" s="14"/>
      <c r="X19" s="14"/>
      <c r="Y19" s="14"/>
      <c r="Z19" s="14"/>
      <c r="AA19" s="14"/>
      <c r="AB19" s="14"/>
      <c r="AC19" s="14"/>
      <c r="AD19" s="14"/>
      <c r="AE19" s="14"/>
      <c r="AF19" s="14"/>
      <c r="AG19" s="14"/>
    </row>
    <row r="20" spans="1:33" s="74" customFormat="1" ht="15">
      <c r="A20" s="14"/>
      <c r="B20" s="32"/>
      <c r="C20" s="32"/>
      <c r="D20" s="908" t="s">
        <v>44</v>
      </c>
      <c r="E20" s="909"/>
      <c r="F20" s="733"/>
      <c r="G20" s="556"/>
      <c r="H20" s="557">
        <v>365</v>
      </c>
      <c r="I20" s="537"/>
      <c r="J20" s="537"/>
      <c r="K20" s="537"/>
      <c r="L20" s="537"/>
      <c r="N20" s="36"/>
      <c r="O20" s="14"/>
      <c r="P20" s="14"/>
      <c r="Q20" s="14"/>
      <c r="R20" s="14"/>
      <c r="S20" s="14"/>
      <c r="T20" s="14"/>
      <c r="U20" s="14"/>
      <c r="V20" s="14"/>
      <c r="W20" s="14"/>
      <c r="X20" s="14"/>
      <c r="Y20" s="14"/>
      <c r="Z20" s="14"/>
      <c r="AA20" s="14"/>
      <c r="AB20" s="14"/>
      <c r="AC20" s="14"/>
      <c r="AD20" s="14"/>
      <c r="AE20" s="14"/>
      <c r="AF20" s="14"/>
      <c r="AG20" s="14"/>
    </row>
    <row r="21" spans="1:33" s="32" customFormat="1" ht="15" customHeight="1">
      <c r="A21" s="14"/>
      <c r="D21" s="915"/>
      <c r="E21" s="915"/>
      <c r="F21" s="536"/>
      <c r="G21" s="408"/>
      <c r="H21" s="62"/>
      <c r="I21" s="15"/>
      <c r="J21" s="15"/>
      <c r="K21" s="15"/>
      <c r="L21" s="537"/>
      <c r="N21" s="14"/>
      <c r="O21" s="14"/>
      <c r="P21" s="14"/>
      <c r="Q21" s="14"/>
      <c r="R21" s="14"/>
      <c r="S21" s="14"/>
      <c r="T21" s="14"/>
      <c r="U21" s="14"/>
      <c r="V21" s="14"/>
      <c r="W21" s="14"/>
      <c r="X21" s="14"/>
      <c r="Y21" s="14"/>
      <c r="Z21" s="14"/>
      <c r="AA21" s="14"/>
      <c r="AB21" s="14"/>
      <c r="AC21" s="14"/>
      <c r="AD21" s="14"/>
      <c r="AE21" s="14"/>
      <c r="AF21" s="14"/>
      <c r="AG21" s="14"/>
    </row>
    <row r="22" spans="1:33" s="32" customFormat="1" ht="15" customHeight="1">
      <c r="A22" s="14"/>
      <c r="D22" s="908" t="s">
        <v>85</v>
      </c>
      <c r="E22" s="909"/>
      <c r="F22" s="733"/>
      <c r="G22" s="405"/>
      <c r="H22" s="407"/>
      <c r="I22" s="15"/>
      <c r="J22" s="15"/>
      <c r="K22" s="15"/>
      <c r="N22" s="36"/>
      <c r="O22" s="14"/>
      <c r="P22" s="14"/>
      <c r="Q22" s="14"/>
      <c r="R22" s="14"/>
      <c r="S22" s="14"/>
      <c r="T22" s="14"/>
      <c r="U22" s="14"/>
      <c r="V22" s="14"/>
      <c r="W22" s="14"/>
      <c r="X22" s="14"/>
      <c r="Y22" s="14"/>
      <c r="Z22" s="14"/>
      <c r="AA22" s="14"/>
      <c r="AB22" s="14"/>
      <c r="AC22" s="14"/>
      <c r="AD22" s="14"/>
      <c r="AE22" s="14"/>
      <c r="AF22" s="14"/>
      <c r="AG22" s="14"/>
    </row>
    <row r="23" spans="1:33" s="32" customFormat="1" ht="15" customHeight="1">
      <c r="A23" s="14"/>
      <c r="D23" s="908" t="s">
        <v>84</v>
      </c>
      <c r="E23" s="909"/>
      <c r="F23" s="734"/>
      <c r="G23" s="405"/>
      <c r="H23" s="406"/>
      <c r="I23" s="15"/>
      <c r="J23" s="15"/>
      <c r="K23" s="15"/>
      <c r="N23" s="36"/>
      <c r="O23" s="14"/>
      <c r="P23" s="14"/>
      <c r="Q23" s="14"/>
      <c r="R23" s="14"/>
      <c r="S23" s="14"/>
      <c r="T23" s="14"/>
      <c r="U23" s="14"/>
      <c r="V23" s="14"/>
      <c r="W23" s="14"/>
      <c r="X23" s="14"/>
      <c r="Y23" s="14"/>
      <c r="Z23" s="14"/>
      <c r="AA23" s="14"/>
      <c r="AB23" s="14"/>
      <c r="AC23" s="14"/>
      <c r="AD23" s="14"/>
      <c r="AE23" s="14"/>
      <c r="AF23" s="14"/>
      <c r="AG23" s="14"/>
    </row>
    <row r="24" spans="1:33" s="32" customFormat="1" ht="26.25" customHeight="1">
      <c r="A24" s="14"/>
      <c r="D24" s="445"/>
      <c r="E24" s="445"/>
      <c r="F24" s="445"/>
      <c r="G24" s="63"/>
      <c r="H24" s="63"/>
      <c r="I24" s="15"/>
      <c r="J24" s="15"/>
      <c r="K24" s="15"/>
      <c r="L24" s="67"/>
      <c r="N24" s="14"/>
      <c r="O24" s="14"/>
      <c r="P24" s="14"/>
      <c r="Q24" s="14"/>
      <c r="R24" s="14"/>
      <c r="S24" s="14"/>
      <c r="T24" s="14"/>
      <c r="U24" s="14"/>
      <c r="V24" s="14"/>
      <c r="W24" s="14"/>
      <c r="X24" s="14"/>
      <c r="Y24" s="14"/>
      <c r="Z24" s="14"/>
      <c r="AA24" s="14"/>
      <c r="AB24" s="14"/>
      <c r="AC24" s="14"/>
      <c r="AD24" s="14"/>
      <c r="AE24" s="14"/>
      <c r="AF24" s="14"/>
      <c r="AG24" s="14"/>
    </row>
    <row r="25" spans="1:33" s="74" customFormat="1" ht="15.75">
      <c r="A25" s="14"/>
      <c r="C25" s="901" t="s">
        <v>306</v>
      </c>
      <c r="D25" s="901"/>
      <c r="F25" s="72" t="s">
        <v>20</v>
      </c>
      <c r="G25" s="72" t="s">
        <v>19</v>
      </c>
      <c r="H25" s="73"/>
      <c r="I25" s="67"/>
      <c r="J25" s="67"/>
      <c r="K25" s="67"/>
      <c r="L25" s="67"/>
      <c r="N25" s="14"/>
      <c r="O25" s="14"/>
      <c r="P25" s="844" t="s">
        <v>224</v>
      </c>
      <c r="Q25" s="14"/>
      <c r="R25" s="14"/>
      <c r="S25" s="14"/>
      <c r="T25" s="14"/>
      <c r="U25" s="14"/>
      <c r="V25" s="14"/>
      <c r="W25" s="14"/>
      <c r="X25" s="14"/>
      <c r="Y25" s="14"/>
      <c r="Z25" s="14"/>
      <c r="AA25" s="14"/>
      <c r="AB25" s="14"/>
      <c r="AC25" s="14"/>
      <c r="AD25" s="14"/>
      <c r="AE25" s="14"/>
      <c r="AF25" s="14"/>
      <c r="AG25" s="14"/>
    </row>
    <row r="26" spans="1:33" s="74" customFormat="1" ht="15">
      <c r="A26" s="14"/>
      <c r="B26" s="32"/>
      <c r="C26" s="32"/>
      <c r="D26" s="899" t="s">
        <v>307</v>
      </c>
      <c r="E26" s="900"/>
      <c r="F26" s="735"/>
      <c r="G26" s="736"/>
      <c r="I26" s="67"/>
      <c r="J26" s="67"/>
      <c r="K26" s="67"/>
      <c r="L26" s="67"/>
      <c r="M26" s="76"/>
      <c r="N26" s="14"/>
      <c r="O26" s="265"/>
      <c r="P26" s="845">
        <f>IF(OR(ISERROR(VLOOKUP(G26,Conversions!$D2:$E10,2,FALSE)),F26=0,G26="flat rate"),0,F26/VLOOKUP(G26,Conversions!$D2:$E10,2,FALSE))</f>
        <v>0</v>
      </c>
      <c r="Q26" s="14"/>
      <c r="R26" s="14"/>
      <c r="S26" s="14"/>
      <c r="T26" s="14"/>
      <c r="U26" s="14"/>
      <c r="V26" s="14"/>
      <c r="W26" s="14"/>
      <c r="X26" s="14"/>
      <c r="Y26" s="14"/>
      <c r="Z26" s="14"/>
      <c r="AA26" s="14"/>
      <c r="AB26" s="14"/>
      <c r="AC26" s="14"/>
      <c r="AD26" s="14"/>
      <c r="AE26" s="14"/>
      <c r="AF26" s="14"/>
      <c r="AG26" s="14"/>
    </row>
    <row r="27" spans="1:33" s="74" customFormat="1" ht="15">
      <c r="A27" s="14"/>
      <c r="B27" s="32"/>
      <c r="C27" s="32"/>
      <c r="D27" s="899" t="s">
        <v>308</v>
      </c>
      <c r="E27" s="900"/>
      <c r="F27" s="735"/>
      <c r="G27" s="736"/>
      <c r="I27" s="68"/>
      <c r="J27" s="68"/>
      <c r="K27" s="68"/>
      <c r="L27" s="67"/>
      <c r="M27" s="76"/>
      <c r="N27" s="14"/>
      <c r="O27" s="14"/>
      <c r="P27" s="845">
        <f>IF(OR(ISERROR(VLOOKUP(G27,Conversions!$D2:$E10,2,FALSE)),F27=0,G27="flat rate"),0,F27/VLOOKUP(G27,Conversions!$D2:$E10,2,FALSE))</f>
        <v>0</v>
      </c>
      <c r="Q27" s="14"/>
      <c r="R27" s="14"/>
      <c r="S27" s="14"/>
      <c r="T27" s="14"/>
      <c r="U27" s="14"/>
      <c r="V27" s="14"/>
      <c r="W27" s="14"/>
      <c r="X27" s="14"/>
      <c r="Y27" s="14"/>
      <c r="Z27" s="14"/>
      <c r="AA27" s="14"/>
      <c r="AB27" s="14"/>
      <c r="AC27" s="14"/>
      <c r="AD27" s="14"/>
      <c r="AE27" s="14"/>
      <c r="AF27" s="14"/>
      <c r="AG27" s="14"/>
    </row>
    <row r="28" spans="1:33" s="74" customFormat="1" ht="15">
      <c r="A28" s="14"/>
      <c r="B28" s="32"/>
      <c r="C28" s="32"/>
      <c r="D28" s="899" t="s">
        <v>309</v>
      </c>
      <c r="E28" s="900"/>
      <c r="F28" s="735"/>
      <c r="G28" s="736"/>
      <c r="I28" s="68"/>
      <c r="J28" s="68"/>
      <c r="K28" s="68"/>
      <c r="L28" s="67"/>
      <c r="M28" s="76"/>
      <c r="N28" s="14"/>
      <c r="O28" s="262"/>
      <c r="P28" s="845">
        <f>IF(OR(ISERROR(VLOOKUP(G28,Conversions!$D23:$E26,2,FALSE)),F28=0),0,F28/VLOOKUP(G28,Conversions!$D23:$E26,2,FALSE))</f>
        <v>0</v>
      </c>
      <c r="Q28" s="14"/>
      <c r="R28" s="14"/>
      <c r="S28" s="14"/>
      <c r="T28" s="14"/>
      <c r="U28" s="14"/>
      <c r="V28" s="14"/>
      <c r="W28" s="14"/>
      <c r="X28" s="14"/>
      <c r="Y28" s="14"/>
      <c r="Z28" s="14"/>
      <c r="AA28" s="14"/>
      <c r="AB28" s="14"/>
      <c r="AC28" s="14"/>
      <c r="AD28" s="14"/>
      <c r="AE28" s="14"/>
      <c r="AF28" s="14"/>
      <c r="AG28" s="14"/>
    </row>
    <row r="29" spans="1:33" s="74" customFormat="1" ht="15">
      <c r="A29" s="14"/>
      <c r="B29" s="32"/>
      <c r="C29" s="32"/>
      <c r="D29" s="899" t="s">
        <v>310</v>
      </c>
      <c r="E29" s="900"/>
      <c r="F29" s="735"/>
      <c r="G29" s="737"/>
      <c r="I29" s="68"/>
      <c r="J29" s="68"/>
      <c r="K29" s="68"/>
      <c r="L29" s="67"/>
      <c r="M29" s="76"/>
      <c r="N29" s="14"/>
      <c r="O29" s="14"/>
      <c r="P29" s="845">
        <f>IF(ISERROR(VLOOKUP(G29,Conversions!$D13:$E20,2,FALSE)),0,F29/VLOOKUP(G29,Conversions!$D13:$E20,2,FALSE))</f>
        <v>0</v>
      </c>
      <c r="Q29" s="14"/>
      <c r="R29" s="14"/>
      <c r="S29" s="14"/>
      <c r="T29" s="14"/>
      <c r="U29" s="14"/>
      <c r="V29" s="14"/>
      <c r="W29" s="14"/>
      <c r="X29" s="14"/>
      <c r="Y29" s="14"/>
      <c r="Z29" s="14"/>
      <c r="AA29" s="14"/>
      <c r="AB29" s="14"/>
      <c r="AC29" s="14"/>
      <c r="AD29" s="14"/>
      <c r="AE29" s="14"/>
      <c r="AF29" s="14"/>
      <c r="AG29" s="14"/>
    </row>
    <row r="30" spans="1:33" s="74" customFormat="1" ht="15">
      <c r="A30" s="14"/>
      <c r="B30" s="32"/>
      <c r="C30" s="906"/>
      <c r="D30" s="906"/>
      <c r="E30" s="906"/>
      <c r="F30" s="71"/>
      <c r="G30" s="71"/>
      <c r="H30" s="68"/>
      <c r="I30" s="77"/>
      <c r="J30" s="77"/>
      <c r="K30" s="77"/>
      <c r="L30" s="77"/>
      <c r="N30" s="14"/>
      <c r="O30" s="14"/>
      <c r="P30" s="14"/>
      <c r="Q30" s="14"/>
      <c r="R30" s="14"/>
      <c r="S30" s="14"/>
      <c r="T30" s="14"/>
      <c r="U30" s="14"/>
      <c r="V30" s="14"/>
      <c r="W30" s="14"/>
      <c r="X30" s="14"/>
      <c r="Y30" s="14"/>
      <c r="Z30" s="14"/>
      <c r="AA30" s="14"/>
      <c r="AB30" s="14"/>
      <c r="AC30" s="14"/>
      <c r="AD30" s="14"/>
      <c r="AE30" s="14"/>
      <c r="AF30" s="14"/>
      <c r="AG30" s="14"/>
    </row>
    <row r="31" spans="1:33" ht="15.75">
      <c r="A31" s="64"/>
      <c r="B31" s="66"/>
      <c r="C31" s="901" t="s">
        <v>311</v>
      </c>
      <c r="D31" s="901"/>
      <c r="E31" s="901"/>
      <c r="F31" s="65"/>
      <c r="G31" s="65"/>
      <c r="H31" s="65"/>
      <c r="I31" s="65"/>
      <c r="J31" s="65"/>
      <c r="K31" s="65"/>
      <c r="L31" s="65"/>
      <c r="N31" s="14"/>
      <c r="O31" s="14"/>
      <c r="P31" s="14"/>
      <c r="Q31" s="14"/>
      <c r="R31" s="14"/>
      <c r="S31" s="14"/>
      <c r="T31" s="14"/>
      <c r="U31" s="14"/>
      <c r="V31" s="14"/>
      <c r="W31" s="14"/>
      <c r="X31" s="14"/>
      <c r="Y31" s="14"/>
      <c r="Z31" s="14"/>
      <c r="AA31" s="14"/>
      <c r="AB31" s="14"/>
      <c r="AC31" s="14"/>
      <c r="AD31" s="14"/>
      <c r="AE31" s="14"/>
      <c r="AF31" s="14"/>
      <c r="AG31" s="14"/>
    </row>
    <row r="32" spans="1:33" s="79" customFormat="1" ht="15">
      <c r="A32" s="14"/>
      <c r="B32" s="32"/>
      <c r="C32" s="32"/>
      <c r="D32" s="404" t="s">
        <v>21</v>
      </c>
      <c r="E32" s="72" t="s">
        <v>47</v>
      </c>
      <c r="F32" s="72" t="s">
        <v>23</v>
      </c>
      <c r="G32" s="72" t="s">
        <v>22</v>
      </c>
      <c r="H32" s="78"/>
      <c r="I32" s="78"/>
      <c r="J32" s="78"/>
      <c r="K32" s="78"/>
      <c r="L32" s="78"/>
      <c r="N32" s="14"/>
      <c r="O32" s="14"/>
      <c r="P32" s="14"/>
      <c r="Q32" s="14"/>
      <c r="R32" s="14"/>
      <c r="S32" s="14"/>
      <c r="T32" s="14"/>
      <c r="U32" s="14"/>
      <c r="V32" s="14"/>
      <c r="W32" s="14"/>
      <c r="X32" s="14"/>
      <c r="Y32" s="14"/>
      <c r="Z32" s="14"/>
      <c r="AA32" s="14"/>
      <c r="AB32" s="14"/>
      <c r="AC32" s="14"/>
      <c r="AD32" s="14"/>
      <c r="AE32" s="14"/>
      <c r="AF32" s="14"/>
      <c r="AG32" s="14"/>
    </row>
    <row r="33" spans="1:33" s="55" customFormat="1" ht="15">
      <c r="A33" s="14"/>
      <c r="B33" s="32"/>
      <c r="C33" s="32"/>
      <c r="D33" s="733"/>
      <c r="E33" s="414"/>
      <c r="F33" s="736"/>
      <c r="G33" s="414"/>
      <c r="H33" s="70"/>
      <c r="I33" s="80"/>
      <c r="J33" s="80"/>
      <c r="K33" s="80"/>
      <c r="L33" s="80"/>
      <c r="N33" s="14"/>
      <c r="O33" s="14"/>
      <c r="P33" s="14"/>
      <c r="Q33" s="14"/>
      <c r="R33" s="14"/>
      <c r="S33" s="14"/>
      <c r="T33" s="14"/>
      <c r="U33" s="14"/>
      <c r="V33" s="14"/>
      <c r="W33" s="14"/>
      <c r="X33" s="14"/>
      <c r="Y33" s="14"/>
      <c r="Z33" s="14"/>
      <c r="AA33" s="14"/>
      <c r="AB33" s="14"/>
      <c r="AC33" s="14"/>
      <c r="AD33" s="14"/>
      <c r="AE33" s="14"/>
      <c r="AF33" s="14"/>
      <c r="AG33" s="14"/>
    </row>
    <row r="34" spans="1:33" s="55" customFormat="1" ht="15">
      <c r="A34" s="14"/>
      <c r="B34" s="32"/>
      <c r="C34" s="32"/>
      <c r="D34" s="733"/>
      <c r="E34" s="414"/>
      <c r="F34" s="736"/>
      <c r="G34" s="414"/>
      <c r="H34" s="70"/>
      <c r="I34" s="80"/>
      <c r="J34" s="80"/>
      <c r="K34" s="80"/>
      <c r="L34" s="80"/>
      <c r="N34" s="14"/>
      <c r="O34" s="14"/>
      <c r="P34" s="14"/>
      <c r="Q34" s="14"/>
      <c r="R34" s="14"/>
      <c r="S34" s="14"/>
      <c r="T34" s="14"/>
      <c r="U34" s="14"/>
      <c r="V34" s="14"/>
      <c r="W34" s="14"/>
      <c r="X34" s="14"/>
      <c r="Y34" s="14"/>
      <c r="Z34" s="14"/>
      <c r="AA34" s="14"/>
      <c r="AB34" s="14"/>
      <c r="AC34" s="14"/>
      <c r="AD34" s="14"/>
      <c r="AE34" s="14"/>
      <c r="AF34" s="14"/>
      <c r="AG34" s="14"/>
    </row>
    <row r="35" spans="1:33" s="55" customFormat="1" ht="15">
      <c r="A35" s="14"/>
      <c r="B35" s="32"/>
      <c r="C35" s="32"/>
      <c r="D35" s="733"/>
      <c r="E35" s="414"/>
      <c r="F35" s="736"/>
      <c r="G35" s="414"/>
      <c r="H35" s="70"/>
      <c r="I35" s="80"/>
      <c r="J35" s="80"/>
      <c r="K35" s="80"/>
      <c r="L35" s="80"/>
      <c r="N35" s="14"/>
      <c r="O35" s="14"/>
      <c r="P35" s="14"/>
      <c r="Q35" s="14"/>
      <c r="R35" s="14"/>
      <c r="S35" s="14"/>
      <c r="T35" s="14"/>
      <c r="U35" s="14"/>
      <c r="V35" s="14"/>
      <c r="W35" s="14"/>
      <c r="X35" s="14"/>
      <c r="Y35" s="14"/>
      <c r="Z35" s="14"/>
      <c r="AA35" s="14"/>
      <c r="AB35" s="14"/>
      <c r="AC35" s="14"/>
      <c r="AD35" s="14"/>
      <c r="AE35" s="14"/>
      <c r="AF35" s="14"/>
      <c r="AG35" s="14"/>
    </row>
    <row r="36" spans="1:33" s="55" customFormat="1" ht="15">
      <c r="A36" s="14"/>
      <c r="B36" s="32"/>
      <c r="C36" s="32"/>
      <c r="D36" s="733"/>
      <c r="E36" s="414"/>
      <c r="F36" s="736"/>
      <c r="G36" s="414"/>
      <c r="H36" s="70"/>
      <c r="I36" s="80"/>
      <c r="J36" s="80"/>
      <c r="K36" s="80"/>
      <c r="L36" s="80"/>
      <c r="N36" s="14"/>
      <c r="O36" s="14"/>
      <c r="P36" s="14"/>
      <c r="Q36" s="14"/>
      <c r="R36" s="14"/>
      <c r="S36" s="14"/>
      <c r="T36" s="14"/>
      <c r="U36" s="14"/>
      <c r="V36" s="14"/>
      <c r="W36" s="14"/>
      <c r="X36" s="14"/>
      <c r="Y36" s="14"/>
      <c r="Z36" s="14"/>
      <c r="AA36" s="14"/>
      <c r="AB36" s="14"/>
      <c r="AC36" s="14"/>
      <c r="AD36" s="14"/>
      <c r="AE36" s="14"/>
      <c r="AF36" s="14"/>
      <c r="AG36" s="14"/>
    </row>
    <row r="37" spans="1:33" s="55" customFormat="1" ht="15">
      <c r="A37" s="14"/>
      <c r="B37" s="32"/>
      <c r="C37" s="32"/>
      <c r="D37" s="733"/>
      <c r="E37" s="414"/>
      <c r="F37" s="736"/>
      <c r="G37" s="414"/>
      <c r="H37" s="70"/>
      <c r="I37" s="80"/>
      <c r="J37" s="80"/>
      <c r="K37" s="80"/>
      <c r="L37" s="80"/>
      <c r="N37" s="14"/>
      <c r="O37" s="14"/>
      <c r="P37" s="14"/>
      <c r="Q37" s="14"/>
      <c r="R37" s="14"/>
      <c r="S37" s="14"/>
      <c r="T37" s="14"/>
      <c r="U37" s="14"/>
      <c r="V37" s="14"/>
      <c r="W37" s="14"/>
      <c r="X37" s="14"/>
      <c r="Y37" s="14"/>
      <c r="Z37" s="14"/>
      <c r="AA37" s="14"/>
      <c r="AB37" s="14"/>
      <c r="AC37" s="14"/>
      <c r="AD37" s="14"/>
      <c r="AE37" s="14"/>
      <c r="AF37" s="14"/>
      <c r="AG37" s="14"/>
    </row>
    <row r="38" spans="1:33" s="55" customFormat="1" ht="15">
      <c r="A38" s="14"/>
      <c r="B38" s="32"/>
      <c r="C38" s="32"/>
      <c r="D38" s="733"/>
      <c r="E38" s="414"/>
      <c r="F38" s="736"/>
      <c r="G38" s="414"/>
      <c r="H38" s="70"/>
      <c r="I38" s="80"/>
      <c r="J38" s="80"/>
      <c r="K38" s="80"/>
      <c r="L38" s="80"/>
      <c r="N38" s="14"/>
      <c r="O38" s="14"/>
      <c r="P38" s="14"/>
      <c r="Q38" s="14"/>
      <c r="R38" s="14"/>
      <c r="S38" s="14"/>
      <c r="T38" s="14"/>
      <c r="U38" s="14"/>
      <c r="V38" s="14"/>
      <c r="W38" s="14"/>
      <c r="X38" s="14"/>
      <c r="Y38" s="14"/>
      <c r="Z38" s="14"/>
      <c r="AA38" s="14"/>
      <c r="AB38" s="14"/>
      <c r="AC38" s="14"/>
      <c r="AD38" s="14"/>
      <c r="AE38" s="14"/>
      <c r="AF38" s="14"/>
      <c r="AG38" s="14"/>
    </row>
    <row r="39" spans="1:33" ht="15">
      <c r="A39" s="14"/>
      <c r="D39" s="70"/>
      <c r="E39" s="69"/>
      <c r="F39" s="70"/>
      <c r="G39" s="70"/>
      <c r="H39" s="70"/>
      <c r="I39" s="70"/>
      <c r="J39" s="70"/>
      <c r="K39" s="70"/>
      <c r="L39" s="70"/>
      <c r="N39" s="14"/>
      <c r="O39" s="14"/>
      <c r="P39" s="14"/>
      <c r="Q39" s="14"/>
      <c r="R39" s="14"/>
      <c r="S39" s="14"/>
      <c r="T39" s="14"/>
      <c r="U39" s="14"/>
      <c r="V39" s="14"/>
      <c r="W39" s="14"/>
      <c r="X39" s="14"/>
      <c r="Y39" s="14"/>
      <c r="Z39" s="14"/>
      <c r="AA39" s="14"/>
      <c r="AB39" s="14"/>
      <c r="AC39" s="14"/>
      <c r="AD39" s="14"/>
      <c r="AE39" s="14"/>
      <c r="AF39" s="14"/>
      <c r="AG39" s="14"/>
    </row>
    <row r="40" spans="1:33" ht="15">
      <c r="A40" s="14"/>
      <c r="B40" s="654" t="s">
        <v>877</v>
      </c>
      <c r="C40" s="14"/>
      <c r="D40" s="14"/>
      <c r="E40" s="14"/>
      <c r="F40" s="14"/>
      <c r="G40" s="14"/>
      <c r="H40" s="14"/>
      <c r="I40" s="14"/>
      <c r="J40" s="14"/>
      <c r="K40" s="14"/>
      <c r="L40" s="14"/>
      <c r="M40" s="14"/>
      <c r="N40" s="14"/>
      <c r="O40" s="14"/>
      <c r="P40" s="14"/>
      <c r="Q40" s="14"/>
      <c r="R40" s="14"/>
      <c r="S40" s="14"/>
      <c r="T40" s="14"/>
      <c r="U40" s="14"/>
      <c r="V40" s="14"/>
      <c r="W40" s="14"/>
      <c r="X40" s="14"/>
      <c r="Y40" s="14"/>
      <c r="Z40" s="14"/>
      <c r="AA40" s="14"/>
      <c r="AB40" s="14"/>
      <c r="AC40" s="14"/>
      <c r="AD40" s="14"/>
      <c r="AE40" s="14"/>
      <c r="AF40" s="14"/>
      <c r="AG40" s="14"/>
    </row>
    <row r="41" spans="1:33" s="32" customFormat="1" ht="19.5" customHeight="1">
      <c r="A41" s="14"/>
      <c r="B41" s="14"/>
      <c r="C41" s="14"/>
      <c r="D41" s="14"/>
      <c r="E41" s="14"/>
      <c r="F41" s="14"/>
      <c r="G41" s="14"/>
      <c r="H41" s="14"/>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row>
    <row r="42" spans="1:33" ht="15">
      <c r="A42" s="14"/>
      <c r="B42" s="14"/>
      <c r="C42" s="14"/>
      <c r="D42" s="14"/>
      <c r="E42" s="14"/>
      <c r="F42" s="14"/>
      <c r="G42" s="14"/>
      <c r="H42" s="14"/>
      <c r="I42" s="14"/>
      <c r="J42" s="14"/>
      <c r="K42" s="14"/>
      <c r="L42" s="14"/>
      <c r="M42" s="14"/>
      <c r="N42" s="14"/>
      <c r="O42" s="14"/>
      <c r="P42" s="14"/>
      <c r="Q42" s="14"/>
      <c r="R42" s="14"/>
      <c r="S42" s="14"/>
      <c r="T42" s="14"/>
      <c r="U42" s="14"/>
      <c r="V42" s="14"/>
      <c r="W42" s="14"/>
      <c r="X42" s="14"/>
      <c r="Y42" s="14"/>
      <c r="Z42" s="14"/>
      <c r="AA42" s="14"/>
      <c r="AB42" s="14"/>
      <c r="AC42" s="14"/>
      <c r="AD42" s="14"/>
      <c r="AE42" s="14"/>
      <c r="AF42" s="14"/>
      <c r="AG42" s="14"/>
    </row>
    <row r="43" spans="1:33" ht="15">
      <c r="A43" s="14"/>
      <c r="B43" s="14"/>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row>
    <row r="44" spans="1:33" ht="15">
      <c r="A44" s="14"/>
      <c r="B44" s="14"/>
      <c r="C44" s="14"/>
      <c r="D44" s="14"/>
      <c r="E44" s="14"/>
      <c r="F44" s="14"/>
      <c r="G44" s="14"/>
      <c r="H44" s="14"/>
      <c r="I44" s="14"/>
      <c r="J44" s="14"/>
      <c r="K44" s="14"/>
      <c r="L44" s="14"/>
      <c r="M44" s="14"/>
      <c r="N44" s="14"/>
      <c r="O44" s="14"/>
      <c r="P44" s="14"/>
      <c r="Q44" s="14"/>
      <c r="R44" s="14"/>
      <c r="S44" s="14"/>
      <c r="T44" s="14"/>
      <c r="U44" s="14"/>
      <c r="V44" s="14"/>
      <c r="W44" s="14"/>
      <c r="X44" s="14"/>
      <c r="Y44" s="14"/>
      <c r="Z44" s="14"/>
      <c r="AA44" s="14"/>
      <c r="AB44" s="14"/>
      <c r="AC44" s="14"/>
      <c r="AD44" s="14"/>
      <c r="AE44" s="14"/>
      <c r="AF44" s="14"/>
      <c r="AG44" s="14"/>
    </row>
    <row r="45" spans="1:33" ht="15">
      <c r="A45" s="14"/>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row>
    <row r="46" spans="1:33" ht="15">
      <c r="A46" s="14"/>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row>
    <row r="47" spans="1:33" ht="15">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row>
    <row r="48" spans="1:33" ht="15">
      <c r="A48" s="14"/>
      <c r="B48" s="14"/>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row>
    <row r="49" spans="1:33" ht="15">
      <c r="A49" s="14"/>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row>
    <row r="50" spans="1:33" ht="15">
      <c r="A50" s="14"/>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row>
    <row r="51" spans="1:33" ht="15">
      <c r="A51" s="14"/>
      <c r="B51" s="14"/>
      <c r="C51" s="14"/>
      <c r="D51" s="14"/>
      <c r="E51" s="14"/>
      <c r="F51" s="14"/>
      <c r="G51" s="14"/>
      <c r="H51" s="14"/>
      <c r="I51" s="14"/>
      <c r="J51" s="14"/>
      <c r="K51" s="14"/>
      <c r="L51" s="14"/>
      <c r="M51" s="14"/>
      <c r="N51" s="14"/>
      <c r="O51" s="14"/>
      <c r="P51" s="14"/>
      <c r="Q51" s="14"/>
      <c r="R51" s="14"/>
      <c r="S51" s="14"/>
      <c r="T51" s="14"/>
      <c r="U51" s="14"/>
      <c r="V51" s="14"/>
      <c r="W51" s="14"/>
      <c r="X51" s="14"/>
      <c r="Y51" s="14"/>
      <c r="Z51" s="14"/>
      <c r="AA51" s="14"/>
      <c r="AB51" s="14"/>
      <c r="AC51" s="14"/>
      <c r="AD51" s="14"/>
      <c r="AE51" s="14"/>
      <c r="AF51" s="14"/>
      <c r="AG51" s="14"/>
    </row>
    <row r="52" spans="1:33" ht="15">
      <c r="A52" s="14"/>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c r="AD52" s="14"/>
      <c r="AE52" s="14"/>
      <c r="AF52" s="14"/>
      <c r="AG52" s="14"/>
    </row>
    <row r="53" spans="1:33" ht="15">
      <c r="A53" s="14"/>
      <c r="B53" s="14"/>
      <c r="C53" s="14"/>
      <c r="D53" s="14"/>
      <c r="E53" s="14"/>
      <c r="F53" s="14"/>
      <c r="G53" s="14"/>
      <c r="H53" s="14"/>
      <c r="I53" s="14"/>
      <c r="J53" s="14"/>
      <c r="K53" s="14"/>
      <c r="L53" s="14"/>
      <c r="M53" s="14"/>
      <c r="N53" s="14"/>
      <c r="O53" s="14"/>
      <c r="P53" s="14"/>
      <c r="Q53" s="14"/>
      <c r="R53" s="14"/>
      <c r="S53" s="14"/>
      <c r="T53" s="14"/>
      <c r="U53" s="14"/>
      <c r="V53" s="14"/>
      <c r="W53" s="14"/>
      <c r="X53" s="14"/>
      <c r="Y53" s="14"/>
      <c r="Z53" s="14"/>
      <c r="AA53" s="14"/>
      <c r="AB53" s="14"/>
      <c r="AC53" s="14"/>
      <c r="AD53" s="14"/>
      <c r="AE53" s="14"/>
      <c r="AF53" s="14"/>
      <c r="AG53" s="14"/>
    </row>
    <row r="54" spans="1:33" ht="15">
      <c r="A54" s="14"/>
      <c r="B54" s="14"/>
      <c r="C54" s="14"/>
      <c r="D54" s="14"/>
      <c r="E54" s="14"/>
      <c r="F54" s="14"/>
      <c r="G54" s="14"/>
      <c r="H54" s="14"/>
      <c r="I54" s="14"/>
      <c r="J54" s="14"/>
      <c r="K54" s="14"/>
      <c r="L54" s="14"/>
      <c r="M54" s="14"/>
      <c r="N54" s="14"/>
      <c r="O54" s="14"/>
      <c r="P54" s="14"/>
      <c r="Q54" s="14"/>
      <c r="R54" s="14"/>
      <c r="S54" s="14"/>
      <c r="T54" s="14"/>
      <c r="U54" s="14"/>
      <c r="V54" s="14"/>
      <c r="W54" s="14"/>
      <c r="X54" s="14"/>
      <c r="Y54" s="14"/>
      <c r="Z54" s="14"/>
      <c r="AA54" s="14"/>
      <c r="AB54" s="14"/>
      <c r="AC54" s="14"/>
      <c r="AD54" s="14"/>
      <c r="AE54" s="14"/>
      <c r="AF54" s="14"/>
      <c r="AG54" s="14"/>
    </row>
    <row r="55" spans="1:33" ht="15">
      <c r="A55" s="14"/>
      <c r="B55" s="14"/>
      <c r="C55" s="14"/>
      <c r="D55" s="14"/>
      <c r="E55" s="14"/>
      <c r="F55" s="14"/>
      <c r="G55" s="14"/>
      <c r="H55" s="14"/>
      <c r="I55" s="14"/>
      <c r="J55" s="14"/>
      <c r="K55" s="14"/>
      <c r="L55" s="14"/>
      <c r="M55" s="14"/>
      <c r="N55" s="14"/>
      <c r="O55" s="14"/>
      <c r="P55" s="14"/>
      <c r="Q55" s="14"/>
      <c r="R55" s="14"/>
      <c r="S55" s="14"/>
      <c r="T55" s="14"/>
      <c r="U55" s="14"/>
      <c r="V55" s="14"/>
      <c r="W55" s="14"/>
      <c r="X55" s="14"/>
      <c r="Y55" s="14"/>
      <c r="Z55" s="14"/>
      <c r="AA55" s="14"/>
      <c r="AB55" s="14"/>
      <c r="AC55" s="14"/>
      <c r="AD55" s="14"/>
      <c r="AE55" s="14"/>
      <c r="AF55" s="14"/>
      <c r="AG55" s="14"/>
    </row>
    <row r="56" spans="1:33" ht="15">
      <c r="A56" s="14"/>
      <c r="B56" s="14"/>
      <c r="C56" s="14"/>
      <c r="D56" s="14"/>
      <c r="E56" s="14"/>
      <c r="F56" s="14"/>
      <c r="G56" s="14"/>
      <c r="H56" s="14"/>
      <c r="I56" s="14"/>
      <c r="J56" s="14"/>
      <c r="K56" s="14"/>
      <c r="L56" s="14"/>
      <c r="M56" s="14"/>
      <c r="N56" s="14"/>
      <c r="O56" s="14"/>
      <c r="P56" s="14"/>
      <c r="Q56" s="14"/>
      <c r="R56" s="14"/>
      <c r="S56" s="14"/>
      <c r="T56" s="14"/>
      <c r="U56" s="14"/>
      <c r="V56" s="14"/>
      <c r="W56" s="14"/>
      <c r="X56" s="14"/>
      <c r="Y56" s="14"/>
      <c r="Z56" s="14"/>
      <c r="AA56" s="14"/>
      <c r="AB56" s="14"/>
      <c r="AC56" s="14"/>
      <c r="AD56" s="14"/>
      <c r="AE56" s="14"/>
      <c r="AF56" s="14"/>
      <c r="AG56" s="14"/>
    </row>
    <row r="57" spans="1:33" ht="15">
      <c r="A57" s="14"/>
      <c r="B57" s="14"/>
      <c r="C57" s="14"/>
      <c r="D57" s="14"/>
      <c r="E57" s="14"/>
      <c r="F57" s="14"/>
      <c r="G57" s="14"/>
      <c r="H57" s="14"/>
      <c r="I57" s="14"/>
      <c r="J57" s="14"/>
      <c r="K57" s="14"/>
      <c r="L57" s="14"/>
      <c r="M57" s="14"/>
      <c r="N57" s="14"/>
      <c r="O57" s="14"/>
      <c r="P57" s="14"/>
      <c r="Q57" s="14"/>
      <c r="R57" s="14"/>
      <c r="S57" s="14"/>
      <c r="T57" s="14"/>
      <c r="U57" s="14"/>
      <c r="V57" s="14"/>
      <c r="W57" s="14"/>
      <c r="X57" s="14"/>
      <c r="Y57" s="14"/>
      <c r="Z57" s="14"/>
      <c r="AA57" s="14"/>
      <c r="AB57" s="14"/>
      <c r="AC57" s="14"/>
      <c r="AD57" s="14"/>
      <c r="AE57" s="14"/>
      <c r="AF57" s="14"/>
      <c r="AG57" s="14"/>
    </row>
    <row r="58" spans="1:33" ht="15">
      <c r="A58" s="14"/>
      <c r="B58" s="14"/>
      <c r="C58" s="14"/>
      <c r="D58" s="14"/>
      <c r="E58" s="14"/>
      <c r="F58" s="14"/>
      <c r="G58" s="14"/>
      <c r="H58" s="14"/>
      <c r="I58" s="14"/>
      <c r="J58" s="14"/>
      <c r="K58" s="14"/>
      <c r="L58" s="14"/>
      <c r="M58" s="14"/>
      <c r="N58" s="14"/>
      <c r="O58" s="14"/>
      <c r="P58" s="14"/>
      <c r="Q58" s="14"/>
      <c r="R58" s="14"/>
      <c r="S58" s="14"/>
      <c r="T58" s="14"/>
      <c r="U58" s="14"/>
      <c r="V58" s="14"/>
      <c r="W58" s="14"/>
      <c r="X58" s="14"/>
      <c r="Y58" s="14"/>
      <c r="Z58" s="14"/>
      <c r="AA58" s="14"/>
      <c r="AB58" s="14"/>
      <c r="AC58" s="14"/>
      <c r="AD58" s="14"/>
      <c r="AE58" s="14"/>
      <c r="AF58" s="14"/>
      <c r="AG58" s="14"/>
    </row>
    <row r="59" spans="1:33" ht="15">
      <c r="A59" s="14"/>
      <c r="B59" s="14"/>
      <c r="C59" s="14"/>
      <c r="D59" s="14"/>
      <c r="E59" s="14"/>
      <c r="F59" s="14"/>
      <c r="G59" s="14"/>
      <c r="H59" s="14"/>
      <c r="I59" s="14"/>
      <c r="J59" s="14"/>
      <c r="K59" s="14"/>
      <c r="L59" s="14"/>
      <c r="M59" s="14"/>
      <c r="N59" s="14"/>
      <c r="O59" s="14"/>
      <c r="P59" s="14"/>
      <c r="Q59" s="14"/>
      <c r="R59" s="14"/>
      <c r="S59" s="14"/>
      <c r="T59" s="14"/>
      <c r="U59" s="14"/>
      <c r="V59" s="14"/>
      <c r="W59" s="14"/>
      <c r="X59" s="14"/>
      <c r="Y59" s="14"/>
      <c r="Z59" s="14"/>
      <c r="AA59" s="14"/>
      <c r="AB59" s="14"/>
      <c r="AC59" s="14"/>
      <c r="AD59" s="14"/>
      <c r="AE59" s="14"/>
      <c r="AF59" s="14"/>
      <c r="AG59" s="14"/>
    </row>
    <row r="60" spans="1:33" ht="15">
      <c r="A60" s="14"/>
      <c r="B60" s="14"/>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row>
    <row r="61" spans="1:33" ht="15">
      <c r="A61" s="14"/>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row>
    <row r="62" spans="1:33" ht="15">
      <c r="A62" s="14"/>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c r="AE62" s="14"/>
      <c r="AF62" s="14"/>
      <c r="AG62" s="14"/>
    </row>
    <row r="63" spans="1:33" ht="15">
      <c r="A63" s="14"/>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c r="AE63" s="14"/>
      <c r="AF63" s="14"/>
      <c r="AG63" s="14"/>
    </row>
    <row r="64" spans="1:33" ht="15">
      <c r="A64" s="14"/>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c r="AE64" s="14"/>
      <c r="AF64" s="14"/>
      <c r="AG64" s="14"/>
    </row>
    <row r="65" spans="1:33" ht="15">
      <c r="A65" s="14"/>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c r="AE65" s="14"/>
      <c r="AF65" s="14"/>
      <c r="AG65" s="14"/>
    </row>
    <row r="66" spans="1:33" ht="15">
      <c r="A66" s="14"/>
      <c r="B66" s="14"/>
      <c r="C66" s="14"/>
      <c r="D66" s="14"/>
      <c r="E66" s="14"/>
      <c r="F66" s="14"/>
      <c r="G66" s="14"/>
      <c r="H66" s="14"/>
      <c r="I66" s="14"/>
      <c r="J66" s="14"/>
      <c r="K66" s="14"/>
      <c r="L66" s="14"/>
      <c r="M66" s="14"/>
      <c r="N66" s="14"/>
      <c r="O66" s="14"/>
      <c r="P66" s="14"/>
      <c r="Q66" s="14"/>
      <c r="R66" s="14"/>
      <c r="S66" s="14"/>
      <c r="T66" s="14"/>
      <c r="U66" s="14"/>
      <c r="V66" s="14"/>
      <c r="W66" s="14"/>
      <c r="X66" s="14"/>
      <c r="Y66" s="14"/>
      <c r="Z66" s="14"/>
      <c r="AA66" s="14"/>
      <c r="AB66" s="14"/>
      <c r="AC66" s="14"/>
      <c r="AD66" s="14"/>
      <c r="AE66" s="14"/>
      <c r="AF66" s="14"/>
      <c r="AG66" s="14"/>
    </row>
    <row r="67" spans="1:33" ht="15">
      <c r="A67" s="14"/>
      <c r="B67" s="14"/>
      <c r="C67" s="14"/>
      <c r="D67" s="14"/>
      <c r="E67" s="14"/>
      <c r="F67" s="14"/>
      <c r="G67" s="14"/>
      <c r="H67" s="14"/>
      <c r="I67" s="14"/>
      <c r="J67" s="14"/>
      <c r="K67" s="14"/>
      <c r="L67" s="14"/>
      <c r="M67" s="14"/>
      <c r="N67" s="14"/>
      <c r="O67" s="14"/>
      <c r="P67" s="14"/>
      <c r="Q67" s="14"/>
      <c r="R67" s="14"/>
      <c r="S67" s="14"/>
      <c r="T67" s="14"/>
      <c r="U67" s="14"/>
      <c r="V67" s="14"/>
      <c r="W67" s="14"/>
      <c r="X67" s="14"/>
      <c r="Y67" s="14"/>
      <c r="Z67" s="14"/>
      <c r="AA67" s="14"/>
      <c r="AB67" s="14"/>
      <c r="AC67" s="14"/>
      <c r="AD67" s="14"/>
      <c r="AE67" s="14"/>
      <c r="AF67" s="14"/>
      <c r="AG67" s="14"/>
    </row>
    <row r="68" spans="1:33" ht="15">
      <c r="A68" s="14"/>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c r="AE68" s="14"/>
      <c r="AF68" s="14"/>
      <c r="AG68" s="14"/>
    </row>
    <row r="69" spans="1:33" ht="15">
      <c r="A69" s="14"/>
      <c r="B69" s="14"/>
      <c r="C69" s="14"/>
      <c r="D69" s="14"/>
      <c r="E69" s="14"/>
      <c r="F69" s="14"/>
      <c r="G69" s="14"/>
      <c r="H69" s="14"/>
      <c r="I69" s="14"/>
      <c r="J69" s="14"/>
      <c r="K69" s="14"/>
      <c r="L69" s="14"/>
      <c r="M69" s="14"/>
      <c r="N69" s="14"/>
      <c r="O69" s="14"/>
      <c r="P69" s="14"/>
      <c r="Q69" s="14"/>
      <c r="R69" s="14"/>
      <c r="S69" s="14"/>
      <c r="T69" s="14"/>
      <c r="U69" s="14"/>
      <c r="V69" s="14"/>
      <c r="W69" s="14"/>
      <c r="X69" s="14"/>
      <c r="Y69" s="14"/>
      <c r="Z69" s="14"/>
      <c r="AA69" s="14"/>
      <c r="AB69" s="14"/>
      <c r="AC69" s="14"/>
      <c r="AD69" s="14"/>
      <c r="AE69" s="14"/>
      <c r="AF69" s="14"/>
      <c r="AG69" s="14"/>
    </row>
    <row r="70" spans="1:33" ht="15">
      <c r="A70" s="14"/>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c r="AE70" s="14"/>
      <c r="AF70" s="14"/>
      <c r="AG70" s="14"/>
    </row>
    <row r="71" spans="1:33" ht="15">
      <c r="A71" s="14"/>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c r="AE71" s="14"/>
      <c r="AF71" s="14"/>
      <c r="AG71" s="14"/>
    </row>
    <row r="72" spans="1:33" ht="15">
      <c r="A72" s="14"/>
      <c r="B72" s="14"/>
      <c r="C72" s="14"/>
      <c r="D72" s="14"/>
      <c r="E72" s="14"/>
      <c r="F72" s="14"/>
      <c r="G72" s="14"/>
      <c r="H72" s="14"/>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4"/>
    </row>
    <row r="73" spans="1:33" ht="15">
      <c r="A73" s="14"/>
      <c r="B73" s="14"/>
      <c r="C73" s="14"/>
      <c r="D73" s="14"/>
      <c r="E73" s="14"/>
      <c r="F73" s="14"/>
      <c r="G73" s="14"/>
      <c r="H73" s="14"/>
      <c r="I73" s="14"/>
      <c r="J73" s="14"/>
      <c r="K73" s="14"/>
      <c r="L73" s="14"/>
      <c r="M73" s="14"/>
      <c r="N73" s="14"/>
      <c r="O73" s="14"/>
      <c r="P73" s="14"/>
      <c r="Q73" s="14"/>
      <c r="R73" s="14"/>
      <c r="S73" s="14"/>
      <c r="T73" s="14"/>
      <c r="U73" s="14"/>
      <c r="V73" s="14"/>
      <c r="W73" s="14"/>
      <c r="X73" s="14"/>
      <c r="Y73" s="14"/>
      <c r="Z73" s="14"/>
      <c r="AA73" s="14"/>
      <c r="AB73" s="14"/>
      <c r="AC73" s="14"/>
      <c r="AD73" s="14"/>
      <c r="AE73" s="14"/>
      <c r="AF73" s="14"/>
      <c r="AG73" s="14"/>
    </row>
    <row r="74" spans="1:33" ht="15">
      <c r="A74" s="14"/>
      <c r="B74" s="14"/>
      <c r="C74" s="14"/>
      <c r="D74" s="14"/>
      <c r="E74" s="14"/>
      <c r="F74" s="14"/>
      <c r="G74" s="14"/>
      <c r="H74" s="14"/>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row>
    <row r="75" spans="1:33" ht="15">
      <c r="A75" s="14"/>
      <c r="B75" s="14"/>
      <c r="C75" s="14"/>
      <c r="D75" s="14"/>
      <c r="E75" s="14"/>
      <c r="F75" s="14"/>
      <c r="G75" s="14"/>
      <c r="H75" s="14"/>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row>
    <row r="76" spans="1:33" ht="15">
      <c r="A76" s="14"/>
      <c r="B76" s="14"/>
      <c r="C76" s="14"/>
      <c r="D76" s="14"/>
      <c r="E76" s="14"/>
      <c r="F76" s="14"/>
      <c r="G76" s="14"/>
      <c r="H76" s="14"/>
      <c r="I76" s="14"/>
      <c r="J76" s="14"/>
      <c r="K76" s="14"/>
      <c r="L76" s="14"/>
      <c r="M76" s="14"/>
      <c r="N76" s="14"/>
      <c r="O76" s="14"/>
      <c r="P76" s="14"/>
      <c r="Q76" s="14"/>
      <c r="R76" s="14"/>
      <c r="S76" s="14"/>
      <c r="T76" s="14"/>
      <c r="U76" s="14"/>
      <c r="V76" s="14"/>
      <c r="W76" s="14"/>
      <c r="X76" s="14"/>
      <c r="Y76" s="14"/>
      <c r="Z76" s="14"/>
      <c r="AA76" s="14"/>
      <c r="AB76" s="14"/>
      <c r="AC76" s="14"/>
      <c r="AD76" s="14"/>
      <c r="AE76" s="14"/>
      <c r="AF76" s="14"/>
      <c r="AG76" s="14"/>
    </row>
    <row r="77" spans="1:33" ht="15">
      <c r="A77" s="14"/>
      <c r="B77" s="14"/>
      <c r="C77" s="14"/>
      <c r="D77" s="14"/>
      <c r="E77" s="14"/>
      <c r="F77" s="14"/>
      <c r="G77" s="14"/>
      <c r="H77" s="14"/>
      <c r="I77" s="14"/>
      <c r="J77" s="14"/>
      <c r="K77" s="14"/>
      <c r="L77" s="14"/>
      <c r="M77" s="14"/>
      <c r="N77" s="14"/>
      <c r="O77" s="14"/>
      <c r="P77" s="14"/>
      <c r="Q77" s="14"/>
      <c r="R77" s="14"/>
      <c r="S77" s="14"/>
      <c r="T77" s="14"/>
      <c r="U77" s="14"/>
      <c r="V77" s="14"/>
      <c r="W77" s="14"/>
      <c r="X77" s="14"/>
      <c r="Y77" s="14"/>
      <c r="Z77" s="14"/>
      <c r="AA77" s="14"/>
      <c r="AB77" s="14"/>
      <c r="AC77" s="14"/>
      <c r="AD77" s="14"/>
      <c r="AE77" s="14"/>
      <c r="AF77" s="14"/>
      <c r="AG77" s="14"/>
    </row>
    <row r="78" spans="1:33" ht="15">
      <c r="A78" s="14"/>
      <c r="B78" s="14"/>
      <c r="C78" s="14"/>
      <c r="D78" s="14"/>
      <c r="E78" s="14"/>
      <c r="F78" s="14"/>
      <c r="G78" s="14"/>
      <c r="H78" s="14"/>
      <c r="I78" s="14"/>
      <c r="J78" s="14"/>
      <c r="K78" s="14"/>
      <c r="L78" s="14"/>
      <c r="M78" s="14"/>
      <c r="N78" s="14"/>
      <c r="O78" s="14"/>
      <c r="P78" s="14"/>
      <c r="Q78" s="14"/>
      <c r="R78" s="14"/>
      <c r="S78" s="14"/>
      <c r="T78" s="14"/>
      <c r="U78" s="14"/>
      <c r="V78" s="14"/>
      <c r="W78" s="14"/>
      <c r="X78" s="14"/>
      <c r="Y78" s="14"/>
      <c r="Z78" s="14"/>
      <c r="AA78" s="14"/>
      <c r="AB78" s="14"/>
      <c r="AC78" s="14"/>
      <c r="AD78" s="14"/>
      <c r="AE78" s="14"/>
      <c r="AF78" s="14"/>
      <c r="AG78" s="14"/>
    </row>
    <row r="79" spans="1:33" ht="15">
      <c r="A79" s="14"/>
      <c r="B79" s="14"/>
      <c r="C79" s="14"/>
      <c r="D79" s="14"/>
      <c r="E79" s="14"/>
      <c r="F79" s="14"/>
      <c r="G79" s="14"/>
      <c r="H79" s="14"/>
      <c r="I79" s="14"/>
      <c r="J79" s="14"/>
      <c r="K79" s="14"/>
      <c r="L79" s="14"/>
      <c r="M79" s="14"/>
      <c r="N79" s="14"/>
      <c r="O79" s="14"/>
      <c r="P79" s="14"/>
      <c r="Q79" s="14"/>
      <c r="R79" s="14"/>
      <c r="S79" s="14"/>
      <c r="T79" s="14"/>
      <c r="U79" s="14"/>
      <c r="V79" s="14"/>
      <c r="W79" s="14"/>
      <c r="X79" s="14"/>
      <c r="Y79" s="14"/>
      <c r="Z79" s="14"/>
      <c r="AA79" s="14"/>
      <c r="AB79" s="14"/>
      <c r="AC79" s="14"/>
      <c r="AD79" s="14"/>
      <c r="AE79" s="14"/>
      <c r="AF79" s="14"/>
      <c r="AG79" s="14"/>
    </row>
    <row r="80" spans="1:33" ht="15">
      <c r="A80" s="14"/>
      <c r="B80" s="14"/>
      <c r="C80" s="14"/>
      <c r="D80" s="14"/>
      <c r="E80" s="14"/>
      <c r="F80" s="14"/>
      <c r="G80" s="14"/>
      <c r="H80" s="14"/>
      <c r="I80" s="14"/>
      <c r="J80" s="14"/>
      <c r="K80" s="14"/>
      <c r="L80" s="14"/>
      <c r="M80" s="14"/>
      <c r="N80" s="14"/>
      <c r="O80" s="14"/>
      <c r="P80" s="14"/>
      <c r="Q80" s="14"/>
      <c r="R80" s="14"/>
      <c r="S80" s="14"/>
      <c r="T80" s="14"/>
      <c r="U80" s="14"/>
      <c r="V80" s="14"/>
      <c r="W80" s="14"/>
      <c r="X80" s="14"/>
      <c r="Y80" s="14"/>
      <c r="Z80" s="14"/>
      <c r="AA80" s="14"/>
      <c r="AB80" s="14"/>
      <c r="AC80" s="14"/>
      <c r="AD80" s="14"/>
      <c r="AE80" s="14"/>
      <c r="AF80" s="14"/>
      <c r="AG80" s="14"/>
    </row>
    <row r="81" spans="1:33" ht="15">
      <c r="A81" s="14"/>
      <c r="B81" s="14"/>
      <c r="C81" s="14"/>
      <c r="D81" s="14"/>
      <c r="E81" s="14"/>
      <c r="F81" s="14"/>
      <c r="G81" s="14"/>
      <c r="H81" s="14"/>
      <c r="I81" s="14"/>
      <c r="J81" s="14"/>
      <c r="K81" s="14"/>
      <c r="L81" s="14"/>
      <c r="M81" s="14"/>
      <c r="N81" s="14"/>
      <c r="O81" s="14"/>
      <c r="P81" s="14"/>
      <c r="Q81" s="14"/>
      <c r="R81" s="14"/>
      <c r="S81" s="14"/>
      <c r="T81" s="14"/>
      <c r="U81" s="14"/>
      <c r="V81" s="14"/>
      <c r="W81" s="14"/>
      <c r="X81" s="14"/>
      <c r="Y81" s="14"/>
      <c r="Z81" s="14"/>
      <c r="AA81" s="14"/>
      <c r="AB81" s="14"/>
      <c r="AC81" s="14"/>
      <c r="AD81" s="14"/>
      <c r="AE81" s="14"/>
      <c r="AF81" s="14"/>
      <c r="AG81" s="14"/>
    </row>
    <row r="82" spans="1:33" ht="15">
      <c r="A82" s="14"/>
      <c r="B82" s="14"/>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row>
    <row r="83" spans="1:33" ht="15">
      <c r="A83" s="14"/>
      <c r="B83" s="14"/>
      <c r="C83" s="14"/>
      <c r="D83" s="14"/>
      <c r="E83" s="14"/>
      <c r="F83" s="14"/>
      <c r="G83" s="14"/>
      <c r="H83" s="14"/>
      <c r="I83" s="14"/>
      <c r="J83" s="14"/>
      <c r="K83" s="14"/>
      <c r="L83" s="14"/>
      <c r="M83" s="14"/>
      <c r="N83" s="14"/>
      <c r="O83" s="14"/>
      <c r="P83" s="14"/>
      <c r="Q83" s="14"/>
      <c r="R83" s="14"/>
      <c r="S83" s="14"/>
      <c r="T83" s="14"/>
      <c r="U83" s="14"/>
      <c r="V83" s="14"/>
      <c r="W83" s="14"/>
      <c r="X83" s="14"/>
      <c r="Y83" s="14"/>
      <c r="Z83" s="14"/>
      <c r="AA83" s="14"/>
      <c r="AB83" s="14"/>
      <c r="AC83" s="14"/>
      <c r="AD83" s="14"/>
      <c r="AE83" s="14"/>
      <c r="AF83" s="14"/>
      <c r="AG83" s="14"/>
    </row>
    <row r="84" spans="1:33" ht="15">
      <c r="A84" s="14"/>
      <c r="B84" s="14"/>
      <c r="C84" s="14"/>
      <c r="D84" s="14"/>
      <c r="E84" s="14"/>
      <c r="F84" s="14"/>
      <c r="G84" s="14"/>
      <c r="H84" s="14"/>
      <c r="I84" s="14"/>
      <c r="J84" s="14"/>
      <c r="K84" s="14"/>
      <c r="L84" s="14"/>
      <c r="M84" s="14"/>
      <c r="N84" s="14"/>
      <c r="O84" s="14"/>
      <c r="P84" s="14"/>
      <c r="Q84" s="14"/>
      <c r="R84" s="14"/>
      <c r="S84" s="14"/>
      <c r="T84" s="14"/>
      <c r="U84" s="14"/>
      <c r="V84" s="14"/>
      <c r="W84" s="14"/>
      <c r="X84" s="14"/>
      <c r="Y84" s="14"/>
      <c r="Z84" s="14"/>
      <c r="AA84" s="14"/>
      <c r="AB84" s="14"/>
      <c r="AC84" s="14"/>
      <c r="AD84" s="14"/>
      <c r="AE84" s="14"/>
      <c r="AF84" s="14"/>
      <c r="AG84" s="14"/>
    </row>
    <row r="85" spans="1:33" ht="15">
      <c r="A85" s="14"/>
      <c r="B85" s="14"/>
      <c r="C85" s="14"/>
      <c r="D85" s="14"/>
      <c r="E85" s="14"/>
      <c r="F85" s="14"/>
      <c r="G85" s="14"/>
      <c r="H85" s="14"/>
      <c r="I85" s="14"/>
      <c r="J85" s="14"/>
      <c r="K85" s="14"/>
      <c r="L85" s="14"/>
      <c r="M85" s="14"/>
      <c r="N85" s="14"/>
      <c r="O85" s="14"/>
      <c r="P85" s="14"/>
      <c r="Q85" s="14"/>
      <c r="R85" s="14"/>
      <c r="S85" s="14"/>
      <c r="T85" s="14"/>
      <c r="U85" s="14"/>
      <c r="V85" s="14"/>
      <c r="W85" s="14"/>
      <c r="X85" s="14"/>
      <c r="Y85" s="14"/>
      <c r="Z85" s="14"/>
      <c r="AA85" s="14"/>
      <c r="AB85" s="14"/>
      <c r="AC85" s="14"/>
      <c r="AD85" s="14"/>
      <c r="AE85" s="14"/>
      <c r="AF85" s="14"/>
      <c r="AG85" s="14"/>
    </row>
    <row r="86" spans="1:33" ht="15">
      <c r="A86" s="14"/>
      <c r="B86" s="14"/>
      <c r="C86" s="14"/>
      <c r="D86" s="14"/>
      <c r="E86" s="14"/>
      <c r="F86" s="14"/>
      <c r="G86" s="14"/>
      <c r="H86" s="14"/>
      <c r="I86" s="14"/>
      <c r="J86" s="14"/>
      <c r="K86" s="14"/>
      <c r="L86" s="14"/>
      <c r="M86" s="14"/>
      <c r="N86" s="14"/>
      <c r="O86" s="14"/>
      <c r="P86" s="14"/>
      <c r="Q86" s="14"/>
      <c r="R86" s="14"/>
      <c r="S86" s="14"/>
      <c r="T86" s="14"/>
      <c r="U86" s="14"/>
      <c r="V86" s="14"/>
      <c r="W86" s="14"/>
      <c r="X86" s="14"/>
      <c r="Y86" s="14"/>
      <c r="Z86" s="14"/>
      <c r="AA86" s="14"/>
      <c r="AB86" s="14"/>
      <c r="AC86" s="14"/>
      <c r="AD86" s="14"/>
      <c r="AE86" s="14"/>
      <c r="AF86" s="14"/>
      <c r="AG86" s="14"/>
    </row>
    <row r="87" spans="1:33" ht="15">
      <c r="A87" s="14"/>
      <c r="B87" s="14"/>
      <c r="C87" s="14"/>
      <c r="D87" s="14"/>
      <c r="E87" s="14"/>
      <c r="F87" s="14"/>
      <c r="G87" s="14"/>
      <c r="H87" s="14"/>
      <c r="I87" s="14"/>
      <c r="J87" s="14"/>
      <c r="K87" s="14"/>
      <c r="L87" s="14"/>
      <c r="M87" s="14"/>
      <c r="N87" s="14"/>
      <c r="O87" s="14"/>
      <c r="P87" s="14"/>
      <c r="Q87" s="14"/>
      <c r="R87" s="14"/>
      <c r="S87" s="14"/>
      <c r="T87" s="14"/>
      <c r="U87" s="14"/>
      <c r="V87" s="14"/>
      <c r="W87" s="14"/>
      <c r="X87" s="14"/>
      <c r="Y87" s="14"/>
      <c r="Z87" s="14"/>
      <c r="AA87" s="14"/>
      <c r="AB87" s="14"/>
      <c r="AC87" s="14"/>
      <c r="AD87" s="14"/>
      <c r="AE87" s="14"/>
      <c r="AF87" s="14"/>
      <c r="AG87" s="14"/>
    </row>
    <row r="88" spans="1:33" ht="15">
      <c r="A88" s="14"/>
      <c r="B88" s="14"/>
      <c r="C88" s="14"/>
      <c r="D88" s="14"/>
      <c r="E88" s="14"/>
      <c r="F88" s="14"/>
      <c r="G88" s="14"/>
      <c r="H88" s="14"/>
      <c r="I88" s="14"/>
      <c r="J88" s="14"/>
      <c r="K88" s="14"/>
      <c r="L88" s="14"/>
      <c r="M88" s="14"/>
      <c r="N88" s="14"/>
      <c r="O88" s="14"/>
      <c r="P88" s="14"/>
      <c r="Q88" s="14"/>
      <c r="R88" s="14"/>
      <c r="S88" s="14"/>
      <c r="T88" s="14"/>
      <c r="U88" s="14"/>
      <c r="V88" s="14"/>
      <c r="W88" s="14"/>
      <c r="X88" s="14"/>
      <c r="Y88" s="14"/>
      <c r="Z88" s="14"/>
      <c r="AA88" s="14"/>
      <c r="AB88" s="14"/>
      <c r="AC88" s="14"/>
      <c r="AD88" s="14"/>
      <c r="AE88" s="14"/>
      <c r="AF88" s="14"/>
      <c r="AG88" s="14"/>
    </row>
    <row r="89" spans="1:33" ht="15">
      <c r="A89" s="14"/>
      <c r="B89" s="14"/>
      <c r="C89" s="14"/>
      <c r="D89" s="14"/>
      <c r="E89" s="14"/>
      <c r="F89" s="14"/>
      <c r="G89" s="14"/>
      <c r="H89" s="14"/>
      <c r="I89" s="14"/>
      <c r="J89" s="14"/>
      <c r="K89" s="14"/>
      <c r="L89" s="14"/>
      <c r="M89" s="14"/>
      <c r="N89" s="14"/>
      <c r="O89" s="14"/>
      <c r="P89" s="14"/>
      <c r="Q89" s="14"/>
      <c r="R89" s="14"/>
      <c r="S89" s="14"/>
      <c r="T89" s="14"/>
      <c r="U89" s="14"/>
      <c r="V89" s="14"/>
      <c r="W89" s="14"/>
      <c r="X89" s="14"/>
      <c r="Y89" s="14"/>
      <c r="Z89" s="14"/>
      <c r="AA89" s="14"/>
      <c r="AB89" s="14"/>
      <c r="AC89" s="14"/>
      <c r="AD89" s="14"/>
      <c r="AE89" s="14"/>
      <c r="AF89" s="14"/>
      <c r="AG89" s="14"/>
    </row>
    <row r="90" spans="1:33" ht="15">
      <c r="A90" s="14"/>
      <c r="B90" s="14"/>
      <c r="C90" s="14"/>
      <c r="D90" s="14"/>
      <c r="E90" s="14"/>
      <c r="F90" s="14"/>
      <c r="G90" s="14"/>
      <c r="H90" s="14"/>
      <c r="I90" s="14"/>
      <c r="J90" s="14"/>
      <c r="K90" s="14"/>
      <c r="L90" s="14"/>
      <c r="M90" s="14"/>
      <c r="N90" s="14"/>
      <c r="O90" s="14"/>
      <c r="P90" s="14"/>
      <c r="Q90" s="14"/>
      <c r="R90" s="14"/>
      <c r="S90" s="14"/>
      <c r="T90" s="14"/>
      <c r="U90" s="14"/>
      <c r="V90" s="14"/>
      <c r="W90" s="14"/>
      <c r="X90" s="14"/>
      <c r="Y90" s="14"/>
      <c r="Z90" s="14"/>
      <c r="AA90" s="14"/>
      <c r="AB90" s="14"/>
      <c r="AC90" s="14"/>
      <c r="AD90" s="14"/>
      <c r="AE90" s="14"/>
      <c r="AF90" s="14"/>
      <c r="AG90" s="14"/>
    </row>
    <row r="91" spans="1:33" ht="15">
      <c r="A91" s="14"/>
      <c r="B91" s="14"/>
      <c r="C91" s="14"/>
      <c r="D91" s="14"/>
      <c r="E91" s="14"/>
      <c r="F91" s="14"/>
      <c r="G91" s="14"/>
      <c r="H91" s="14"/>
      <c r="I91" s="14"/>
      <c r="J91" s="14"/>
      <c r="K91" s="14"/>
      <c r="L91" s="14"/>
      <c r="M91" s="14"/>
      <c r="N91" s="14"/>
      <c r="O91" s="14"/>
      <c r="P91" s="14"/>
      <c r="Q91" s="14"/>
      <c r="R91" s="14"/>
      <c r="S91" s="14"/>
      <c r="T91" s="14"/>
      <c r="U91" s="14"/>
      <c r="V91" s="14"/>
      <c r="W91" s="14"/>
      <c r="X91" s="14"/>
      <c r="Y91" s="14"/>
      <c r="Z91" s="14"/>
      <c r="AA91" s="14"/>
      <c r="AB91" s="14"/>
      <c r="AC91" s="14"/>
      <c r="AD91" s="14"/>
      <c r="AE91" s="14"/>
      <c r="AF91" s="14"/>
      <c r="AG91" s="14"/>
    </row>
    <row r="92" spans="1:33" ht="15">
      <c r="A92" s="14"/>
      <c r="B92" s="14"/>
      <c r="C92" s="14"/>
      <c r="D92" s="14"/>
      <c r="E92" s="14"/>
      <c r="F92" s="14"/>
      <c r="G92" s="14"/>
      <c r="H92" s="14"/>
      <c r="I92" s="14"/>
      <c r="J92" s="14"/>
      <c r="K92" s="14"/>
      <c r="L92" s="14"/>
      <c r="M92" s="14"/>
      <c r="N92" s="14"/>
      <c r="O92" s="14"/>
      <c r="P92" s="14"/>
      <c r="Q92" s="14"/>
      <c r="R92" s="14"/>
      <c r="S92" s="14"/>
      <c r="T92" s="14"/>
      <c r="U92" s="14"/>
      <c r="V92" s="14"/>
      <c r="W92" s="14"/>
      <c r="X92" s="14"/>
      <c r="Y92" s="14"/>
      <c r="Z92" s="14"/>
      <c r="AA92" s="14"/>
      <c r="AB92" s="14"/>
      <c r="AC92" s="14"/>
      <c r="AD92" s="14"/>
      <c r="AE92" s="14"/>
      <c r="AF92" s="14"/>
      <c r="AG92" s="14"/>
    </row>
    <row r="93" spans="1:33" ht="15">
      <c r="A93" s="14"/>
      <c r="B93" s="14"/>
      <c r="C93" s="14"/>
      <c r="D93" s="14"/>
      <c r="E93" s="14"/>
      <c r="F93" s="14"/>
      <c r="G93" s="14"/>
      <c r="H93" s="14"/>
      <c r="I93" s="14"/>
      <c r="J93" s="14"/>
      <c r="K93" s="14"/>
      <c r="L93" s="14"/>
      <c r="M93" s="14"/>
      <c r="N93" s="14"/>
      <c r="O93" s="14"/>
      <c r="P93" s="14"/>
      <c r="Q93" s="14"/>
      <c r="R93" s="14"/>
      <c r="S93" s="14"/>
      <c r="T93" s="14"/>
      <c r="U93" s="14"/>
      <c r="V93" s="14"/>
      <c r="W93" s="14"/>
      <c r="X93" s="14"/>
      <c r="Y93" s="14"/>
      <c r="Z93" s="14"/>
      <c r="AA93" s="14"/>
      <c r="AB93" s="14"/>
      <c r="AC93" s="14"/>
      <c r="AD93" s="14"/>
      <c r="AE93" s="14"/>
      <c r="AF93" s="14"/>
      <c r="AG93" s="14"/>
    </row>
    <row r="94" spans="1:33" ht="15">
      <c r="A94" s="14"/>
      <c r="B94" s="14"/>
      <c r="C94" s="14"/>
      <c r="D94" s="14"/>
      <c r="E94" s="14"/>
      <c r="F94" s="14"/>
      <c r="G94" s="14"/>
      <c r="H94" s="14"/>
      <c r="I94" s="14"/>
      <c r="J94" s="14"/>
      <c r="K94" s="14"/>
      <c r="L94" s="14"/>
      <c r="M94" s="14"/>
      <c r="N94" s="14"/>
      <c r="O94" s="14"/>
      <c r="P94" s="14"/>
      <c r="Q94" s="14"/>
      <c r="R94" s="14"/>
      <c r="S94" s="14"/>
      <c r="T94" s="14"/>
      <c r="U94" s="14"/>
      <c r="V94" s="14"/>
      <c r="W94" s="14"/>
      <c r="X94" s="14"/>
      <c r="Y94" s="14"/>
      <c r="Z94" s="14"/>
      <c r="AA94" s="14"/>
      <c r="AB94" s="14"/>
      <c r="AC94" s="14"/>
      <c r="AD94" s="14"/>
      <c r="AE94" s="14"/>
      <c r="AF94" s="14"/>
      <c r="AG94" s="14"/>
    </row>
    <row r="95" spans="1:33" ht="15">
      <c r="A95" s="14"/>
      <c r="B95" s="14"/>
      <c r="C95" s="14"/>
      <c r="D95" s="14"/>
      <c r="E95" s="14"/>
      <c r="F95" s="14"/>
      <c r="G95" s="14"/>
      <c r="H95" s="14"/>
      <c r="I95" s="14"/>
      <c r="J95" s="14"/>
      <c r="K95" s="14"/>
      <c r="L95" s="14"/>
      <c r="M95" s="14"/>
      <c r="N95" s="14"/>
      <c r="O95" s="14"/>
      <c r="P95" s="14"/>
      <c r="Q95" s="14"/>
      <c r="R95" s="14"/>
      <c r="S95" s="14"/>
      <c r="T95" s="14"/>
      <c r="U95" s="14"/>
      <c r="V95" s="14"/>
      <c r="W95" s="14"/>
      <c r="X95" s="14"/>
      <c r="Y95" s="14"/>
      <c r="Z95" s="14"/>
      <c r="AA95" s="14"/>
      <c r="AB95" s="14"/>
      <c r="AC95" s="14"/>
      <c r="AD95" s="14"/>
      <c r="AE95" s="14"/>
      <c r="AF95" s="14"/>
      <c r="AG95" s="14"/>
    </row>
    <row r="96" spans="1:33" ht="15">
      <c r="A96" s="14"/>
      <c r="B96" s="14"/>
      <c r="C96" s="14"/>
      <c r="D96" s="14"/>
      <c r="E96" s="14"/>
      <c r="F96" s="14"/>
      <c r="G96" s="14"/>
      <c r="H96" s="14"/>
      <c r="I96" s="14"/>
      <c r="J96" s="14"/>
      <c r="K96" s="14"/>
      <c r="L96" s="14"/>
      <c r="M96" s="14"/>
      <c r="N96" s="14"/>
      <c r="O96" s="14"/>
      <c r="P96" s="14"/>
      <c r="Q96" s="14"/>
      <c r="R96" s="14"/>
      <c r="S96" s="14"/>
      <c r="T96" s="14"/>
      <c r="U96" s="14"/>
      <c r="V96" s="14"/>
      <c r="W96" s="14"/>
      <c r="X96" s="14"/>
      <c r="Y96" s="14"/>
      <c r="Z96" s="14"/>
      <c r="AA96" s="14"/>
      <c r="AB96" s="14"/>
      <c r="AC96" s="14"/>
      <c r="AD96" s="14"/>
      <c r="AE96" s="14"/>
      <c r="AF96" s="14"/>
      <c r="AG96" s="14"/>
    </row>
    <row r="97" spans="1:33" ht="15">
      <c r="A97" s="14"/>
      <c r="B97" s="14"/>
      <c r="C97" s="14"/>
      <c r="D97" s="14"/>
      <c r="E97" s="14"/>
      <c r="F97" s="14"/>
      <c r="G97" s="14"/>
      <c r="H97" s="14"/>
      <c r="I97" s="14"/>
      <c r="J97" s="14"/>
      <c r="K97" s="14"/>
      <c r="L97" s="14"/>
      <c r="M97" s="14"/>
      <c r="N97" s="14"/>
      <c r="O97" s="14"/>
      <c r="P97" s="14"/>
      <c r="Q97" s="14"/>
      <c r="R97" s="14"/>
      <c r="S97" s="14"/>
      <c r="T97" s="14"/>
      <c r="U97" s="14"/>
      <c r="V97" s="14"/>
      <c r="W97" s="14"/>
      <c r="X97" s="14"/>
      <c r="Y97" s="14"/>
      <c r="Z97" s="14"/>
      <c r="AA97" s="14"/>
      <c r="AB97" s="14"/>
      <c r="AC97" s="14"/>
      <c r="AD97" s="14"/>
      <c r="AE97" s="14"/>
      <c r="AF97" s="14"/>
      <c r="AG97" s="14"/>
    </row>
    <row r="98" spans="1:33" ht="15">
      <c r="A98" s="14"/>
      <c r="B98" s="14"/>
      <c r="C98" s="14"/>
      <c r="D98" s="14"/>
      <c r="E98" s="14"/>
      <c r="F98" s="14"/>
      <c r="G98" s="14"/>
      <c r="H98" s="14"/>
      <c r="I98" s="14"/>
      <c r="J98" s="14"/>
      <c r="K98" s="14"/>
      <c r="L98" s="14"/>
      <c r="M98" s="14"/>
      <c r="N98" s="14"/>
      <c r="O98" s="14"/>
      <c r="P98" s="14"/>
      <c r="Q98" s="14"/>
      <c r="R98" s="14"/>
      <c r="S98" s="14"/>
      <c r="T98" s="14"/>
      <c r="U98" s="14"/>
      <c r="V98" s="14"/>
      <c r="W98" s="14"/>
      <c r="X98" s="14"/>
      <c r="Y98" s="14"/>
      <c r="Z98" s="14"/>
      <c r="AA98" s="14"/>
      <c r="AB98" s="14"/>
      <c r="AC98" s="14"/>
      <c r="AD98" s="14"/>
      <c r="AE98" s="14"/>
      <c r="AF98" s="14"/>
      <c r="AG98" s="14"/>
    </row>
    <row r="99" spans="1:33" ht="15">
      <c r="A99" s="14"/>
      <c r="B99" s="14"/>
      <c r="C99" s="14"/>
      <c r="D99" s="14"/>
      <c r="E99" s="14"/>
      <c r="F99" s="14"/>
      <c r="G99" s="14"/>
      <c r="H99" s="14"/>
      <c r="I99" s="14"/>
      <c r="J99" s="14"/>
      <c r="K99" s="14"/>
      <c r="L99" s="14"/>
      <c r="M99" s="14"/>
      <c r="N99" s="14"/>
      <c r="O99" s="14"/>
      <c r="P99" s="14"/>
      <c r="Q99" s="14"/>
      <c r="R99" s="14"/>
      <c r="S99" s="14"/>
      <c r="T99" s="14"/>
      <c r="U99" s="14"/>
      <c r="V99" s="14"/>
      <c r="W99" s="14"/>
      <c r="X99" s="14"/>
      <c r="Y99" s="14"/>
      <c r="Z99" s="14"/>
      <c r="AA99" s="14"/>
      <c r="AB99" s="14"/>
      <c r="AC99" s="14"/>
      <c r="AD99" s="14"/>
      <c r="AE99" s="14"/>
      <c r="AF99" s="14"/>
      <c r="AG99" s="14"/>
    </row>
    <row r="100" spans="1:33" ht="15">
      <c r="A100" s="14"/>
      <c r="B100" s="14"/>
      <c r="C100" s="14"/>
      <c r="D100" s="14"/>
      <c r="E100" s="14"/>
      <c r="F100" s="14"/>
      <c r="G100" s="14"/>
      <c r="H100" s="14"/>
      <c r="I100" s="14"/>
      <c r="J100" s="14"/>
      <c r="K100" s="14"/>
      <c r="L100" s="14"/>
      <c r="M100" s="14"/>
      <c r="N100" s="14"/>
      <c r="O100" s="14"/>
      <c r="P100" s="14"/>
      <c r="Q100" s="14"/>
      <c r="R100" s="14"/>
      <c r="S100" s="14"/>
      <c r="T100" s="14"/>
      <c r="U100" s="14"/>
      <c r="V100" s="14"/>
      <c r="W100" s="14"/>
      <c r="X100" s="14"/>
      <c r="Y100" s="14"/>
      <c r="Z100" s="14"/>
      <c r="AA100" s="14"/>
      <c r="AB100" s="14"/>
      <c r="AC100" s="14"/>
      <c r="AD100" s="14"/>
      <c r="AE100" s="14"/>
      <c r="AF100" s="14"/>
      <c r="AG100" s="14"/>
    </row>
    <row r="101" spans="1:33" ht="15">
      <c r="A101" s="14"/>
      <c r="B101" s="14"/>
      <c r="C101" s="14"/>
      <c r="D101" s="14"/>
      <c r="E101" s="14"/>
      <c r="F101" s="14"/>
      <c r="G101" s="14"/>
      <c r="H101" s="14"/>
      <c r="I101" s="14"/>
      <c r="J101" s="14"/>
      <c r="K101" s="14"/>
      <c r="L101" s="14"/>
      <c r="M101" s="14"/>
      <c r="N101" s="14"/>
      <c r="O101" s="14"/>
      <c r="P101" s="14"/>
      <c r="Q101" s="14"/>
      <c r="R101" s="14"/>
      <c r="S101" s="14"/>
      <c r="T101" s="14"/>
      <c r="U101" s="14"/>
      <c r="V101" s="14"/>
      <c r="W101" s="14"/>
      <c r="X101" s="14"/>
      <c r="Y101" s="14"/>
      <c r="Z101" s="14"/>
      <c r="AA101" s="14"/>
      <c r="AB101" s="14"/>
      <c r="AC101" s="14"/>
      <c r="AD101" s="14"/>
      <c r="AE101" s="14"/>
      <c r="AF101" s="14"/>
      <c r="AG101" s="14"/>
    </row>
    <row r="102" spans="1:33" ht="15">
      <c r="A102" s="14"/>
      <c r="B102" s="14"/>
      <c r="C102" s="14"/>
      <c r="D102" s="14"/>
      <c r="E102" s="14"/>
      <c r="F102" s="14"/>
      <c r="G102" s="14"/>
      <c r="H102" s="14"/>
      <c r="I102" s="14"/>
      <c r="J102" s="14"/>
      <c r="K102" s="14"/>
      <c r="L102" s="14"/>
      <c r="M102" s="14"/>
      <c r="N102" s="14"/>
      <c r="O102" s="14"/>
      <c r="P102" s="14"/>
      <c r="Q102" s="14"/>
      <c r="R102" s="14"/>
      <c r="S102" s="14"/>
      <c r="T102" s="14"/>
      <c r="U102" s="14"/>
      <c r="V102" s="14"/>
      <c r="W102" s="14"/>
      <c r="X102" s="14"/>
      <c r="Y102" s="14"/>
      <c r="Z102" s="14"/>
      <c r="AA102" s="14"/>
      <c r="AB102" s="14"/>
      <c r="AC102" s="14"/>
      <c r="AD102" s="14"/>
      <c r="AE102" s="14"/>
      <c r="AF102" s="14"/>
      <c r="AG102" s="14"/>
    </row>
    <row r="103" spans="1:33" ht="15">
      <c r="A103" s="14"/>
      <c r="B103" s="14"/>
      <c r="C103" s="14"/>
      <c r="D103" s="14"/>
      <c r="E103" s="14"/>
      <c r="F103" s="14"/>
      <c r="G103" s="14"/>
      <c r="H103" s="14"/>
      <c r="I103" s="14"/>
      <c r="J103" s="14"/>
      <c r="K103" s="14"/>
      <c r="L103" s="14"/>
      <c r="M103" s="14"/>
      <c r="N103" s="14"/>
      <c r="O103" s="14"/>
      <c r="P103" s="14"/>
      <c r="Q103" s="14"/>
      <c r="R103" s="14"/>
      <c r="S103" s="14"/>
      <c r="T103" s="14"/>
      <c r="U103" s="14"/>
      <c r="V103" s="14"/>
      <c r="W103" s="14"/>
      <c r="X103" s="14"/>
      <c r="Y103" s="14"/>
      <c r="Z103" s="14"/>
      <c r="AA103" s="14"/>
      <c r="AB103" s="14"/>
      <c r="AC103" s="14"/>
      <c r="AD103" s="14"/>
      <c r="AE103" s="14"/>
      <c r="AF103" s="14"/>
      <c r="AG103" s="14"/>
    </row>
    <row r="104" spans="1:33" ht="15">
      <c r="A104" s="14"/>
      <c r="B104" s="14"/>
      <c r="C104" s="14"/>
      <c r="D104" s="14"/>
      <c r="E104" s="14"/>
      <c r="F104" s="14"/>
      <c r="G104" s="14"/>
      <c r="H104" s="14"/>
      <c r="I104" s="14"/>
      <c r="J104" s="14"/>
      <c r="K104" s="14"/>
      <c r="L104" s="14"/>
      <c r="M104" s="14"/>
      <c r="N104" s="14"/>
      <c r="O104" s="14"/>
      <c r="P104" s="14"/>
      <c r="Q104" s="14"/>
      <c r="R104" s="14"/>
      <c r="S104" s="14"/>
      <c r="T104" s="14"/>
      <c r="U104" s="14"/>
      <c r="V104" s="14"/>
      <c r="W104" s="14"/>
      <c r="X104" s="14"/>
      <c r="Y104" s="14"/>
      <c r="Z104" s="14"/>
      <c r="AA104" s="14"/>
      <c r="AB104" s="14"/>
      <c r="AC104" s="14"/>
      <c r="AD104" s="14"/>
      <c r="AE104" s="14"/>
      <c r="AF104" s="14"/>
      <c r="AG104" s="14"/>
    </row>
    <row r="105" spans="1:33" ht="15">
      <c r="A105" s="14"/>
      <c r="B105" s="14"/>
      <c r="C105" s="14"/>
      <c r="D105" s="14"/>
      <c r="E105" s="14"/>
      <c r="F105" s="14"/>
      <c r="G105" s="14"/>
      <c r="H105" s="14"/>
      <c r="I105" s="14"/>
      <c r="J105" s="14"/>
      <c r="K105" s="14"/>
      <c r="L105" s="14"/>
      <c r="M105" s="14"/>
      <c r="N105" s="14"/>
      <c r="O105" s="14"/>
      <c r="P105" s="14"/>
      <c r="Q105" s="14"/>
      <c r="R105" s="14"/>
      <c r="S105" s="14"/>
      <c r="T105" s="14"/>
      <c r="U105" s="14"/>
      <c r="V105" s="14"/>
      <c r="W105" s="14"/>
      <c r="X105" s="14"/>
      <c r="Y105" s="14"/>
      <c r="Z105" s="14"/>
      <c r="AA105" s="14"/>
      <c r="AB105" s="14"/>
      <c r="AC105" s="14"/>
      <c r="AD105" s="14"/>
      <c r="AE105" s="14"/>
      <c r="AF105" s="14"/>
      <c r="AG105" s="14"/>
    </row>
  </sheetData>
  <sheetProtection sheet="1" formatRows="0"/>
  <mergeCells count="49">
    <mergeCell ref="J12:L12"/>
    <mergeCell ref="E10:G10"/>
    <mergeCell ref="C25:D25"/>
    <mergeCell ref="C30:E30"/>
    <mergeCell ref="J13:L13"/>
    <mergeCell ref="J11:L11"/>
    <mergeCell ref="J10:L10"/>
    <mergeCell ref="H12:I12"/>
    <mergeCell ref="H10:I10"/>
    <mergeCell ref="H13:I13"/>
    <mergeCell ref="C31:E31"/>
    <mergeCell ref="D26:E26"/>
    <mergeCell ref="D27:E27"/>
    <mergeCell ref="D28:E28"/>
    <mergeCell ref="D29:E29"/>
    <mergeCell ref="D18:E18"/>
    <mergeCell ref="D19:E19"/>
    <mergeCell ref="D22:E22"/>
    <mergeCell ref="D21:E21"/>
    <mergeCell ref="D23:E23"/>
    <mergeCell ref="H14:I14"/>
    <mergeCell ref="D20:E20"/>
    <mergeCell ref="D16:E16"/>
    <mergeCell ref="G16:K16"/>
    <mergeCell ref="G17:M17"/>
    <mergeCell ref="D17:E17"/>
    <mergeCell ref="D14:E14"/>
    <mergeCell ref="C15:D15"/>
    <mergeCell ref="G18:M18"/>
    <mergeCell ref="B2:D2"/>
    <mergeCell ref="E5:G5"/>
    <mergeCell ref="E6:G6"/>
    <mergeCell ref="C9:D9"/>
    <mergeCell ref="C5:D5"/>
    <mergeCell ref="C11:D11"/>
    <mergeCell ref="E11:G11"/>
    <mergeCell ref="C6:D6"/>
    <mergeCell ref="C7:D7"/>
    <mergeCell ref="C8:D8"/>
    <mergeCell ref="E7:G7"/>
    <mergeCell ref="B3:L3"/>
    <mergeCell ref="J14:L14"/>
    <mergeCell ref="E13:G13"/>
    <mergeCell ref="C10:D10"/>
    <mergeCell ref="C4:D4"/>
    <mergeCell ref="E12:G12"/>
    <mergeCell ref="H11:I11"/>
    <mergeCell ref="C12:D12"/>
    <mergeCell ref="C13:D13"/>
  </mergeCells>
  <dataValidations count="14">
    <dataValidation allowBlank="1" showErrorMessage="1" promptTitle="Utility Information" sqref="C31"/>
    <dataValidation type="decimal" allowBlank="1" showInputMessage="1" showErrorMessage="1" sqref="J25:J29">
      <formula1>0</formula1>
      <formula2>10</formula2>
    </dataValidation>
    <dataValidation type="list" allowBlank="1" showInputMessage="1" showErrorMessage="1" sqref="G28">
      <formula1>ElectricityUnits</formula1>
    </dataValidation>
    <dataValidation type="list" allowBlank="1" showInputMessage="1" showErrorMessage="1" sqref="G29">
      <formula1>NaturalGasUnits</formula1>
    </dataValidation>
    <dataValidation type="list" allowBlank="1" showInputMessage="1" showErrorMessage="1" sqref="F33:F38 G26:G27">
      <formula1>WaterUnits</formula1>
    </dataValidation>
    <dataValidation type="decimal" operator="greaterThanOrEqual" allowBlank="1" showInputMessage="1" showErrorMessage="1" error="Your utility rate must be a value greater than or equal to $0.00." sqref="F26:F29">
      <formula1>0</formula1>
    </dataValidation>
    <dataValidation type="decimal" allowBlank="1" showInputMessage="1" showErrorMessage="1" error="The number of operating days must be less than or equal to 365." sqref="F20">
      <formula1>0</formula1>
      <formula2>365</formula2>
    </dataValidation>
    <dataValidation type="decimal" allowBlank="1" showErrorMessage="1" prompt="Default hotel industry average is 60% occupancy." error="The occupancy rate must be between 0% and 100%." sqref="F23">
      <formula1>0</formula1>
      <formula2>1</formula2>
    </dataValidation>
    <dataValidation type="decimal" operator="greaterThan" allowBlank="1" showErrorMessage="1" prompt="Default hotel industry average is 1.4 people per room per night." sqref="F22">
      <formula1>0</formula1>
    </dataValidation>
    <dataValidation allowBlank="1" showErrorMessage="1" sqref="H22:H23"/>
    <dataValidation type="list" allowBlank="1" showInputMessage="1" showErrorMessage="1" sqref="F18">
      <formula1>"Natural Gas, Electric"</formula1>
    </dataValidation>
    <dataValidation type="whole" allowBlank="1" showInputMessage="1" showErrorMessage="1" prompt="Enter the renovation year only if the renovation included an upgrade of most bathroom fixtures (toilets and faucets). Otherwise, enter the construction year." error="Construction year or year of latest renovation must be between 1850 and today." sqref="F17">
      <formula1>1850</formula1>
      <formula2>YEAR(TODAY())</formula2>
    </dataValidation>
    <dataValidation type="whole" operator="greaterThan" allowBlank="1" showInputMessage="1" showErrorMessage="1" sqref="F19">
      <formula1>0</formula1>
    </dataValidation>
    <dataValidation type="decimal" operator="greaterThan" allowBlank="1" showInputMessage="1" showErrorMessage="1" error="The building square footage must be a number greater than 0." sqref="F16">
      <formula1>0</formula1>
    </dataValidation>
  </dataValidations>
  <printOptions horizontalCentered="1"/>
  <pageMargins left="0.25" right="0.25" top="0.75" bottom="0.5" header="0.25" footer="0.25"/>
  <pageSetup fitToHeight="1" fitToWidth="1" horizontalDpi="1200" verticalDpi="1200" orientation="landscape" scale="76" r:id="rId3"/>
  <headerFooter alignWithMargins="0">
    <oddHeader>&amp;C&amp;18&amp;F</oddHeader>
    <oddFooter>&amp;C&amp;P of &amp;N</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Water_Use">
    <pageSetUpPr fitToPage="1"/>
  </sheetPr>
  <dimension ref="A1:AG146"/>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6" sqref="A6"/>
      <selection pane="bottomRight" activeCell="D8" sqref="D8"/>
    </sheetView>
  </sheetViews>
  <sheetFormatPr defaultColWidth="9.140625" defaultRowHeight="15"/>
  <cols>
    <col min="1" max="1" width="4.7109375" style="12" customWidth="1"/>
    <col min="2" max="2" width="4.7109375" style="0" customWidth="1"/>
    <col min="3" max="3" width="7.28125" style="0" customWidth="1"/>
    <col min="4" max="4" width="40.7109375" style="0" customWidth="1"/>
    <col min="5" max="6" width="16.7109375" style="0" customWidth="1"/>
    <col min="7" max="8" width="18.7109375" style="0" customWidth="1"/>
    <col min="9" max="9" width="9.7109375" style="0" bestFit="1" customWidth="1"/>
    <col min="10" max="10" width="4.7109375" style="0" customWidth="1"/>
    <col min="11" max="11" width="4.7109375" style="37" customWidth="1"/>
    <col min="12" max="33" width="9.140625" style="37" customWidth="1"/>
    <col min="34" max="16384" width="9.140625" style="1" customWidth="1"/>
  </cols>
  <sheetData>
    <row r="1" spans="1:33" s="12" customFormat="1" ht="42" customHeight="1">
      <c r="A1" s="13"/>
      <c r="B1" s="13"/>
      <c r="C1" s="13"/>
      <c r="D1" s="797" t="s">
        <v>783</v>
      </c>
      <c r="E1" s="77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row>
    <row r="2" spans="1:10" ht="18.75">
      <c r="A2" s="13"/>
      <c r="B2" s="872" t="s">
        <v>300</v>
      </c>
      <c r="C2" s="872"/>
      <c r="D2" s="872"/>
      <c r="E2" s="872"/>
      <c r="F2" s="10"/>
      <c r="G2" s="10"/>
      <c r="H2" s="10"/>
      <c r="I2" s="10"/>
      <c r="J2" s="10"/>
    </row>
    <row r="3" spans="1:33" s="714" customFormat="1" ht="33" customHeight="1">
      <c r="A3" s="439"/>
      <c r="B3" s="891" t="s">
        <v>814</v>
      </c>
      <c r="C3" s="892"/>
      <c r="D3" s="892"/>
      <c r="E3" s="892"/>
      <c r="F3" s="892"/>
      <c r="G3" s="892"/>
      <c r="H3" s="892"/>
      <c r="I3" s="892"/>
      <c r="J3" s="892"/>
      <c r="K3" s="713"/>
      <c r="L3" s="713"/>
      <c r="M3" s="713"/>
      <c r="N3" s="713"/>
      <c r="O3" s="713"/>
      <c r="P3" s="713"/>
      <c r="Q3" s="713"/>
      <c r="R3" s="713"/>
      <c r="S3" s="713"/>
      <c r="T3" s="713"/>
      <c r="U3" s="713"/>
      <c r="V3" s="713"/>
      <c r="W3" s="713"/>
      <c r="X3" s="713"/>
      <c r="Y3" s="713"/>
      <c r="Z3" s="713"/>
      <c r="AA3" s="713"/>
      <c r="AB3" s="713"/>
      <c r="AC3" s="713"/>
      <c r="AD3" s="713"/>
      <c r="AE3" s="713"/>
      <c r="AF3" s="713"/>
      <c r="AG3" s="713"/>
    </row>
    <row r="4" spans="1:33" s="714" customFormat="1" ht="48.75" customHeight="1">
      <c r="A4" s="439"/>
      <c r="B4" s="917" t="s">
        <v>805</v>
      </c>
      <c r="C4" s="917"/>
      <c r="D4" s="917"/>
      <c r="E4" s="917"/>
      <c r="F4" s="917"/>
      <c r="G4" s="917"/>
      <c r="H4" s="917"/>
      <c r="I4" s="917"/>
      <c r="J4" s="917"/>
      <c r="K4" s="713"/>
      <c r="L4" s="713"/>
      <c r="M4" s="713"/>
      <c r="N4" s="713"/>
      <c r="O4" s="713"/>
      <c r="P4" s="713"/>
      <c r="Q4" s="713"/>
      <c r="R4" s="713"/>
      <c r="S4" s="713"/>
      <c r="T4" s="713"/>
      <c r="U4" s="713"/>
      <c r="V4" s="713"/>
      <c r="W4" s="713"/>
      <c r="X4" s="713"/>
      <c r="Y4" s="713"/>
      <c r="Z4" s="713"/>
      <c r="AA4" s="713"/>
      <c r="AB4" s="713"/>
      <c r="AC4" s="713"/>
      <c r="AD4" s="713"/>
      <c r="AE4" s="713"/>
      <c r="AF4" s="713"/>
      <c r="AG4" s="713"/>
    </row>
    <row r="5" spans="1:33" s="714" customFormat="1" ht="33" customHeight="1">
      <c r="A5" s="439"/>
      <c r="B5" s="917" t="s">
        <v>810</v>
      </c>
      <c r="C5" s="917"/>
      <c r="D5" s="917"/>
      <c r="E5" s="917"/>
      <c r="F5" s="917"/>
      <c r="G5" s="917"/>
      <c r="H5" s="917"/>
      <c r="I5" s="917"/>
      <c r="J5" s="917"/>
      <c r="K5" s="713"/>
      <c r="L5" s="713"/>
      <c r="M5" s="713"/>
      <c r="N5" s="713"/>
      <c r="O5" s="713"/>
      <c r="P5" s="713"/>
      <c r="Q5" s="713"/>
      <c r="R5" s="713"/>
      <c r="S5" s="713"/>
      <c r="T5" s="713"/>
      <c r="U5" s="713"/>
      <c r="V5" s="713"/>
      <c r="W5" s="713"/>
      <c r="X5" s="713"/>
      <c r="Y5" s="713"/>
      <c r="Z5" s="713"/>
      <c r="AA5" s="713"/>
      <c r="AB5" s="713"/>
      <c r="AC5" s="713"/>
      <c r="AD5" s="713"/>
      <c r="AE5" s="713"/>
      <c r="AF5" s="713"/>
      <c r="AG5" s="713"/>
    </row>
    <row r="6" spans="1:33" s="714" customFormat="1" ht="30.75" customHeight="1">
      <c r="A6" s="439"/>
      <c r="B6" s="917" t="s">
        <v>815</v>
      </c>
      <c r="C6" s="917"/>
      <c r="D6" s="917"/>
      <c r="E6" s="917"/>
      <c r="F6" s="917"/>
      <c r="G6" s="917"/>
      <c r="H6" s="917"/>
      <c r="I6" s="917"/>
      <c r="J6" s="917"/>
      <c r="K6" s="713"/>
      <c r="L6" s="713"/>
      <c r="M6" s="713"/>
      <c r="N6" s="713"/>
      <c r="O6" s="713"/>
      <c r="P6" s="713"/>
      <c r="Q6" s="713"/>
      <c r="R6" s="713"/>
      <c r="S6" s="713"/>
      <c r="T6" s="713"/>
      <c r="U6" s="713"/>
      <c r="V6" s="713"/>
      <c r="W6" s="713"/>
      <c r="X6" s="713"/>
      <c r="Y6" s="713"/>
      <c r="Z6" s="713"/>
      <c r="AA6" s="713"/>
      <c r="AB6" s="713"/>
      <c r="AC6" s="713"/>
      <c r="AD6" s="713"/>
      <c r="AE6" s="713"/>
      <c r="AF6" s="713"/>
      <c r="AG6" s="713"/>
    </row>
    <row r="7" spans="1:10" ht="15">
      <c r="A7" s="13"/>
      <c r="B7" s="270"/>
      <c r="C7" s="270"/>
      <c r="D7" s="17" t="s">
        <v>21</v>
      </c>
      <c r="E7" s="17" t="s">
        <v>0</v>
      </c>
      <c r="F7" s="17" t="s">
        <v>1</v>
      </c>
      <c r="G7" s="17" t="s">
        <v>2</v>
      </c>
      <c r="H7" s="17" t="s">
        <v>3</v>
      </c>
      <c r="I7" s="17" t="s">
        <v>312</v>
      </c>
      <c r="J7" s="270"/>
    </row>
    <row r="8" spans="1:10" ht="15">
      <c r="A8" s="13"/>
      <c r="C8" s="270">
        <v>1</v>
      </c>
      <c r="D8" s="738" t="s">
        <v>313</v>
      </c>
      <c r="E8" s="740" t="s">
        <v>313</v>
      </c>
      <c r="F8" s="740" t="s">
        <v>313</v>
      </c>
      <c r="G8" s="741" t="s">
        <v>313</v>
      </c>
      <c r="H8" s="742" t="s">
        <v>313</v>
      </c>
      <c r="I8" s="739" t="s">
        <v>313</v>
      </c>
      <c r="J8" s="270"/>
    </row>
    <row r="9" spans="1:10" ht="15">
      <c r="A9" s="13"/>
      <c r="C9" s="270">
        <v>2</v>
      </c>
      <c r="D9" s="738" t="s">
        <v>313</v>
      </c>
      <c r="E9" s="740" t="s">
        <v>313</v>
      </c>
      <c r="F9" s="740" t="s">
        <v>313</v>
      </c>
      <c r="G9" s="741" t="s">
        <v>313</v>
      </c>
      <c r="H9" s="742" t="s">
        <v>313</v>
      </c>
      <c r="I9" s="739" t="s">
        <v>313</v>
      </c>
      <c r="J9" s="270"/>
    </row>
    <row r="10" spans="1:10" ht="15">
      <c r="A10" s="13"/>
      <c r="C10" s="270">
        <v>3</v>
      </c>
      <c r="D10" s="738" t="s">
        <v>313</v>
      </c>
      <c r="E10" s="740" t="s">
        <v>313</v>
      </c>
      <c r="F10" s="740" t="s">
        <v>313</v>
      </c>
      <c r="G10" s="741" t="s">
        <v>313</v>
      </c>
      <c r="H10" s="742" t="s">
        <v>313</v>
      </c>
      <c r="I10" s="739" t="s">
        <v>313</v>
      </c>
      <c r="J10" s="270"/>
    </row>
    <row r="11" spans="1:10" ht="15">
      <c r="A11" s="13"/>
      <c r="C11" s="270">
        <v>4</v>
      </c>
      <c r="D11" s="738" t="s">
        <v>313</v>
      </c>
      <c r="E11" s="740" t="s">
        <v>313</v>
      </c>
      <c r="F11" s="740" t="s">
        <v>313</v>
      </c>
      <c r="G11" s="741" t="s">
        <v>313</v>
      </c>
      <c r="H11" s="742" t="s">
        <v>313</v>
      </c>
      <c r="I11" s="739" t="s">
        <v>313</v>
      </c>
      <c r="J11" s="270"/>
    </row>
    <row r="12" spans="1:10" ht="15">
      <c r="A12" s="13"/>
      <c r="C12" s="270">
        <v>5</v>
      </c>
      <c r="D12" s="738" t="s">
        <v>313</v>
      </c>
      <c r="E12" s="740" t="s">
        <v>313</v>
      </c>
      <c r="F12" s="740" t="s">
        <v>313</v>
      </c>
      <c r="G12" s="741" t="s">
        <v>313</v>
      </c>
      <c r="H12" s="742" t="s">
        <v>313</v>
      </c>
      <c r="I12" s="739" t="s">
        <v>313</v>
      </c>
      <c r="J12" s="270"/>
    </row>
    <row r="13" spans="1:10" ht="15">
      <c r="A13" s="13"/>
      <c r="C13" s="270">
        <v>6</v>
      </c>
      <c r="D13" s="738" t="s">
        <v>313</v>
      </c>
      <c r="E13" s="740" t="s">
        <v>313</v>
      </c>
      <c r="F13" s="740" t="s">
        <v>313</v>
      </c>
      <c r="G13" s="741" t="s">
        <v>313</v>
      </c>
      <c r="H13" s="742" t="s">
        <v>313</v>
      </c>
      <c r="I13" s="739" t="s">
        <v>313</v>
      </c>
      <c r="J13" s="270"/>
    </row>
    <row r="14" spans="1:10" ht="15">
      <c r="A14" s="13"/>
      <c r="C14" s="270">
        <v>7</v>
      </c>
      <c r="D14" s="738" t="s">
        <v>313</v>
      </c>
      <c r="E14" s="740" t="s">
        <v>313</v>
      </c>
      <c r="F14" s="740" t="s">
        <v>313</v>
      </c>
      <c r="G14" s="741" t="s">
        <v>313</v>
      </c>
      <c r="H14" s="742" t="s">
        <v>313</v>
      </c>
      <c r="I14" s="739" t="s">
        <v>313</v>
      </c>
      <c r="J14" s="270"/>
    </row>
    <row r="15" spans="1:10" ht="15">
      <c r="A15" s="13"/>
      <c r="C15" s="270">
        <v>8</v>
      </c>
      <c r="D15" s="738" t="s">
        <v>313</v>
      </c>
      <c r="E15" s="740" t="s">
        <v>313</v>
      </c>
      <c r="F15" s="740" t="s">
        <v>313</v>
      </c>
      <c r="G15" s="741" t="s">
        <v>313</v>
      </c>
      <c r="H15" s="742" t="s">
        <v>313</v>
      </c>
      <c r="I15" s="739" t="s">
        <v>313</v>
      </c>
      <c r="J15" s="270"/>
    </row>
    <row r="16" spans="1:10" ht="15">
      <c r="A16" s="13"/>
      <c r="C16" s="270">
        <v>9</v>
      </c>
      <c r="D16" s="738" t="s">
        <v>313</v>
      </c>
      <c r="E16" s="740" t="s">
        <v>313</v>
      </c>
      <c r="F16" s="740" t="s">
        <v>313</v>
      </c>
      <c r="G16" s="741" t="s">
        <v>313</v>
      </c>
      <c r="H16" s="742" t="s">
        <v>313</v>
      </c>
      <c r="I16" s="739" t="s">
        <v>313</v>
      </c>
      <c r="J16" s="270"/>
    </row>
    <row r="17" spans="1:10" ht="15">
      <c r="A17" s="13"/>
      <c r="C17" s="270">
        <v>10</v>
      </c>
      <c r="D17" s="738" t="s">
        <v>313</v>
      </c>
      <c r="E17" s="740" t="s">
        <v>313</v>
      </c>
      <c r="F17" s="740" t="s">
        <v>313</v>
      </c>
      <c r="G17" s="741" t="s">
        <v>313</v>
      </c>
      <c r="H17" s="742" t="s">
        <v>313</v>
      </c>
      <c r="I17" s="739" t="s">
        <v>313</v>
      </c>
      <c r="J17" s="270"/>
    </row>
    <row r="18" spans="1:10" ht="15">
      <c r="A18" s="13"/>
      <c r="C18" s="270">
        <v>11</v>
      </c>
      <c r="D18" s="738" t="s">
        <v>313</v>
      </c>
      <c r="E18" s="740" t="s">
        <v>313</v>
      </c>
      <c r="F18" s="740" t="s">
        <v>313</v>
      </c>
      <c r="G18" s="741" t="s">
        <v>313</v>
      </c>
      <c r="H18" s="742" t="s">
        <v>313</v>
      </c>
      <c r="I18" s="739" t="s">
        <v>313</v>
      </c>
      <c r="J18" s="270"/>
    </row>
    <row r="19" spans="1:10" ht="15">
      <c r="A19" s="13"/>
      <c r="C19" s="270">
        <v>12</v>
      </c>
      <c r="D19" s="738" t="s">
        <v>313</v>
      </c>
      <c r="E19" s="740" t="s">
        <v>313</v>
      </c>
      <c r="F19" s="740" t="s">
        <v>313</v>
      </c>
      <c r="G19" s="741" t="s">
        <v>313</v>
      </c>
      <c r="H19" s="742" t="s">
        <v>313</v>
      </c>
      <c r="I19" s="739" t="s">
        <v>313</v>
      </c>
      <c r="J19" s="270"/>
    </row>
    <row r="20" spans="1:10" ht="15">
      <c r="A20" s="13"/>
      <c r="C20" s="270">
        <v>13</v>
      </c>
      <c r="D20" s="738" t="s">
        <v>313</v>
      </c>
      <c r="E20" s="740" t="s">
        <v>313</v>
      </c>
      <c r="F20" s="740" t="s">
        <v>313</v>
      </c>
      <c r="G20" s="741" t="s">
        <v>313</v>
      </c>
      <c r="H20" s="742" t="s">
        <v>313</v>
      </c>
      <c r="I20" s="739" t="s">
        <v>313</v>
      </c>
      <c r="J20" s="270"/>
    </row>
    <row r="21" spans="1:10" ht="15">
      <c r="A21" s="13"/>
      <c r="C21" s="270">
        <v>14</v>
      </c>
      <c r="D21" s="738" t="s">
        <v>313</v>
      </c>
      <c r="E21" s="740" t="s">
        <v>313</v>
      </c>
      <c r="F21" s="740" t="s">
        <v>313</v>
      </c>
      <c r="G21" s="741" t="s">
        <v>313</v>
      </c>
      <c r="H21" s="742" t="s">
        <v>313</v>
      </c>
      <c r="I21" s="739" t="s">
        <v>313</v>
      </c>
      <c r="J21" s="270"/>
    </row>
    <row r="22" spans="1:10" ht="15">
      <c r="A22" s="13"/>
      <c r="C22" s="270">
        <v>15</v>
      </c>
      <c r="D22" s="738" t="s">
        <v>313</v>
      </c>
      <c r="E22" s="740" t="s">
        <v>313</v>
      </c>
      <c r="F22" s="740" t="s">
        <v>313</v>
      </c>
      <c r="G22" s="741" t="s">
        <v>313</v>
      </c>
      <c r="H22" s="742" t="s">
        <v>313</v>
      </c>
      <c r="I22" s="739" t="s">
        <v>313</v>
      </c>
      <c r="J22" s="270"/>
    </row>
    <row r="23" spans="1:10" ht="15">
      <c r="A23" s="13"/>
      <c r="C23" s="270">
        <v>16</v>
      </c>
      <c r="D23" s="738" t="s">
        <v>313</v>
      </c>
      <c r="E23" s="740" t="s">
        <v>313</v>
      </c>
      <c r="F23" s="740" t="s">
        <v>313</v>
      </c>
      <c r="G23" s="741" t="s">
        <v>313</v>
      </c>
      <c r="H23" s="742" t="s">
        <v>313</v>
      </c>
      <c r="I23" s="739" t="s">
        <v>313</v>
      </c>
      <c r="J23" s="270"/>
    </row>
    <row r="24" spans="1:10" ht="15">
      <c r="A24" s="13"/>
      <c r="C24" s="270">
        <v>17</v>
      </c>
      <c r="D24" s="738" t="s">
        <v>313</v>
      </c>
      <c r="E24" s="740" t="s">
        <v>313</v>
      </c>
      <c r="F24" s="740" t="s">
        <v>313</v>
      </c>
      <c r="G24" s="741" t="s">
        <v>313</v>
      </c>
      <c r="H24" s="742" t="s">
        <v>313</v>
      </c>
      <c r="I24" s="739" t="s">
        <v>313</v>
      </c>
      <c r="J24" s="270"/>
    </row>
    <row r="25" spans="1:10" ht="15">
      <c r="A25" s="13"/>
      <c r="C25" s="270">
        <v>18</v>
      </c>
      <c r="D25" s="738" t="s">
        <v>313</v>
      </c>
      <c r="E25" s="740" t="s">
        <v>313</v>
      </c>
      <c r="F25" s="740" t="s">
        <v>313</v>
      </c>
      <c r="G25" s="741" t="s">
        <v>313</v>
      </c>
      <c r="H25" s="742" t="s">
        <v>313</v>
      </c>
      <c r="I25" s="739" t="s">
        <v>313</v>
      </c>
      <c r="J25" s="270"/>
    </row>
    <row r="26" spans="1:10" ht="15">
      <c r="A26" s="13"/>
      <c r="C26" s="270">
        <v>19</v>
      </c>
      <c r="D26" s="738" t="s">
        <v>313</v>
      </c>
      <c r="E26" s="740" t="s">
        <v>313</v>
      </c>
      <c r="F26" s="740" t="s">
        <v>313</v>
      </c>
      <c r="G26" s="741" t="s">
        <v>313</v>
      </c>
      <c r="H26" s="742" t="s">
        <v>313</v>
      </c>
      <c r="I26" s="739" t="s">
        <v>313</v>
      </c>
      <c r="J26" s="270"/>
    </row>
    <row r="27" spans="1:10" ht="15">
      <c r="A27" s="13"/>
      <c r="C27" s="270">
        <v>20</v>
      </c>
      <c r="D27" s="738" t="s">
        <v>313</v>
      </c>
      <c r="E27" s="740" t="s">
        <v>313</v>
      </c>
      <c r="F27" s="740" t="s">
        <v>313</v>
      </c>
      <c r="G27" s="741" t="s">
        <v>313</v>
      </c>
      <c r="H27" s="742" t="s">
        <v>313</v>
      </c>
      <c r="I27" s="739" t="s">
        <v>313</v>
      </c>
      <c r="J27" s="270"/>
    </row>
    <row r="28" spans="1:10" ht="15">
      <c r="A28" s="13"/>
      <c r="C28" s="270">
        <v>21</v>
      </c>
      <c r="D28" s="738" t="s">
        <v>313</v>
      </c>
      <c r="E28" s="740" t="s">
        <v>313</v>
      </c>
      <c r="F28" s="740" t="s">
        <v>313</v>
      </c>
      <c r="G28" s="741" t="s">
        <v>313</v>
      </c>
      <c r="H28" s="742" t="s">
        <v>313</v>
      </c>
      <c r="I28" s="739" t="s">
        <v>313</v>
      </c>
      <c r="J28" s="270"/>
    </row>
    <row r="29" spans="1:10" ht="15">
      <c r="A29" s="22"/>
      <c r="C29" s="270">
        <v>22</v>
      </c>
      <c r="D29" s="738" t="s">
        <v>313</v>
      </c>
      <c r="E29" s="740" t="s">
        <v>313</v>
      </c>
      <c r="F29" s="740" t="s">
        <v>313</v>
      </c>
      <c r="G29" s="741" t="s">
        <v>313</v>
      </c>
      <c r="H29" s="742" t="s">
        <v>313</v>
      </c>
      <c r="I29" s="739" t="s">
        <v>313</v>
      </c>
      <c r="J29" s="270"/>
    </row>
    <row r="30" spans="1:10" ht="15">
      <c r="A30" s="13"/>
      <c r="C30" s="270">
        <v>23</v>
      </c>
      <c r="D30" s="738" t="s">
        <v>313</v>
      </c>
      <c r="E30" s="740" t="s">
        <v>313</v>
      </c>
      <c r="F30" s="740" t="s">
        <v>313</v>
      </c>
      <c r="G30" s="741" t="s">
        <v>313</v>
      </c>
      <c r="H30" s="742" t="s">
        <v>313</v>
      </c>
      <c r="I30" s="739" t="s">
        <v>313</v>
      </c>
      <c r="J30" s="270"/>
    </row>
    <row r="31" spans="1:10" ht="15">
      <c r="A31" s="13"/>
      <c r="C31" s="270">
        <v>24</v>
      </c>
      <c r="D31" s="738" t="s">
        <v>313</v>
      </c>
      <c r="E31" s="740" t="s">
        <v>313</v>
      </c>
      <c r="F31" s="740" t="s">
        <v>313</v>
      </c>
      <c r="G31" s="741" t="s">
        <v>313</v>
      </c>
      <c r="H31" s="742" t="s">
        <v>313</v>
      </c>
      <c r="I31" s="739" t="s">
        <v>313</v>
      </c>
      <c r="J31" s="270"/>
    </row>
    <row r="32" spans="1:10" ht="15">
      <c r="A32" s="13"/>
      <c r="C32" s="270">
        <v>25</v>
      </c>
      <c r="D32" s="738" t="s">
        <v>313</v>
      </c>
      <c r="E32" s="740" t="s">
        <v>313</v>
      </c>
      <c r="F32" s="740" t="s">
        <v>313</v>
      </c>
      <c r="G32" s="741" t="s">
        <v>313</v>
      </c>
      <c r="H32" s="742" t="s">
        <v>313</v>
      </c>
      <c r="I32" s="739" t="s">
        <v>313</v>
      </c>
      <c r="J32" s="270"/>
    </row>
    <row r="33" spans="1:10" ht="15">
      <c r="A33" s="13"/>
      <c r="C33" s="270">
        <v>26</v>
      </c>
      <c r="D33" s="738" t="s">
        <v>313</v>
      </c>
      <c r="E33" s="740" t="s">
        <v>313</v>
      </c>
      <c r="F33" s="740" t="s">
        <v>313</v>
      </c>
      <c r="G33" s="741" t="s">
        <v>313</v>
      </c>
      <c r="H33" s="742" t="s">
        <v>313</v>
      </c>
      <c r="I33" s="739" t="s">
        <v>313</v>
      </c>
      <c r="J33" s="270"/>
    </row>
    <row r="34" spans="1:10" ht="15">
      <c r="A34" s="13"/>
      <c r="C34" s="270">
        <v>27</v>
      </c>
      <c r="D34" s="738" t="s">
        <v>313</v>
      </c>
      <c r="E34" s="740" t="s">
        <v>313</v>
      </c>
      <c r="F34" s="740" t="s">
        <v>313</v>
      </c>
      <c r="G34" s="741" t="s">
        <v>313</v>
      </c>
      <c r="H34" s="742" t="s">
        <v>313</v>
      </c>
      <c r="I34" s="739" t="s">
        <v>313</v>
      </c>
      <c r="J34" s="270"/>
    </row>
    <row r="35" spans="1:10" ht="15">
      <c r="A35" s="13"/>
      <c r="C35" s="270">
        <v>28</v>
      </c>
      <c r="D35" s="738" t="s">
        <v>313</v>
      </c>
      <c r="E35" s="740" t="s">
        <v>313</v>
      </c>
      <c r="F35" s="740" t="s">
        <v>313</v>
      </c>
      <c r="G35" s="741" t="s">
        <v>313</v>
      </c>
      <c r="H35" s="742" t="s">
        <v>313</v>
      </c>
      <c r="I35" s="739" t="s">
        <v>313</v>
      </c>
      <c r="J35" s="270"/>
    </row>
    <row r="36" spans="1:10" ht="15">
      <c r="A36" s="13"/>
      <c r="C36" s="270">
        <v>29</v>
      </c>
      <c r="D36" s="738" t="s">
        <v>313</v>
      </c>
      <c r="E36" s="740" t="s">
        <v>313</v>
      </c>
      <c r="F36" s="740" t="s">
        <v>313</v>
      </c>
      <c r="G36" s="741" t="s">
        <v>313</v>
      </c>
      <c r="H36" s="742" t="s">
        <v>313</v>
      </c>
      <c r="I36" s="739" t="s">
        <v>313</v>
      </c>
      <c r="J36" s="270"/>
    </row>
    <row r="37" spans="1:10" ht="15">
      <c r="A37" s="13"/>
      <c r="C37" s="270">
        <v>30</v>
      </c>
      <c r="D37" s="738" t="s">
        <v>313</v>
      </c>
      <c r="E37" s="740" t="s">
        <v>313</v>
      </c>
      <c r="F37" s="740" t="s">
        <v>313</v>
      </c>
      <c r="G37" s="741" t="s">
        <v>313</v>
      </c>
      <c r="H37" s="742" t="s">
        <v>313</v>
      </c>
      <c r="I37" s="739" t="s">
        <v>313</v>
      </c>
      <c r="J37" s="270"/>
    </row>
    <row r="38" spans="1:10" ht="15">
      <c r="A38" s="13"/>
      <c r="C38" s="270">
        <v>31</v>
      </c>
      <c r="D38" s="738" t="s">
        <v>313</v>
      </c>
      <c r="E38" s="740" t="s">
        <v>313</v>
      </c>
      <c r="F38" s="740" t="s">
        <v>313</v>
      </c>
      <c r="G38" s="741" t="s">
        <v>313</v>
      </c>
      <c r="H38" s="742" t="s">
        <v>313</v>
      </c>
      <c r="I38" s="739" t="s">
        <v>313</v>
      </c>
      <c r="J38" s="270"/>
    </row>
    <row r="39" spans="1:10" ht="15">
      <c r="A39" s="13"/>
      <c r="C39" s="270">
        <v>32</v>
      </c>
      <c r="D39" s="738" t="s">
        <v>313</v>
      </c>
      <c r="E39" s="740" t="s">
        <v>313</v>
      </c>
      <c r="F39" s="740" t="s">
        <v>313</v>
      </c>
      <c r="G39" s="741" t="s">
        <v>313</v>
      </c>
      <c r="H39" s="742" t="s">
        <v>313</v>
      </c>
      <c r="I39" s="739" t="s">
        <v>313</v>
      </c>
      <c r="J39" s="270"/>
    </row>
    <row r="40" spans="1:10" ht="15">
      <c r="A40" s="13"/>
      <c r="C40" s="270">
        <v>33</v>
      </c>
      <c r="D40" s="738" t="s">
        <v>313</v>
      </c>
      <c r="E40" s="740" t="s">
        <v>313</v>
      </c>
      <c r="F40" s="740" t="s">
        <v>313</v>
      </c>
      <c r="G40" s="741" t="s">
        <v>313</v>
      </c>
      <c r="H40" s="742" t="s">
        <v>313</v>
      </c>
      <c r="I40" s="739" t="s">
        <v>313</v>
      </c>
      <c r="J40" s="270"/>
    </row>
    <row r="41" spans="1:10" ht="15">
      <c r="A41" s="13"/>
      <c r="C41" s="270">
        <v>34</v>
      </c>
      <c r="D41" s="738" t="s">
        <v>313</v>
      </c>
      <c r="E41" s="740" t="s">
        <v>313</v>
      </c>
      <c r="F41" s="740" t="s">
        <v>313</v>
      </c>
      <c r="G41" s="741" t="s">
        <v>313</v>
      </c>
      <c r="H41" s="742" t="s">
        <v>313</v>
      </c>
      <c r="I41" s="739" t="s">
        <v>313</v>
      </c>
      <c r="J41" s="270"/>
    </row>
    <row r="42" spans="1:10" ht="15">
      <c r="A42" s="13"/>
      <c r="C42" s="270">
        <v>35</v>
      </c>
      <c r="D42" s="738" t="s">
        <v>313</v>
      </c>
      <c r="E42" s="740" t="s">
        <v>313</v>
      </c>
      <c r="F42" s="740" t="s">
        <v>313</v>
      </c>
      <c r="G42" s="741" t="s">
        <v>313</v>
      </c>
      <c r="H42" s="742" t="s">
        <v>313</v>
      </c>
      <c r="I42" s="739" t="s">
        <v>313</v>
      </c>
      <c r="J42" s="270"/>
    </row>
    <row r="43" spans="1:10" ht="15">
      <c r="A43" s="13"/>
      <c r="C43" s="270">
        <v>36</v>
      </c>
      <c r="D43" s="738" t="s">
        <v>313</v>
      </c>
      <c r="E43" s="740" t="s">
        <v>313</v>
      </c>
      <c r="F43" s="740" t="s">
        <v>313</v>
      </c>
      <c r="G43" s="741" t="s">
        <v>313</v>
      </c>
      <c r="H43" s="742" t="s">
        <v>313</v>
      </c>
      <c r="I43" s="739" t="s">
        <v>313</v>
      </c>
      <c r="J43" s="270"/>
    </row>
    <row r="44" spans="1:10" ht="15">
      <c r="A44" s="13"/>
      <c r="C44" s="270">
        <v>37</v>
      </c>
      <c r="D44" s="738" t="s">
        <v>313</v>
      </c>
      <c r="E44" s="740" t="s">
        <v>313</v>
      </c>
      <c r="F44" s="740" t="s">
        <v>313</v>
      </c>
      <c r="G44" s="741" t="s">
        <v>313</v>
      </c>
      <c r="H44" s="742" t="s">
        <v>313</v>
      </c>
      <c r="I44" s="739" t="s">
        <v>313</v>
      </c>
      <c r="J44" s="270"/>
    </row>
    <row r="45" spans="1:10" ht="15">
      <c r="A45" s="13"/>
      <c r="C45" s="270">
        <v>38</v>
      </c>
      <c r="D45" s="738" t="s">
        <v>313</v>
      </c>
      <c r="E45" s="740" t="s">
        <v>313</v>
      </c>
      <c r="F45" s="740" t="s">
        <v>313</v>
      </c>
      <c r="G45" s="741" t="s">
        <v>313</v>
      </c>
      <c r="H45" s="742" t="s">
        <v>313</v>
      </c>
      <c r="I45" s="739" t="s">
        <v>313</v>
      </c>
      <c r="J45" s="270"/>
    </row>
    <row r="46" spans="1:10" ht="15">
      <c r="A46" s="13"/>
      <c r="C46" s="270">
        <v>39</v>
      </c>
      <c r="D46" s="738" t="s">
        <v>313</v>
      </c>
      <c r="E46" s="740" t="s">
        <v>313</v>
      </c>
      <c r="F46" s="740" t="s">
        <v>313</v>
      </c>
      <c r="G46" s="741" t="s">
        <v>313</v>
      </c>
      <c r="H46" s="742" t="s">
        <v>313</v>
      </c>
      <c r="I46" s="739" t="s">
        <v>313</v>
      </c>
      <c r="J46" s="270"/>
    </row>
    <row r="47" spans="1:10" ht="15">
      <c r="A47" s="13"/>
      <c r="C47" s="270">
        <v>40</v>
      </c>
      <c r="D47" s="738" t="s">
        <v>313</v>
      </c>
      <c r="E47" s="740" t="s">
        <v>313</v>
      </c>
      <c r="F47" s="740" t="s">
        <v>313</v>
      </c>
      <c r="G47" s="741" t="s">
        <v>313</v>
      </c>
      <c r="H47" s="742" t="s">
        <v>313</v>
      </c>
      <c r="I47" s="739" t="s">
        <v>313</v>
      </c>
      <c r="J47" s="270"/>
    </row>
    <row r="48" spans="1:10" ht="15">
      <c r="A48" s="13"/>
      <c r="C48" s="270">
        <v>41</v>
      </c>
      <c r="D48" s="738" t="s">
        <v>313</v>
      </c>
      <c r="E48" s="740" t="s">
        <v>313</v>
      </c>
      <c r="F48" s="740" t="s">
        <v>313</v>
      </c>
      <c r="G48" s="741" t="s">
        <v>313</v>
      </c>
      <c r="H48" s="742" t="s">
        <v>313</v>
      </c>
      <c r="I48" s="739" t="s">
        <v>313</v>
      </c>
      <c r="J48" s="270"/>
    </row>
    <row r="49" spans="1:10" ht="15">
      <c r="A49" s="13"/>
      <c r="C49" s="270">
        <v>42</v>
      </c>
      <c r="D49" s="738" t="s">
        <v>313</v>
      </c>
      <c r="E49" s="740" t="s">
        <v>313</v>
      </c>
      <c r="F49" s="740" t="s">
        <v>313</v>
      </c>
      <c r="G49" s="741" t="s">
        <v>313</v>
      </c>
      <c r="H49" s="742" t="s">
        <v>313</v>
      </c>
      <c r="I49" s="739" t="s">
        <v>313</v>
      </c>
      <c r="J49" s="270"/>
    </row>
    <row r="50" spans="1:10" ht="15">
      <c r="A50" s="13"/>
      <c r="C50" s="270">
        <v>43</v>
      </c>
      <c r="D50" s="738" t="s">
        <v>313</v>
      </c>
      <c r="E50" s="740" t="s">
        <v>313</v>
      </c>
      <c r="F50" s="740" t="s">
        <v>313</v>
      </c>
      <c r="G50" s="741" t="s">
        <v>313</v>
      </c>
      <c r="H50" s="742" t="s">
        <v>313</v>
      </c>
      <c r="I50" s="739" t="s">
        <v>313</v>
      </c>
      <c r="J50" s="270"/>
    </row>
    <row r="51" spans="1:10" ht="15">
      <c r="A51" s="13"/>
      <c r="C51" s="270">
        <v>44</v>
      </c>
      <c r="D51" s="738" t="s">
        <v>313</v>
      </c>
      <c r="E51" s="740" t="s">
        <v>313</v>
      </c>
      <c r="F51" s="740" t="s">
        <v>313</v>
      </c>
      <c r="G51" s="741" t="s">
        <v>313</v>
      </c>
      <c r="H51" s="742" t="s">
        <v>313</v>
      </c>
      <c r="I51" s="739" t="s">
        <v>313</v>
      </c>
      <c r="J51" s="270"/>
    </row>
    <row r="52" spans="1:10" ht="15">
      <c r="A52" s="13"/>
      <c r="C52" s="270">
        <v>45</v>
      </c>
      <c r="D52" s="738" t="s">
        <v>313</v>
      </c>
      <c r="E52" s="740" t="s">
        <v>313</v>
      </c>
      <c r="F52" s="740" t="s">
        <v>313</v>
      </c>
      <c r="G52" s="741" t="s">
        <v>313</v>
      </c>
      <c r="H52" s="742" t="s">
        <v>313</v>
      </c>
      <c r="I52" s="739" t="s">
        <v>313</v>
      </c>
      <c r="J52" s="270"/>
    </row>
    <row r="53" spans="1:10" ht="15">
      <c r="A53" s="13"/>
      <c r="C53" s="270">
        <v>46</v>
      </c>
      <c r="D53" s="738" t="s">
        <v>313</v>
      </c>
      <c r="E53" s="740" t="s">
        <v>313</v>
      </c>
      <c r="F53" s="740" t="s">
        <v>313</v>
      </c>
      <c r="G53" s="741" t="s">
        <v>313</v>
      </c>
      <c r="H53" s="742" t="s">
        <v>313</v>
      </c>
      <c r="I53" s="739" t="s">
        <v>313</v>
      </c>
      <c r="J53" s="270"/>
    </row>
    <row r="54" spans="1:10" ht="15">
      <c r="A54" s="13"/>
      <c r="C54" s="270">
        <v>47</v>
      </c>
      <c r="D54" s="738" t="s">
        <v>313</v>
      </c>
      <c r="E54" s="740" t="s">
        <v>313</v>
      </c>
      <c r="F54" s="740" t="s">
        <v>313</v>
      </c>
      <c r="G54" s="741" t="s">
        <v>313</v>
      </c>
      <c r="H54" s="742" t="s">
        <v>313</v>
      </c>
      <c r="I54" s="739" t="s">
        <v>313</v>
      </c>
      <c r="J54" s="270"/>
    </row>
    <row r="55" spans="1:10" ht="15">
      <c r="A55" s="13"/>
      <c r="C55" s="270">
        <v>48</v>
      </c>
      <c r="D55" s="738" t="s">
        <v>313</v>
      </c>
      <c r="E55" s="740" t="s">
        <v>313</v>
      </c>
      <c r="F55" s="740" t="s">
        <v>313</v>
      </c>
      <c r="G55" s="741" t="s">
        <v>313</v>
      </c>
      <c r="H55" s="742" t="s">
        <v>313</v>
      </c>
      <c r="I55" s="739" t="s">
        <v>313</v>
      </c>
      <c r="J55" s="270"/>
    </row>
    <row r="56" spans="1:10" ht="15">
      <c r="A56" s="13"/>
      <c r="C56" s="270">
        <v>49</v>
      </c>
      <c r="D56" s="738" t="s">
        <v>313</v>
      </c>
      <c r="E56" s="740" t="s">
        <v>313</v>
      </c>
      <c r="F56" s="740" t="s">
        <v>313</v>
      </c>
      <c r="G56" s="741" t="s">
        <v>313</v>
      </c>
      <c r="H56" s="742" t="s">
        <v>313</v>
      </c>
      <c r="I56" s="739" t="s">
        <v>313</v>
      </c>
      <c r="J56" s="270"/>
    </row>
    <row r="57" spans="1:10" ht="15">
      <c r="A57" s="13"/>
      <c r="C57" s="270">
        <v>50</v>
      </c>
      <c r="D57" s="738" t="s">
        <v>313</v>
      </c>
      <c r="E57" s="740" t="s">
        <v>313</v>
      </c>
      <c r="F57" s="740" t="s">
        <v>313</v>
      </c>
      <c r="G57" s="741" t="s">
        <v>313</v>
      </c>
      <c r="H57" s="742" t="s">
        <v>313</v>
      </c>
      <c r="I57" s="739" t="s">
        <v>313</v>
      </c>
      <c r="J57" s="270"/>
    </row>
    <row r="58" spans="1:10" ht="15">
      <c r="A58" s="13"/>
      <c r="C58" s="270">
        <v>51</v>
      </c>
      <c r="D58" s="738" t="s">
        <v>313</v>
      </c>
      <c r="E58" s="740" t="s">
        <v>313</v>
      </c>
      <c r="F58" s="740" t="s">
        <v>313</v>
      </c>
      <c r="G58" s="741" t="s">
        <v>313</v>
      </c>
      <c r="H58" s="742" t="s">
        <v>313</v>
      </c>
      <c r="I58" s="739" t="s">
        <v>313</v>
      </c>
      <c r="J58" s="270"/>
    </row>
    <row r="59" spans="1:10" ht="15">
      <c r="A59" s="13"/>
      <c r="C59" s="270">
        <v>52</v>
      </c>
      <c r="D59" s="738" t="s">
        <v>313</v>
      </c>
      <c r="E59" s="740" t="s">
        <v>313</v>
      </c>
      <c r="F59" s="740" t="s">
        <v>313</v>
      </c>
      <c r="G59" s="741" t="s">
        <v>313</v>
      </c>
      <c r="H59" s="742" t="s">
        <v>313</v>
      </c>
      <c r="I59" s="739" t="s">
        <v>313</v>
      </c>
      <c r="J59" s="270"/>
    </row>
    <row r="60" spans="1:10" ht="15">
      <c r="A60" s="13"/>
      <c r="C60" s="270">
        <v>53</v>
      </c>
      <c r="D60" s="738" t="s">
        <v>313</v>
      </c>
      <c r="E60" s="740" t="s">
        <v>313</v>
      </c>
      <c r="F60" s="740" t="s">
        <v>313</v>
      </c>
      <c r="G60" s="741" t="s">
        <v>313</v>
      </c>
      <c r="H60" s="742" t="s">
        <v>313</v>
      </c>
      <c r="I60" s="739" t="s">
        <v>313</v>
      </c>
      <c r="J60" s="270"/>
    </row>
    <row r="61" spans="1:10" ht="15">
      <c r="A61" s="13"/>
      <c r="C61" s="270">
        <v>54</v>
      </c>
      <c r="D61" s="738" t="s">
        <v>313</v>
      </c>
      <c r="E61" s="740" t="s">
        <v>313</v>
      </c>
      <c r="F61" s="740" t="s">
        <v>313</v>
      </c>
      <c r="G61" s="741" t="s">
        <v>313</v>
      </c>
      <c r="H61" s="742" t="s">
        <v>313</v>
      </c>
      <c r="I61" s="739" t="s">
        <v>313</v>
      </c>
      <c r="J61" s="270"/>
    </row>
    <row r="62" spans="1:10" ht="15">
      <c r="A62" s="13"/>
      <c r="C62" s="270">
        <v>55</v>
      </c>
      <c r="D62" s="738" t="s">
        <v>313</v>
      </c>
      <c r="E62" s="740" t="s">
        <v>313</v>
      </c>
      <c r="F62" s="740" t="s">
        <v>313</v>
      </c>
      <c r="G62" s="741" t="s">
        <v>313</v>
      </c>
      <c r="H62" s="742" t="s">
        <v>313</v>
      </c>
      <c r="I62" s="739" t="s">
        <v>313</v>
      </c>
      <c r="J62" s="270"/>
    </row>
    <row r="63" spans="1:10" ht="15">
      <c r="A63" s="13"/>
      <c r="C63" s="270">
        <v>56</v>
      </c>
      <c r="D63" s="738" t="s">
        <v>313</v>
      </c>
      <c r="E63" s="740" t="s">
        <v>313</v>
      </c>
      <c r="F63" s="740" t="s">
        <v>313</v>
      </c>
      <c r="G63" s="741" t="s">
        <v>313</v>
      </c>
      <c r="H63" s="742" t="s">
        <v>313</v>
      </c>
      <c r="I63" s="739" t="s">
        <v>313</v>
      </c>
      <c r="J63" s="270"/>
    </row>
    <row r="64" spans="1:10" ht="15">
      <c r="A64" s="13"/>
      <c r="C64" s="270">
        <v>57</v>
      </c>
      <c r="D64" s="738" t="s">
        <v>313</v>
      </c>
      <c r="E64" s="740" t="s">
        <v>313</v>
      </c>
      <c r="F64" s="740" t="s">
        <v>313</v>
      </c>
      <c r="G64" s="741" t="s">
        <v>313</v>
      </c>
      <c r="H64" s="742" t="s">
        <v>313</v>
      </c>
      <c r="I64" s="739" t="s">
        <v>313</v>
      </c>
      <c r="J64" s="270"/>
    </row>
    <row r="65" spans="1:10" ht="15">
      <c r="A65" s="13"/>
      <c r="C65" s="270">
        <v>58</v>
      </c>
      <c r="D65" s="738" t="s">
        <v>313</v>
      </c>
      <c r="E65" s="740" t="s">
        <v>313</v>
      </c>
      <c r="F65" s="740" t="s">
        <v>313</v>
      </c>
      <c r="G65" s="741" t="s">
        <v>313</v>
      </c>
      <c r="H65" s="742" t="s">
        <v>313</v>
      </c>
      <c r="I65" s="739" t="s">
        <v>313</v>
      </c>
      <c r="J65" s="270"/>
    </row>
    <row r="66" spans="1:10" ht="15">
      <c r="A66" s="13"/>
      <c r="C66" s="270">
        <v>59</v>
      </c>
      <c r="D66" s="738" t="s">
        <v>313</v>
      </c>
      <c r="E66" s="740" t="s">
        <v>313</v>
      </c>
      <c r="F66" s="740" t="s">
        <v>313</v>
      </c>
      <c r="G66" s="741" t="s">
        <v>313</v>
      </c>
      <c r="H66" s="742" t="s">
        <v>313</v>
      </c>
      <c r="I66" s="739" t="s">
        <v>313</v>
      </c>
      <c r="J66" s="270"/>
    </row>
    <row r="67" spans="1:10" ht="15">
      <c r="A67" s="13"/>
      <c r="C67" s="270">
        <v>60</v>
      </c>
      <c r="D67" s="738" t="s">
        <v>313</v>
      </c>
      <c r="E67" s="740" t="s">
        <v>313</v>
      </c>
      <c r="F67" s="740" t="s">
        <v>313</v>
      </c>
      <c r="G67" s="741" t="s">
        <v>313</v>
      </c>
      <c r="H67" s="742" t="s">
        <v>313</v>
      </c>
      <c r="I67" s="739" t="s">
        <v>313</v>
      </c>
      <c r="J67" s="270"/>
    </row>
    <row r="68" spans="1:10" ht="15">
      <c r="A68" s="13"/>
      <c r="C68" s="270">
        <v>61</v>
      </c>
      <c r="D68" s="738" t="s">
        <v>313</v>
      </c>
      <c r="E68" s="740" t="s">
        <v>313</v>
      </c>
      <c r="F68" s="740" t="s">
        <v>313</v>
      </c>
      <c r="G68" s="741" t="s">
        <v>313</v>
      </c>
      <c r="H68" s="742" t="s">
        <v>313</v>
      </c>
      <c r="I68" s="739" t="s">
        <v>313</v>
      </c>
      <c r="J68" s="270"/>
    </row>
    <row r="69" spans="1:10" ht="15">
      <c r="A69" s="13"/>
      <c r="C69" s="270">
        <v>62</v>
      </c>
      <c r="D69" s="738" t="s">
        <v>313</v>
      </c>
      <c r="E69" s="740" t="s">
        <v>313</v>
      </c>
      <c r="F69" s="740" t="s">
        <v>313</v>
      </c>
      <c r="G69" s="741" t="s">
        <v>313</v>
      </c>
      <c r="H69" s="742" t="s">
        <v>313</v>
      </c>
      <c r="I69" s="739" t="s">
        <v>313</v>
      </c>
      <c r="J69" s="270"/>
    </row>
    <row r="70" spans="1:10" ht="15">
      <c r="A70" s="13"/>
      <c r="C70" s="270">
        <v>63</v>
      </c>
      <c r="D70" s="738" t="s">
        <v>313</v>
      </c>
      <c r="E70" s="740" t="s">
        <v>313</v>
      </c>
      <c r="F70" s="740" t="s">
        <v>313</v>
      </c>
      <c r="G70" s="741" t="s">
        <v>313</v>
      </c>
      <c r="H70" s="742" t="s">
        <v>313</v>
      </c>
      <c r="I70" s="739" t="s">
        <v>313</v>
      </c>
      <c r="J70" s="270"/>
    </row>
    <row r="71" spans="1:10" ht="15">
      <c r="A71" s="13"/>
      <c r="C71" s="270">
        <v>64</v>
      </c>
      <c r="D71" s="738" t="s">
        <v>313</v>
      </c>
      <c r="E71" s="740" t="s">
        <v>313</v>
      </c>
      <c r="F71" s="740" t="s">
        <v>313</v>
      </c>
      <c r="G71" s="741" t="s">
        <v>313</v>
      </c>
      <c r="H71" s="742" t="s">
        <v>313</v>
      </c>
      <c r="I71" s="739" t="s">
        <v>313</v>
      </c>
      <c r="J71" s="270"/>
    </row>
    <row r="72" spans="1:10" ht="15">
      <c r="A72" s="22"/>
      <c r="C72" s="270">
        <v>65</v>
      </c>
      <c r="D72" s="738" t="s">
        <v>313</v>
      </c>
      <c r="E72" s="740" t="s">
        <v>313</v>
      </c>
      <c r="F72" s="740" t="s">
        <v>313</v>
      </c>
      <c r="G72" s="741" t="s">
        <v>313</v>
      </c>
      <c r="H72" s="742" t="s">
        <v>313</v>
      </c>
      <c r="I72" s="739" t="s">
        <v>313</v>
      </c>
      <c r="J72" s="270"/>
    </row>
    <row r="73" spans="1:10" ht="15">
      <c r="A73" s="13"/>
      <c r="C73" s="270">
        <v>66</v>
      </c>
      <c r="D73" s="738" t="s">
        <v>313</v>
      </c>
      <c r="E73" s="740" t="s">
        <v>313</v>
      </c>
      <c r="F73" s="740" t="s">
        <v>313</v>
      </c>
      <c r="G73" s="741" t="s">
        <v>313</v>
      </c>
      <c r="H73" s="742" t="s">
        <v>313</v>
      </c>
      <c r="I73" s="739" t="s">
        <v>313</v>
      </c>
      <c r="J73" s="270"/>
    </row>
    <row r="74" spans="1:10" ht="15">
      <c r="A74" s="13"/>
      <c r="C74" s="270">
        <v>67</v>
      </c>
      <c r="D74" s="738" t="s">
        <v>313</v>
      </c>
      <c r="E74" s="740" t="s">
        <v>313</v>
      </c>
      <c r="F74" s="740" t="s">
        <v>313</v>
      </c>
      <c r="G74" s="741" t="s">
        <v>313</v>
      </c>
      <c r="H74" s="742" t="s">
        <v>313</v>
      </c>
      <c r="I74" s="739" t="s">
        <v>313</v>
      </c>
      <c r="J74" s="270"/>
    </row>
    <row r="75" spans="1:10" ht="15">
      <c r="A75" s="13"/>
      <c r="C75" s="270">
        <v>68</v>
      </c>
      <c r="D75" s="738" t="s">
        <v>313</v>
      </c>
      <c r="E75" s="740" t="s">
        <v>313</v>
      </c>
      <c r="F75" s="740" t="s">
        <v>313</v>
      </c>
      <c r="G75" s="741" t="s">
        <v>313</v>
      </c>
      <c r="H75" s="742" t="s">
        <v>313</v>
      </c>
      <c r="I75" s="739" t="s">
        <v>313</v>
      </c>
      <c r="J75" s="270"/>
    </row>
    <row r="76" spans="1:10" ht="15">
      <c r="A76" s="13"/>
      <c r="C76" s="270">
        <v>69</v>
      </c>
      <c r="D76" s="738" t="s">
        <v>313</v>
      </c>
      <c r="E76" s="740" t="s">
        <v>313</v>
      </c>
      <c r="F76" s="740" t="s">
        <v>313</v>
      </c>
      <c r="G76" s="741" t="s">
        <v>313</v>
      </c>
      <c r="H76" s="742" t="s">
        <v>313</v>
      </c>
      <c r="I76" s="739" t="s">
        <v>313</v>
      </c>
      <c r="J76" s="270"/>
    </row>
    <row r="77" spans="1:10" ht="15">
      <c r="A77" s="13"/>
      <c r="C77" s="270">
        <v>70</v>
      </c>
      <c r="D77" s="738" t="s">
        <v>313</v>
      </c>
      <c r="E77" s="740" t="s">
        <v>313</v>
      </c>
      <c r="F77" s="740" t="s">
        <v>313</v>
      </c>
      <c r="G77" s="741" t="s">
        <v>313</v>
      </c>
      <c r="H77" s="742" t="s">
        <v>313</v>
      </c>
      <c r="I77" s="739" t="s">
        <v>313</v>
      </c>
      <c r="J77" s="270"/>
    </row>
    <row r="78" spans="1:10" ht="15">
      <c r="A78" s="13"/>
      <c r="C78" s="270">
        <v>71</v>
      </c>
      <c r="D78" s="738" t="s">
        <v>313</v>
      </c>
      <c r="E78" s="740" t="s">
        <v>313</v>
      </c>
      <c r="F78" s="740" t="s">
        <v>313</v>
      </c>
      <c r="G78" s="741" t="s">
        <v>313</v>
      </c>
      <c r="H78" s="742" t="s">
        <v>313</v>
      </c>
      <c r="I78" s="739" t="s">
        <v>313</v>
      </c>
      <c r="J78" s="270"/>
    </row>
    <row r="79" spans="1:10" ht="15">
      <c r="A79" s="13"/>
      <c r="C79" s="270">
        <v>72</v>
      </c>
      <c r="D79" s="738" t="s">
        <v>313</v>
      </c>
      <c r="E79" s="740" t="s">
        <v>313</v>
      </c>
      <c r="F79" s="740" t="s">
        <v>313</v>
      </c>
      <c r="G79" s="741" t="s">
        <v>313</v>
      </c>
      <c r="H79" s="742" t="s">
        <v>313</v>
      </c>
      <c r="I79" s="739" t="s">
        <v>313</v>
      </c>
      <c r="J79" s="270"/>
    </row>
    <row r="80" spans="1:10" ht="15">
      <c r="A80" s="13"/>
      <c r="C80" s="270">
        <v>73</v>
      </c>
      <c r="D80" s="738" t="s">
        <v>313</v>
      </c>
      <c r="E80" s="740" t="s">
        <v>313</v>
      </c>
      <c r="F80" s="740" t="s">
        <v>313</v>
      </c>
      <c r="G80" s="741" t="s">
        <v>313</v>
      </c>
      <c r="H80" s="742" t="s">
        <v>313</v>
      </c>
      <c r="I80" s="739" t="s">
        <v>313</v>
      </c>
      <c r="J80" s="270"/>
    </row>
    <row r="81" spans="1:10" ht="15">
      <c r="A81" s="13"/>
      <c r="C81" s="270">
        <v>74</v>
      </c>
      <c r="D81" s="738" t="s">
        <v>313</v>
      </c>
      <c r="E81" s="740" t="s">
        <v>313</v>
      </c>
      <c r="F81" s="740" t="s">
        <v>313</v>
      </c>
      <c r="G81" s="741" t="s">
        <v>313</v>
      </c>
      <c r="H81" s="742" t="s">
        <v>313</v>
      </c>
      <c r="I81" s="739" t="s">
        <v>313</v>
      </c>
      <c r="J81" s="270"/>
    </row>
    <row r="82" spans="1:10" ht="15">
      <c r="A82" s="13"/>
      <c r="C82" s="270">
        <v>75</v>
      </c>
      <c r="D82" s="738" t="s">
        <v>313</v>
      </c>
      <c r="E82" s="740" t="s">
        <v>313</v>
      </c>
      <c r="F82" s="740" t="s">
        <v>313</v>
      </c>
      <c r="G82" s="741" t="s">
        <v>313</v>
      </c>
      <c r="H82" s="742" t="s">
        <v>313</v>
      </c>
      <c r="I82" s="739" t="s">
        <v>313</v>
      </c>
      <c r="J82" s="270"/>
    </row>
    <row r="83" spans="1:10" ht="15">
      <c r="A83" s="13"/>
      <c r="C83" s="270">
        <v>76</v>
      </c>
      <c r="D83" s="738" t="s">
        <v>313</v>
      </c>
      <c r="E83" s="740" t="s">
        <v>313</v>
      </c>
      <c r="F83" s="740" t="s">
        <v>313</v>
      </c>
      <c r="G83" s="741" t="s">
        <v>313</v>
      </c>
      <c r="H83" s="742" t="s">
        <v>313</v>
      </c>
      <c r="I83" s="739" t="s">
        <v>313</v>
      </c>
      <c r="J83" s="270"/>
    </row>
    <row r="84" spans="1:10" ht="15">
      <c r="A84" s="13"/>
      <c r="C84" s="270">
        <v>77</v>
      </c>
      <c r="D84" s="738" t="s">
        <v>313</v>
      </c>
      <c r="E84" s="740" t="s">
        <v>313</v>
      </c>
      <c r="F84" s="740" t="s">
        <v>313</v>
      </c>
      <c r="G84" s="741" t="s">
        <v>313</v>
      </c>
      <c r="H84" s="742" t="s">
        <v>313</v>
      </c>
      <c r="I84" s="739" t="s">
        <v>313</v>
      </c>
      <c r="J84" s="270"/>
    </row>
    <row r="85" spans="1:10" ht="15">
      <c r="A85" s="13"/>
      <c r="C85" s="270">
        <v>78</v>
      </c>
      <c r="D85" s="738" t="s">
        <v>313</v>
      </c>
      <c r="E85" s="740" t="s">
        <v>313</v>
      </c>
      <c r="F85" s="740" t="s">
        <v>313</v>
      </c>
      <c r="G85" s="741" t="s">
        <v>313</v>
      </c>
      <c r="H85" s="742" t="s">
        <v>313</v>
      </c>
      <c r="I85" s="739" t="s">
        <v>313</v>
      </c>
      <c r="J85" s="270"/>
    </row>
    <row r="86" spans="1:10" ht="15">
      <c r="A86" s="13"/>
      <c r="C86" s="270">
        <v>79</v>
      </c>
      <c r="D86" s="738" t="s">
        <v>313</v>
      </c>
      <c r="E86" s="740" t="s">
        <v>313</v>
      </c>
      <c r="F86" s="740" t="s">
        <v>313</v>
      </c>
      <c r="G86" s="741" t="s">
        <v>313</v>
      </c>
      <c r="H86" s="742" t="s">
        <v>313</v>
      </c>
      <c r="I86" s="739" t="s">
        <v>313</v>
      </c>
      <c r="J86" s="270"/>
    </row>
    <row r="87" spans="1:10" ht="15">
      <c r="A87" s="13"/>
      <c r="C87" s="270">
        <v>80</v>
      </c>
      <c r="D87" s="738" t="s">
        <v>313</v>
      </c>
      <c r="E87" s="740" t="s">
        <v>313</v>
      </c>
      <c r="F87" s="740" t="s">
        <v>313</v>
      </c>
      <c r="G87" s="741" t="s">
        <v>313</v>
      </c>
      <c r="H87" s="742" t="s">
        <v>313</v>
      </c>
      <c r="I87" s="739" t="s">
        <v>313</v>
      </c>
      <c r="J87" s="270"/>
    </row>
    <row r="88" spans="1:10" ht="15">
      <c r="A88" s="13"/>
      <c r="C88" s="270">
        <v>81</v>
      </c>
      <c r="D88" s="738" t="s">
        <v>313</v>
      </c>
      <c r="E88" s="740" t="s">
        <v>313</v>
      </c>
      <c r="F88" s="740" t="s">
        <v>313</v>
      </c>
      <c r="G88" s="741" t="s">
        <v>313</v>
      </c>
      <c r="H88" s="742" t="s">
        <v>313</v>
      </c>
      <c r="I88" s="739" t="s">
        <v>313</v>
      </c>
      <c r="J88" s="270"/>
    </row>
    <row r="89" spans="1:10" ht="15">
      <c r="A89" s="13"/>
      <c r="C89" s="270">
        <v>82</v>
      </c>
      <c r="D89" s="738" t="s">
        <v>313</v>
      </c>
      <c r="E89" s="740" t="s">
        <v>313</v>
      </c>
      <c r="F89" s="740" t="s">
        <v>313</v>
      </c>
      <c r="G89" s="741" t="s">
        <v>313</v>
      </c>
      <c r="H89" s="742" t="s">
        <v>313</v>
      </c>
      <c r="I89" s="739" t="s">
        <v>313</v>
      </c>
      <c r="J89" s="270"/>
    </row>
    <row r="90" spans="1:10" ht="15">
      <c r="A90" s="13"/>
      <c r="C90" s="270">
        <v>83</v>
      </c>
      <c r="D90" s="738" t="s">
        <v>313</v>
      </c>
      <c r="E90" s="740" t="s">
        <v>313</v>
      </c>
      <c r="F90" s="740" t="s">
        <v>313</v>
      </c>
      <c r="G90" s="741" t="s">
        <v>313</v>
      </c>
      <c r="H90" s="742" t="s">
        <v>313</v>
      </c>
      <c r="I90" s="739" t="s">
        <v>313</v>
      </c>
      <c r="J90" s="270"/>
    </row>
    <row r="91" spans="1:10" ht="15">
      <c r="A91" s="13"/>
      <c r="C91" s="270">
        <v>84</v>
      </c>
      <c r="D91" s="738" t="s">
        <v>313</v>
      </c>
      <c r="E91" s="740" t="s">
        <v>313</v>
      </c>
      <c r="F91" s="740" t="s">
        <v>313</v>
      </c>
      <c r="G91" s="741" t="s">
        <v>313</v>
      </c>
      <c r="H91" s="742" t="s">
        <v>313</v>
      </c>
      <c r="I91" s="739" t="s">
        <v>313</v>
      </c>
      <c r="J91" s="270"/>
    </row>
    <row r="92" spans="1:10" ht="15">
      <c r="A92" s="13"/>
      <c r="C92" s="270">
        <v>85</v>
      </c>
      <c r="D92" s="738" t="s">
        <v>313</v>
      </c>
      <c r="E92" s="740" t="s">
        <v>313</v>
      </c>
      <c r="F92" s="740" t="s">
        <v>313</v>
      </c>
      <c r="G92" s="741" t="s">
        <v>313</v>
      </c>
      <c r="H92" s="742" t="s">
        <v>313</v>
      </c>
      <c r="I92" s="739" t="s">
        <v>313</v>
      </c>
      <c r="J92" s="270"/>
    </row>
    <row r="93" spans="1:10" ht="15">
      <c r="A93" s="13"/>
      <c r="C93" s="270">
        <v>86</v>
      </c>
      <c r="D93" s="738" t="s">
        <v>313</v>
      </c>
      <c r="E93" s="740" t="s">
        <v>313</v>
      </c>
      <c r="F93" s="740" t="s">
        <v>313</v>
      </c>
      <c r="G93" s="741" t="s">
        <v>313</v>
      </c>
      <c r="H93" s="742" t="s">
        <v>313</v>
      </c>
      <c r="I93" s="739" t="s">
        <v>313</v>
      </c>
      <c r="J93" s="270"/>
    </row>
    <row r="94" spans="1:10" ht="15">
      <c r="A94" s="13"/>
      <c r="C94" s="270">
        <v>87</v>
      </c>
      <c r="D94" s="738" t="s">
        <v>313</v>
      </c>
      <c r="E94" s="740" t="s">
        <v>313</v>
      </c>
      <c r="F94" s="740" t="s">
        <v>313</v>
      </c>
      <c r="G94" s="741" t="s">
        <v>313</v>
      </c>
      <c r="H94" s="742" t="s">
        <v>313</v>
      </c>
      <c r="I94" s="739" t="s">
        <v>313</v>
      </c>
      <c r="J94" s="270"/>
    </row>
    <row r="95" spans="1:10" ht="15">
      <c r="A95" s="13"/>
      <c r="C95" s="270">
        <v>88</v>
      </c>
      <c r="D95" s="738" t="s">
        <v>313</v>
      </c>
      <c r="E95" s="740" t="s">
        <v>313</v>
      </c>
      <c r="F95" s="740" t="s">
        <v>313</v>
      </c>
      <c r="G95" s="741" t="s">
        <v>313</v>
      </c>
      <c r="H95" s="742" t="s">
        <v>313</v>
      </c>
      <c r="I95" s="739" t="s">
        <v>313</v>
      </c>
      <c r="J95" s="270"/>
    </row>
    <row r="96" spans="1:10" ht="15">
      <c r="A96" s="13"/>
      <c r="C96" s="270">
        <v>89</v>
      </c>
      <c r="D96" s="738" t="s">
        <v>313</v>
      </c>
      <c r="E96" s="740" t="s">
        <v>313</v>
      </c>
      <c r="F96" s="740" t="s">
        <v>313</v>
      </c>
      <c r="G96" s="741" t="s">
        <v>313</v>
      </c>
      <c r="H96" s="742" t="s">
        <v>313</v>
      </c>
      <c r="I96" s="739" t="s">
        <v>313</v>
      </c>
      <c r="J96" s="270"/>
    </row>
    <row r="97" spans="1:10" ht="15">
      <c r="A97" s="13"/>
      <c r="C97" s="270">
        <v>90</v>
      </c>
      <c r="D97" s="738" t="s">
        <v>313</v>
      </c>
      <c r="E97" s="740" t="s">
        <v>313</v>
      </c>
      <c r="F97" s="740" t="s">
        <v>313</v>
      </c>
      <c r="G97" s="741" t="s">
        <v>313</v>
      </c>
      <c r="H97" s="742" t="s">
        <v>313</v>
      </c>
      <c r="I97" s="739" t="s">
        <v>313</v>
      </c>
      <c r="J97" s="270"/>
    </row>
    <row r="98" spans="1:10" ht="15">
      <c r="A98" s="13"/>
      <c r="C98" s="270">
        <v>91</v>
      </c>
      <c r="D98" s="738" t="s">
        <v>313</v>
      </c>
      <c r="E98" s="740" t="s">
        <v>313</v>
      </c>
      <c r="F98" s="740" t="s">
        <v>313</v>
      </c>
      <c r="G98" s="741" t="s">
        <v>313</v>
      </c>
      <c r="H98" s="742" t="s">
        <v>313</v>
      </c>
      <c r="I98" s="739" t="s">
        <v>313</v>
      </c>
      <c r="J98" s="270"/>
    </row>
    <row r="99" spans="1:10" ht="15">
      <c r="A99" s="13"/>
      <c r="C99" s="270">
        <v>92</v>
      </c>
      <c r="D99" s="738" t="s">
        <v>313</v>
      </c>
      <c r="E99" s="740" t="s">
        <v>313</v>
      </c>
      <c r="F99" s="740" t="s">
        <v>313</v>
      </c>
      <c r="G99" s="741" t="s">
        <v>313</v>
      </c>
      <c r="H99" s="742" t="s">
        <v>313</v>
      </c>
      <c r="I99" s="739" t="s">
        <v>313</v>
      </c>
      <c r="J99" s="270"/>
    </row>
    <row r="100" spans="1:10" ht="15">
      <c r="A100" s="13"/>
      <c r="C100" s="270">
        <v>93</v>
      </c>
      <c r="D100" s="738" t="s">
        <v>313</v>
      </c>
      <c r="E100" s="740" t="s">
        <v>313</v>
      </c>
      <c r="F100" s="740" t="s">
        <v>313</v>
      </c>
      <c r="G100" s="741" t="s">
        <v>313</v>
      </c>
      <c r="H100" s="742" t="s">
        <v>313</v>
      </c>
      <c r="I100" s="739" t="s">
        <v>313</v>
      </c>
      <c r="J100" s="270"/>
    </row>
    <row r="101" spans="1:10" ht="15">
      <c r="A101" s="13"/>
      <c r="C101" s="270">
        <v>94</v>
      </c>
      <c r="D101" s="738" t="s">
        <v>313</v>
      </c>
      <c r="E101" s="740" t="s">
        <v>313</v>
      </c>
      <c r="F101" s="740" t="s">
        <v>313</v>
      </c>
      <c r="G101" s="741" t="s">
        <v>313</v>
      </c>
      <c r="H101" s="742" t="s">
        <v>313</v>
      </c>
      <c r="I101" s="739" t="s">
        <v>313</v>
      </c>
      <c r="J101" s="270"/>
    </row>
    <row r="102" spans="1:10" ht="15">
      <c r="A102" s="13"/>
      <c r="C102" s="270">
        <v>95</v>
      </c>
      <c r="D102" s="738" t="s">
        <v>313</v>
      </c>
      <c r="E102" s="740" t="s">
        <v>313</v>
      </c>
      <c r="F102" s="740" t="s">
        <v>313</v>
      </c>
      <c r="G102" s="741" t="s">
        <v>313</v>
      </c>
      <c r="H102" s="742" t="s">
        <v>313</v>
      </c>
      <c r="I102" s="739" t="s">
        <v>313</v>
      </c>
      <c r="J102" s="270"/>
    </row>
    <row r="103" spans="1:10" ht="15">
      <c r="A103" s="13"/>
      <c r="C103" s="270">
        <v>96</v>
      </c>
      <c r="D103" s="738" t="s">
        <v>313</v>
      </c>
      <c r="E103" s="740" t="s">
        <v>313</v>
      </c>
      <c r="F103" s="740" t="s">
        <v>313</v>
      </c>
      <c r="G103" s="741" t="s">
        <v>313</v>
      </c>
      <c r="H103" s="742" t="s">
        <v>313</v>
      </c>
      <c r="I103" s="739" t="s">
        <v>313</v>
      </c>
      <c r="J103" s="270"/>
    </row>
    <row r="104" spans="1:10" ht="15">
      <c r="A104" s="13"/>
      <c r="C104" s="270">
        <v>97</v>
      </c>
      <c r="D104" s="738" t="s">
        <v>313</v>
      </c>
      <c r="E104" s="740" t="s">
        <v>313</v>
      </c>
      <c r="F104" s="740" t="s">
        <v>313</v>
      </c>
      <c r="G104" s="741" t="s">
        <v>313</v>
      </c>
      <c r="H104" s="742" t="s">
        <v>313</v>
      </c>
      <c r="I104" s="739" t="s">
        <v>313</v>
      </c>
      <c r="J104" s="270"/>
    </row>
    <row r="105" spans="1:10" ht="15">
      <c r="A105" s="13"/>
      <c r="C105" s="270">
        <v>98</v>
      </c>
      <c r="D105" s="738" t="s">
        <v>313</v>
      </c>
      <c r="E105" s="740" t="s">
        <v>313</v>
      </c>
      <c r="F105" s="740" t="s">
        <v>313</v>
      </c>
      <c r="G105" s="741" t="s">
        <v>313</v>
      </c>
      <c r="H105" s="742" t="s">
        <v>313</v>
      </c>
      <c r="I105" s="739" t="s">
        <v>313</v>
      </c>
      <c r="J105" s="270"/>
    </row>
    <row r="106" spans="1:10" ht="15">
      <c r="A106" s="13"/>
      <c r="C106" s="270">
        <v>99</v>
      </c>
      <c r="D106" s="738" t="s">
        <v>313</v>
      </c>
      <c r="E106" s="740" t="s">
        <v>313</v>
      </c>
      <c r="F106" s="740" t="s">
        <v>313</v>
      </c>
      <c r="G106" s="741" t="s">
        <v>313</v>
      </c>
      <c r="H106" s="742" t="s">
        <v>313</v>
      </c>
      <c r="I106" s="739" t="s">
        <v>313</v>
      </c>
      <c r="J106" s="270"/>
    </row>
    <row r="107" spans="1:10" ht="15">
      <c r="A107" s="13"/>
      <c r="C107" s="270">
        <v>100</v>
      </c>
      <c r="D107" s="738" t="s">
        <v>313</v>
      </c>
      <c r="E107" s="740" t="s">
        <v>313</v>
      </c>
      <c r="F107" s="740" t="s">
        <v>313</v>
      </c>
      <c r="G107" s="741" t="s">
        <v>313</v>
      </c>
      <c r="H107" s="742" t="s">
        <v>313</v>
      </c>
      <c r="I107" s="739" t="s">
        <v>313</v>
      </c>
      <c r="J107" s="270"/>
    </row>
    <row r="108" spans="1:10" ht="18.75">
      <c r="A108" s="13"/>
      <c r="B108" s="270"/>
      <c r="C108" s="270"/>
      <c r="D108" s="269"/>
      <c r="E108" s="269"/>
      <c r="F108" s="10"/>
      <c r="G108" s="10"/>
      <c r="H108" s="10"/>
      <c r="I108" s="10"/>
      <c r="J108" s="270"/>
    </row>
    <row r="109" spans="1:3" s="37" customFormat="1" ht="15">
      <c r="A109" s="13"/>
      <c r="B109" s="654" t="s">
        <v>877</v>
      </c>
      <c r="C109" s="654"/>
    </row>
    <row r="110" s="37" customFormat="1" ht="15">
      <c r="A110" s="13"/>
    </row>
    <row r="111" s="37" customFormat="1" ht="15">
      <c r="A111" s="13"/>
    </row>
    <row r="112" s="37" customFormat="1" ht="15">
      <c r="A112" s="13"/>
    </row>
    <row r="113" s="37" customFormat="1" ht="15">
      <c r="A113" s="13"/>
    </row>
    <row r="114" s="37" customFormat="1" ht="15">
      <c r="A114" s="13"/>
    </row>
    <row r="115" s="37" customFormat="1" ht="15">
      <c r="A115" s="13"/>
    </row>
    <row r="116" s="37" customFormat="1" ht="15">
      <c r="A116" s="13"/>
    </row>
    <row r="117" s="37" customFormat="1" ht="15">
      <c r="A117" s="13"/>
    </row>
    <row r="118" s="37" customFormat="1" ht="15">
      <c r="A118" s="13"/>
    </row>
    <row r="119" s="37" customFormat="1" ht="15">
      <c r="A119" s="13"/>
    </row>
    <row r="120" s="37" customFormat="1" ht="15">
      <c r="A120" s="13"/>
    </row>
    <row r="121" s="37" customFormat="1" ht="15">
      <c r="A121" s="13"/>
    </row>
    <row r="122" s="37" customFormat="1" ht="15">
      <c r="A122" s="13"/>
    </row>
    <row r="123" s="37" customFormat="1" ht="15">
      <c r="A123" s="13"/>
    </row>
    <row r="124" s="37" customFormat="1" ht="15">
      <c r="A124" s="13"/>
    </row>
    <row r="125" s="37" customFormat="1" ht="15">
      <c r="A125" s="13"/>
    </row>
    <row r="126" s="37" customFormat="1" ht="15">
      <c r="A126" s="13"/>
    </row>
    <row r="127" s="37" customFormat="1" ht="15">
      <c r="A127" s="13"/>
    </row>
    <row r="128" s="37" customFormat="1" ht="15">
      <c r="A128" s="13"/>
    </row>
    <row r="129" s="37" customFormat="1" ht="15">
      <c r="A129" s="13"/>
    </row>
    <row r="130" s="37" customFormat="1" ht="15">
      <c r="A130" s="13"/>
    </row>
    <row r="131" s="37" customFormat="1" ht="15">
      <c r="A131" s="13"/>
    </row>
    <row r="132" s="37" customFormat="1" ht="15">
      <c r="A132" s="13"/>
    </row>
    <row r="133" s="37" customFormat="1" ht="15">
      <c r="A133" s="13"/>
    </row>
    <row r="134" s="37" customFormat="1" ht="15">
      <c r="A134" s="13"/>
    </row>
    <row r="135" s="37" customFormat="1" ht="15">
      <c r="A135" s="13"/>
    </row>
    <row r="136" s="37" customFormat="1" ht="15">
      <c r="A136" s="13"/>
    </row>
    <row r="137" s="37" customFormat="1" ht="15">
      <c r="A137" s="13"/>
    </row>
    <row r="138" s="37" customFormat="1" ht="15">
      <c r="A138" s="13"/>
    </row>
    <row r="139" s="37" customFormat="1" ht="15">
      <c r="A139" s="13"/>
    </row>
    <row r="140" s="37" customFormat="1" ht="15">
      <c r="A140" s="13"/>
    </row>
    <row r="141" s="37" customFormat="1" ht="15">
      <c r="A141" s="13"/>
    </row>
    <row r="142" s="37" customFormat="1" ht="15">
      <c r="A142" s="13"/>
    </row>
    <row r="143" s="37" customFormat="1" ht="15">
      <c r="A143" s="13"/>
    </row>
    <row r="144" s="37" customFormat="1" ht="15">
      <c r="A144" s="13"/>
    </row>
    <row r="145" s="37" customFormat="1" ht="15">
      <c r="A145" s="13"/>
    </row>
    <row r="146" s="37" customFormat="1" ht="15">
      <c r="A146" s="13"/>
    </row>
  </sheetData>
  <sheetProtection sheet="1" formatRows="0"/>
  <mergeCells count="5">
    <mergeCell ref="B2:E2"/>
    <mergeCell ref="B5:J5"/>
    <mergeCell ref="B3:J3"/>
    <mergeCell ref="B4:J4"/>
    <mergeCell ref="B6:J6"/>
  </mergeCells>
  <dataValidations count="5">
    <dataValidation type="list" allowBlank="1" showInputMessage="1" showErrorMessage="1" sqref="I8:I107">
      <formula1>"TRUE, FALSE"</formula1>
    </dataValidation>
    <dataValidation type="list" allowBlank="1" showInputMessage="1" showErrorMessage="1" sqref="D8:D107">
      <formula1>Meters</formula1>
    </dataValidation>
    <dataValidation type="decimal" operator="greaterThanOrEqual" allowBlank="1" showInputMessage="1" showErrorMessage="1" error="Water use must be a number greater than or equal to 0." sqref="G8:G107">
      <formula1>0</formula1>
    </dataValidation>
    <dataValidation type="decimal" operator="greaterThanOrEqual" allowBlank="1" showInputMessage="1" showErrorMessage="1" error="The cost must be a number greater than or equal to 0." sqref="H8:H107">
      <formula1>0</formula1>
    </dataValidation>
    <dataValidation allowBlank="1" showErrorMessage="1" promptTitle="Utility Information" sqref="B2:C2"/>
  </dataValidations>
  <hyperlinks>
    <hyperlink ref="B5:J5" r:id="rId1" display="In addition, consider entering your water use information into the ENERGY STAR® Portfolio Manager®  tool monthly to help you track and trend your water use. This tab is set up to mimic Portfolio Manager so the data can be easily copied from the WaterUSE T"/>
  </hyperlinks>
  <printOptions horizontalCentered="1"/>
  <pageMargins left="0.25" right="0.25" top="0.75" bottom="0.5" header="0.25" footer="0.25"/>
  <pageSetup fitToHeight="0" fitToWidth="1" horizontalDpi="1200" verticalDpi="1200" orientation="portrait" scale="70" r:id="rId4"/>
  <headerFooter alignWithMargins="0">
    <oddHeader>&amp;C&amp;18&amp;F</oddHeader>
    <oddFooter>&amp;C&amp;P of &amp;N</oddFooter>
  </headerFooter>
  <drawing r:id="rId3"/>
  <legacyDrawing r:id="rId2"/>
</worksheet>
</file>

<file path=xl/worksheets/sheet6.xml><?xml version="1.0" encoding="utf-8"?>
<worksheet xmlns="http://schemas.openxmlformats.org/spreadsheetml/2006/main" xmlns:r="http://schemas.openxmlformats.org/officeDocument/2006/relationships">
  <sheetPr codeName="Guest_Rooms">
    <pageSetUpPr fitToPage="1"/>
  </sheetPr>
  <dimension ref="A1:AW128"/>
  <sheetViews>
    <sheetView showGridLines="0" zoomScalePageLayoutView="0" workbookViewId="0" topLeftCell="A1">
      <pane ySplit="2" topLeftCell="A3" activePane="bottomLeft" state="frozen"/>
      <selection pane="topLeft" activeCell="A1" sqref="A1"/>
      <selection pane="bottomLeft" activeCell="G8" sqref="G8"/>
    </sheetView>
  </sheetViews>
  <sheetFormatPr defaultColWidth="9.140625" defaultRowHeight="15"/>
  <cols>
    <col min="1" max="1" width="4.7109375" style="653" customWidth="1"/>
    <col min="2" max="2" width="4.7109375" style="410" customWidth="1"/>
    <col min="3" max="3" width="6.7109375" style="410" customWidth="1"/>
    <col min="4" max="4" width="24.57421875" style="653" customWidth="1"/>
    <col min="5" max="5" width="19.8515625" style="653" customWidth="1"/>
    <col min="6" max="7" width="15.8515625" style="653" customWidth="1"/>
    <col min="8" max="8" width="18.140625" style="653" customWidth="1"/>
    <col min="9" max="11" width="15.8515625" style="653" customWidth="1"/>
    <col min="12" max="12" width="9.140625" style="653" customWidth="1"/>
    <col min="13" max="13" width="4.7109375" style="653" customWidth="1"/>
    <col min="14" max="16384" width="9.140625" style="653" customWidth="1"/>
  </cols>
  <sheetData>
    <row r="1" spans="1:49" s="12" customFormat="1" ht="42" customHeight="1">
      <c r="A1" s="13"/>
      <c r="B1" s="409"/>
      <c r="C1" s="409"/>
      <c r="D1" s="797" t="s">
        <v>783</v>
      </c>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row>
    <row r="2" spans="1:49" s="12" customFormat="1" ht="18.75">
      <c r="A2" s="13"/>
      <c r="B2" s="926" t="s">
        <v>414</v>
      </c>
      <c r="C2" s="926"/>
      <c r="D2" s="926"/>
      <c r="E2" s="812"/>
      <c r="F2" s="446"/>
      <c r="G2" s="3"/>
      <c r="H2" s="3"/>
      <c r="I2" s="3"/>
      <c r="J2" s="3"/>
      <c r="K2" s="3"/>
      <c r="L2" s="3"/>
      <c r="M2" s="13"/>
      <c r="N2" s="13"/>
      <c r="O2" s="13"/>
      <c r="P2" s="13"/>
      <c r="Q2" s="13"/>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c r="AV2" s="13"/>
      <c r="AW2" s="13"/>
    </row>
    <row r="3" spans="1:49" s="12" customFormat="1" ht="71.25" customHeight="1">
      <c r="A3" s="13"/>
      <c r="B3" s="918" t="s">
        <v>816</v>
      </c>
      <c r="C3" s="919"/>
      <c r="D3" s="919"/>
      <c r="E3" s="919"/>
      <c r="F3" s="919"/>
      <c r="G3" s="919"/>
      <c r="H3" s="919"/>
      <c r="I3" s="919"/>
      <c r="J3" s="919"/>
      <c r="K3" s="919"/>
      <c r="L3" s="919"/>
      <c r="M3" s="13"/>
      <c r="N3" s="13"/>
      <c r="O3" s="13"/>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row>
    <row r="4" spans="1:49" s="12" customFormat="1" ht="53.25" customHeight="1">
      <c r="A4" s="13"/>
      <c r="B4" s="918" t="s">
        <v>817</v>
      </c>
      <c r="C4" s="919"/>
      <c r="D4" s="919"/>
      <c r="E4" s="919"/>
      <c r="F4" s="919"/>
      <c r="G4" s="919"/>
      <c r="H4" s="919"/>
      <c r="I4" s="919"/>
      <c r="J4" s="919"/>
      <c r="K4" s="919"/>
      <c r="L4" s="919"/>
      <c r="M4" s="13"/>
      <c r="N4" s="13"/>
      <c r="O4" s="13"/>
      <c r="P4" s="13"/>
      <c r="Q4" s="13"/>
      <c r="R4" s="13"/>
      <c r="S4" s="13"/>
      <c r="T4" s="13"/>
      <c r="U4" s="13"/>
      <c r="V4" s="13"/>
      <c r="W4" s="13"/>
      <c r="X4" s="13"/>
      <c r="Y4" s="13"/>
      <c r="Z4" s="13"/>
      <c r="AA4" s="13"/>
      <c r="AB4" s="13"/>
      <c r="AC4" s="13"/>
      <c r="AD4" s="13"/>
      <c r="AE4" s="13"/>
      <c r="AF4" s="13"/>
      <c r="AG4" s="13"/>
      <c r="AH4" s="13"/>
      <c r="AI4" s="13"/>
      <c r="AJ4" s="13"/>
      <c r="AK4" s="13"/>
      <c r="AL4" s="13"/>
      <c r="AM4" s="13"/>
      <c r="AN4" s="13"/>
      <c r="AO4" s="13"/>
      <c r="AP4" s="13"/>
      <c r="AQ4" s="13"/>
      <c r="AR4" s="13"/>
      <c r="AS4" s="13"/>
      <c r="AT4" s="13"/>
      <c r="AU4" s="13"/>
      <c r="AV4" s="13"/>
      <c r="AW4" s="13"/>
    </row>
    <row r="5" spans="1:49" s="12" customFormat="1" ht="29.25" customHeight="1">
      <c r="A5" s="13"/>
      <c r="B5" s="918" t="s">
        <v>818</v>
      </c>
      <c r="C5" s="919"/>
      <c r="D5" s="919"/>
      <c r="E5" s="919"/>
      <c r="F5" s="919"/>
      <c r="G5" s="919"/>
      <c r="H5" s="919"/>
      <c r="I5" s="919"/>
      <c r="J5" s="919"/>
      <c r="K5" s="919"/>
      <c r="L5" s="919"/>
      <c r="M5" s="13"/>
      <c r="N5" s="13"/>
      <c r="O5" s="13"/>
      <c r="P5" s="13"/>
      <c r="Q5" s="13"/>
      <c r="R5" s="13"/>
      <c r="S5" s="13"/>
      <c r="T5" s="13"/>
      <c r="U5" s="13"/>
      <c r="V5" s="13"/>
      <c r="W5" s="13"/>
      <c r="X5" s="13"/>
      <c r="Y5" s="13"/>
      <c r="Z5" s="13"/>
      <c r="AA5" s="13"/>
      <c r="AB5" s="13"/>
      <c r="AC5" s="13"/>
      <c r="AD5" s="13"/>
      <c r="AE5" s="13"/>
      <c r="AF5" s="13"/>
      <c r="AG5" s="13"/>
      <c r="AH5" s="13"/>
      <c r="AI5" s="13"/>
      <c r="AJ5" s="13"/>
      <c r="AK5" s="13"/>
      <c r="AL5" s="13"/>
      <c r="AM5" s="13"/>
      <c r="AN5" s="13"/>
      <c r="AO5" s="13"/>
      <c r="AP5" s="13"/>
      <c r="AQ5" s="13"/>
      <c r="AR5" s="13"/>
      <c r="AS5" s="13"/>
      <c r="AT5" s="13"/>
      <c r="AU5" s="13"/>
      <c r="AV5" s="13"/>
      <c r="AW5" s="13"/>
    </row>
    <row r="6" spans="1:49" s="12" customFormat="1" ht="24" customHeight="1">
      <c r="A6" s="13"/>
      <c r="B6" s="410"/>
      <c r="C6" s="872" t="s">
        <v>12</v>
      </c>
      <c r="D6" s="872"/>
      <c r="E6" s="872"/>
      <c r="G6" s="3"/>
      <c r="H6" s="3"/>
      <c r="I6" s="3"/>
      <c r="J6" s="3"/>
      <c r="K6" s="3"/>
      <c r="L6" s="3"/>
      <c r="M6" s="13"/>
      <c r="N6" s="36"/>
      <c r="O6" s="36"/>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row>
    <row r="7" spans="1:49" s="12" customFormat="1" ht="15">
      <c r="A7" s="13"/>
      <c r="B7" s="410"/>
      <c r="C7" s="410"/>
      <c r="D7" s="3"/>
      <c r="E7" s="613"/>
      <c r="F7" s="613"/>
      <c r="G7" s="613"/>
      <c r="H7" s="613"/>
      <c r="I7" s="3"/>
      <c r="J7" s="3"/>
      <c r="K7" s="3"/>
      <c r="L7" s="3"/>
      <c r="M7" s="13"/>
      <c r="N7" s="36"/>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row>
    <row r="8" spans="1:49" s="12" customFormat="1" ht="15">
      <c r="A8" s="13"/>
      <c r="B8" s="410"/>
      <c r="C8" s="878" t="s">
        <v>474</v>
      </c>
      <c r="D8" s="878"/>
      <c r="E8" s="878"/>
      <c r="F8" s="878"/>
      <c r="G8" s="744"/>
      <c r="H8" s="929" t="s">
        <v>475</v>
      </c>
      <c r="I8" s="930"/>
      <c r="J8" s="930"/>
      <c r="K8" s="930"/>
      <c r="L8" s="3"/>
      <c r="M8" s="13"/>
      <c r="N8" s="36" t="str">
        <f>IF(G8="","Question 1 (shared bathrooms) is incomplete.","")</f>
        <v>Question 1 (shared bathrooms) is incomplete.</v>
      </c>
      <c r="O8" s="13"/>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3"/>
    </row>
    <row r="9" spans="1:49" s="12" customFormat="1" ht="15">
      <c r="A9" s="13"/>
      <c r="B9" s="410"/>
      <c r="C9" s="410"/>
      <c r="D9" s="3"/>
      <c r="E9" s="401"/>
      <c r="F9" s="401"/>
      <c r="G9" s="401"/>
      <c r="H9" s="401"/>
      <c r="I9" s="3"/>
      <c r="J9" s="3"/>
      <c r="K9" s="3"/>
      <c r="L9" s="3"/>
      <c r="M9" s="13"/>
      <c r="N9" s="36" t="str">
        <f>IF(OR(StatusOfCalcFields="Incomplete",StatusOfUtilityFields="Incomplete"),"Calculations on this tab use information from the 'Facility Info' tab. Therefore you must first complete the 'Facility Info' tab before you can display these results.","")</f>
        <v>Calculations on this tab use information from the 'Facility Info' tab. Therefore you must first complete the 'Facility Info' tab before you can display these results.</v>
      </c>
      <c r="O9" s="13"/>
      <c r="P9" s="13"/>
      <c r="Q9" s="13"/>
      <c r="R9" s="13"/>
      <c r="S9" s="13"/>
      <c r="T9" s="13"/>
      <c r="U9" s="13"/>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row>
    <row r="10" spans="1:49" s="12" customFormat="1" ht="15">
      <c r="A10" s="13"/>
      <c r="B10" s="410"/>
      <c r="C10" s="878" t="s">
        <v>471</v>
      </c>
      <c r="D10" s="878"/>
      <c r="E10" s="878"/>
      <c r="F10" s="878"/>
      <c r="G10" s="3"/>
      <c r="H10" s="3"/>
      <c r="I10" s="3"/>
      <c r="K10" s="3"/>
      <c r="L10" s="3"/>
      <c r="M10" s="13"/>
      <c r="N10" s="36" t="str">
        <f>IF(AND(COUNTA(ToiletInfo)=0,COUNTA(FaucetInfo)=0,COUNTA(ShowerInfo)=0),"Based on your current inputs, there are no results to display.","")</f>
        <v>Based on your current inputs, there are no results to display.</v>
      </c>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row>
    <row r="11" spans="1:49" s="33" customFormat="1" ht="26.25">
      <c r="A11" s="22"/>
      <c r="B11" s="453"/>
      <c r="C11" s="444"/>
      <c r="D11" s="84" t="s">
        <v>9</v>
      </c>
      <c r="E11" s="84" t="s">
        <v>10</v>
      </c>
      <c r="F11" s="436" t="s">
        <v>15</v>
      </c>
      <c r="G11" s="529"/>
      <c r="H11" s="444"/>
      <c r="J11" s="444"/>
      <c r="K11" s="529"/>
      <c r="L11" s="529"/>
      <c r="M11" s="22"/>
      <c r="N11" s="826">
        <f>IF(AND(SUM(E12:E16)&gt;0,GuestRooms&gt;SUM(E12:E16),SharedBathrooms&lt;&gt;"Yes"),"The number of guest rooms ("&amp;GuestRooms&amp;") exceeds the number of toilets ("&amp;SUM(E12:E16)&amp;").","")</f>
      </c>
      <c r="O11" s="716" t="s">
        <v>345</v>
      </c>
      <c r="P11" s="716" t="s">
        <v>511</v>
      </c>
      <c r="Q11" s="716" t="s">
        <v>839</v>
      </c>
      <c r="R11" s="716" t="s">
        <v>512</v>
      </c>
      <c r="S11" s="716" t="s">
        <v>839</v>
      </c>
      <c r="T11" s="296"/>
      <c r="U11" s="22"/>
      <c r="V11" s="22"/>
      <c r="W11" s="22"/>
      <c r="X11" s="22"/>
      <c r="Y11" s="22"/>
      <c r="Z11" s="22"/>
      <c r="AA11" s="22"/>
      <c r="AB11" s="22"/>
      <c r="AC11" s="22"/>
      <c r="AD11" s="22"/>
      <c r="AE11" s="22"/>
      <c r="AF11" s="22"/>
      <c r="AG11" s="22"/>
      <c r="AH11" s="22"/>
      <c r="AI11" s="22"/>
      <c r="AJ11" s="22"/>
      <c r="AK11" s="22"/>
      <c r="AL11" s="22"/>
      <c r="AM11" s="22"/>
      <c r="AN11" s="22"/>
      <c r="AO11" s="22"/>
      <c r="AP11" s="22"/>
      <c r="AQ11" s="22"/>
      <c r="AR11" s="22"/>
      <c r="AS11" s="22"/>
      <c r="AT11" s="22"/>
      <c r="AU11" s="22"/>
      <c r="AV11" s="22"/>
      <c r="AW11" s="22"/>
    </row>
    <row r="12" spans="1:49" s="12" customFormat="1" ht="15">
      <c r="A12" s="13"/>
      <c r="B12" s="410"/>
      <c r="C12" s="3"/>
      <c r="D12" s="745"/>
      <c r="E12" s="743"/>
      <c r="F12" s="746"/>
      <c r="G12" s="31"/>
      <c r="H12" s="3"/>
      <c r="J12" s="3"/>
      <c r="K12" s="3"/>
      <c r="L12" s="3"/>
      <c r="M12" s="13"/>
      <c r="N12" s="36">
        <f>IF(AND(COUNTA(D12:F12)&gt;0,COUNTA(D12:F12)&lt;3),"The first row under question 2 (toilets) is incomplete.","")</f>
      </c>
      <c r="O12" s="717">
        <f>IF(F12&gt;WaterSenseToiletFlushVolume,WaterSenseToiletFlushVolume,F12)</f>
        <v>0</v>
      </c>
      <c r="P12" s="268">
        <f>IF(D12="Tank-Type",E12,0)</f>
        <v>0</v>
      </c>
      <c r="Q12" s="268">
        <f>IF(F12&gt;WaterSenseToiletFlushVolume,P12,0)</f>
        <v>0</v>
      </c>
      <c r="R12" s="268">
        <f>IF(D12="Flushometer-Valve",E12,0)</f>
        <v>0</v>
      </c>
      <c r="S12" s="268">
        <f>IF(F12&gt;WaterSenseToiletFlushVolume,R12,0)</f>
        <v>0</v>
      </c>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row>
    <row r="13" spans="1:49" s="12" customFormat="1" ht="15">
      <c r="A13" s="13"/>
      <c r="B13" s="410"/>
      <c r="C13" s="3"/>
      <c r="D13" s="745"/>
      <c r="E13" s="743"/>
      <c r="F13" s="746"/>
      <c r="G13" s="31"/>
      <c r="H13" s="3"/>
      <c r="J13" s="3"/>
      <c r="K13" s="3"/>
      <c r="L13" s="3"/>
      <c r="M13" s="13"/>
      <c r="N13" s="36">
        <f>IF(AND(COUNTA(D13:F13)&gt;0,COUNTA(D13:F13)&lt;3),"The second row under question 2 (toilets) is incomplete.","")</f>
      </c>
      <c r="O13" s="717">
        <f>IF(F13&gt;WaterSenseToiletFlushVolume,WaterSenseToiletFlushVolume,F13)</f>
        <v>0</v>
      </c>
      <c r="P13" s="268">
        <f>IF(D13="Tank-Type",E13,0)</f>
        <v>0</v>
      </c>
      <c r="Q13" s="268">
        <f>IF(F13&gt;WaterSenseToiletFlushVolume,P13,0)</f>
        <v>0</v>
      </c>
      <c r="R13" s="268">
        <f>IF(D13="Flushometer-Valve",E13,0)</f>
        <v>0</v>
      </c>
      <c r="S13" s="268">
        <f>IF(F13&gt;WaterSenseToiletFlushVolume,R13,0)</f>
        <v>0</v>
      </c>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row>
    <row r="14" spans="1:49" s="12" customFormat="1" ht="15">
      <c r="A14" s="13"/>
      <c r="B14" s="410"/>
      <c r="C14" s="3"/>
      <c r="D14" s="745"/>
      <c r="E14" s="743"/>
      <c r="F14" s="746"/>
      <c r="G14" s="31"/>
      <c r="H14" s="3"/>
      <c r="J14" s="3"/>
      <c r="K14" s="3"/>
      <c r="L14" s="3"/>
      <c r="M14" s="13"/>
      <c r="N14" s="36">
        <f>IF(AND(COUNTA(D14:F14)&gt;0,COUNTA(D14:F14)&lt;3),"The third row under question 2 (toilets) is incomplete.","")</f>
      </c>
      <c r="O14" s="717">
        <f>IF(F14&gt;WaterSenseToiletFlushVolume,WaterSenseToiletFlushVolume,F14)</f>
        <v>0</v>
      </c>
      <c r="P14" s="268">
        <f>IF(D14="Tank-Type",E14,0)</f>
        <v>0</v>
      </c>
      <c r="Q14" s="268">
        <f>IF(F14&gt;WaterSenseToiletFlushVolume,P14,0)</f>
        <v>0</v>
      </c>
      <c r="R14" s="268">
        <f>IF(D14="Flushometer-Valve",E14,0)</f>
        <v>0</v>
      </c>
      <c r="S14" s="268">
        <f>IF(F14&gt;WaterSenseToiletFlushVolume,R14,0)</f>
        <v>0</v>
      </c>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row>
    <row r="15" spans="1:49" s="12" customFormat="1" ht="15">
      <c r="A15" s="13"/>
      <c r="B15" s="410"/>
      <c r="C15" s="3"/>
      <c r="D15" s="745"/>
      <c r="E15" s="743"/>
      <c r="F15" s="746"/>
      <c r="G15" s="31"/>
      <c r="H15" s="3"/>
      <c r="J15" s="3"/>
      <c r="K15" s="3"/>
      <c r="L15" s="3"/>
      <c r="M15" s="13"/>
      <c r="N15" s="36">
        <f>IF(AND(COUNTA(D15:F15)&gt;0,COUNTA(D15:F15)&lt;3),"The fourth row under question 2 (toilets) is incomplete.","")</f>
      </c>
      <c r="O15" s="717">
        <f>IF(F15&gt;WaterSenseToiletFlushVolume,WaterSenseToiletFlushVolume,F15)</f>
        <v>0</v>
      </c>
      <c r="P15" s="268">
        <f>IF(D15="Tank-Type",E15,0)</f>
        <v>0</v>
      </c>
      <c r="Q15" s="268">
        <f>IF(F15&gt;WaterSenseToiletFlushVolume,P15,0)</f>
        <v>0</v>
      </c>
      <c r="R15" s="268">
        <f>IF(D15="Flushometer-Valve",E15,0)</f>
        <v>0</v>
      </c>
      <c r="S15" s="268">
        <f>IF(F15&gt;WaterSenseToiletFlushVolume,R15,0)</f>
        <v>0</v>
      </c>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row>
    <row r="16" spans="1:49" s="12" customFormat="1" ht="15">
      <c r="A16" s="13"/>
      <c r="B16" s="410"/>
      <c r="C16" s="3"/>
      <c r="D16" s="745"/>
      <c r="E16" s="743"/>
      <c r="F16" s="746"/>
      <c r="G16" s="31"/>
      <c r="H16" s="3"/>
      <c r="J16" s="3"/>
      <c r="K16" s="3"/>
      <c r="L16" s="3"/>
      <c r="M16" s="13"/>
      <c r="N16" s="36">
        <f>IF(AND(COUNTA(D16:F16)&gt;0,COUNTA(D16:F16)&lt;3),"The fifth row under question 2 (toilets) is incomplete.","")</f>
      </c>
      <c r="O16" s="717">
        <f>IF(F16&gt;WaterSenseToiletFlushVolume,WaterSenseToiletFlushVolume,F16)</f>
        <v>0</v>
      </c>
      <c r="P16" s="268">
        <f>IF(D16="Tank-Type",E16,0)</f>
        <v>0</v>
      </c>
      <c r="Q16" s="268">
        <f>IF(F16&gt;WaterSenseToiletFlushVolume,P16,0)</f>
        <v>0</v>
      </c>
      <c r="R16" s="268">
        <f>IF(D16="Flushometer-Valve",E16,0)</f>
        <v>0</v>
      </c>
      <c r="S16" s="268">
        <f>IF(F16&gt;WaterSenseToiletFlushVolume,R16,0)</f>
        <v>0</v>
      </c>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row>
    <row r="17" spans="1:49" s="12" customFormat="1" ht="15">
      <c r="A17" s="13"/>
      <c r="B17" s="410"/>
      <c r="C17" s="3"/>
      <c r="D17" s="422"/>
      <c r="E17" s="422"/>
      <c r="F17" s="422"/>
      <c r="G17" s="422"/>
      <c r="H17" s="3"/>
      <c r="I17" s="3"/>
      <c r="K17" s="3"/>
      <c r="L17" s="3"/>
      <c r="M17" s="13"/>
      <c r="N17" s="13"/>
      <c r="O17" s="36"/>
      <c r="P17" s="36"/>
      <c r="Q17" s="36"/>
      <c r="R17" s="36"/>
      <c r="S17" s="36"/>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row>
    <row r="18" spans="1:49" s="12" customFormat="1" ht="15">
      <c r="A18" s="13"/>
      <c r="B18" s="410"/>
      <c r="C18" s="878" t="s">
        <v>472</v>
      </c>
      <c r="D18" s="878"/>
      <c r="E18" s="878"/>
      <c r="F18" s="878"/>
      <c r="L18" s="3"/>
      <c r="M18" s="13"/>
      <c r="N18" s="13"/>
      <c r="O18" s="36"/>
      <c r="P18" s="36"/>
      <c r="Q18" s="36"/>
      <c r="R18" s="36"/>
      <c r="S18" s="36"/>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row>
    <row r="19" spans="1:49" s="12" customFormat="1" ht="15">
      <c r="A19" s="13"/>
      <c r="B19" s="410"/>
      <c r="C19" s="3"/>
      <c r="D19" s="435" t="s">
        <v>10</v>
      </c>
      <c r="E19" s="435" t="s">
        <v>16</v>
      </c>
      <c r="F19" s="422"/>
      <c r="L19" s="3"/>
      <c r="M19" s="13"/>
      <c r="N19" s="36">
        <f>IF(AND(SUM(D20:D23)&gt;0,GuestRooms&gt;SUM(D20:D23),SharedBathrooms&lt;&gt;"Yes"),"The number of guest rooms ("&amp;GuestRooms&amp;") exceeds the number of lavatory faucets ("&amp;SUM(D20:D23)&amp;").","")</f>
      </c>
      <c r="O19" s="716" t="s">
        <v>345</v>
      </c>
      <c r="P19" s="716" t="s">
        <v>346</v>
      </c>
      <c r="Q19" s="36"/>
      <c r="R19" s="36"/>
      <c r="S19" s="36"/>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row>
    <row r="20" spans="1:49" s="12" customFormat="1" ht="15">
      <c r="A20" s="13"/>
      <c r="B20" s="410"/>
      <c r="C20" s="3"/>
      <c r="D20" s="743"/>
      <c r="E20" s="746"/>
      <c r="F20" s="31"/>
      <c r="L20" s="3"/>
      <c r="M20" s="13"/>
      <c r="N20" s="36">
        <f>IF(AND(COUNTA(D20:E20)&gt;0,COUNTA(D20:E20)&lt;2),"The first row under question 3 (faucets) is incomplete.","")</f>
      </c>
      <c r="O20" s="717">
        <f>IF(E20&gt;WaterSenseFaucetFlowRate,WaterSenseFaucetFlowRate,E20)</f>
        <v>0</v>
      </c>
      <c r="P20" s="268">
        <f>IF(E20&gt;WaterSenseFaucetFlowRate,D20,0)</f>
        <v>0</v>
      </c>
      <c r="Q20" s="36"/>
      <c r="R20" s="36"/>
      <c r="S20" s="36"/>
      <c r="T20" s="13"/>
      <c r="U20" s="13"/>
      <c r="V20" s="13"/>
      <c r="W20" s="13"/>
      <c r="X20" s="13"/>
      <c r="Y20" s="13"/>
      <c r="Z20" s="13"/>
      <c r="AA20" s="13"/>
      <c r="AB20" s="13"/>
      <c r="AC20" s="13"/>
      <c r="AD20" s="13"/>
      <c r="AE20" s="13"/>
      <c r="AF20" s="13"/>
      <c r="AG20" s="13"/>
      <c r="AH20" s="13"/>
      <c r="AI20" s="13"/>
      <c r="AJ20" s="13"/>
      <c r="AK20" s="13"/>
      <c r="AL20" s="13"/>
      <c r="AM20" s="13"/>
      <c r="AN20" s="13"/>
      <c r="AO20" s="13"/>
      <c r="AP20" s="13"/>
      <c r="AQ20" s="13"/>
      <c r="AR20" s="13"/>
      <c r="AS20" s="13"/>
      <c r="AT20" s="13"/>
      <c r="AU20" s="13"/>
      <c r="AV20" s="13"/>
      <c r="AW20" s="13"/>
    </row>
    <row r="21" spans="1:49" s="12" customFormat="1" ht="15">
      <c r="A21" s="13"/>
      <c r="B21" s="410"/>
      <c r="C21" s="3"/>
      <c r="D21" s="743"/>
      <c r="E21" s="746"/>
      <c r="F21" s="31"/>
      <c r="L21" s="3"/>
      <c r="M21" s="13"/>
      <c r="N21" s="36">
        <f>IF(AND(COUNTA(D21:E21)&gt;0,COUNTA(D21:E21)&lt;2),"The second row under question 3 (faucets) is incomplete.","")</f>
      </c>
      <c r="O21" s="717">
        <f>IF(E21&gt;WaterSenseFaucetFlowRate,WaterSenseFaucetFlowRate,E21)</f>
        <v>0</v>
      </c>
      <c r="P21" s="268">
        <f>IF(E21&gt;WaterSenseFaucetFlowRate,D21,0)</f>
        <v>0</v>
      </c>
      <c r="Q21" s="36"/>
      <c r="R21" s="36"/>
      <c r="S21" s="36"/>
      <c r="T21" s="13"/>
      <c r="U21" s="13"/>
      <c r="V21" s="13"/>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3"/>
      <c r="AU21" s="13"/>
      <c r="AV21" s="13"/>
      <c r="AW21" s="13"/>
    </row>
    <row r="22" spans="1:49" s="12" customFormat="1" ht="15" customHeight="1">
      <c r="A22" s="13"/>
      <c r="B22" s="410"/>
      <c r="C22" s="3"/>
      <c r="D22" s="743"/>
      <c r="E22" s="746"/>
      <c r="F22" s="31"/>
      <c r="L22" s="3"/>
      <c r="M22" s="13"/>
      <c r="N22" s="36">
        <f>IF(AND(COUNTA(D22:E22)&gt;0,COUNTA(D22:E22)&lt;2),"The third row under question 3 (faucets) is incomplete.","")</f>
      </c>
      <c r="O22" s="717">
        <f>IF(E22&gt;WaterSenseFaucetFlowRate,WaterSenseFaucetFlowRate,E22)</f>
        <v>0</v>
      </c>
      <c r="P22" s="268">
        <f>IF(E22&gt;WaterSenseFaucetFlowRate,D22,0)</f>
        <v>0</v>
      </c>
      <c r="Q22" s="36"/>
      <c r="R22" s="36"/>
      <c r="S22" s="36"/>
      <c r="T22" s="13"/>
      <c r="U22" s="13"/>
      <c r="V22" s="13"/>
      <c r="W22" s="13"/>
      <c r="X22" s="13"/>
      <c r="Y22" s="13"/>
      <c r="Z22" s="13"/>
      <c r="AA22" s="13"/>
      <c r="AB22" s="13"/>
      <c r="AC22" s="13"/>
      <c r="AD22" s="13"/>
      <c r="AE22" s="13"/>
      <c r="AF22" s="13"/>
      <c r="AG22" s="13"/>
      <c r="AH22" s="13"/>
      <c r="AI22" s="13"/>
      <c r="AJ22" s="13"/>
      <c r="AK22" s="13"/>
      <c r="AL22" s="13"/>
      <c r="AM22" s="13"/>
      <c r="AN22" s="13"/>
      <c r="AO22" s="13"/>
      <c r="AP22" s="13"/>
      <c r="AQ22" s="13"/>
      <c r="AR22" s="13"/>
      <c r="AS22" s="13"/>
      <c r="AT22" s="13"/>
      <c r="AU22" s="13"/>
      <c r="AV22" s="13"/>
      <c r="AW22" s="13"/>
    </row>
    <row r="23" spans="1:49" s="12" customFormat="1" ht="15">
      <c r="A23" s="13"/>
      <c r="B23" s="410"/>
      <c r="C23" s="3"/>
      <c r="D23" s="743"/>
      <c r="E23" s="746"/>
      <c r="F23" s="31"/>
      <c r="L23" s="3"/>
      <c r="M23" s="13"/>
      <c r="N23" s="36">
        <f>IF(AND(COUNTA(D23:E23)&gt;0,COUNTA(D23:E23)&lt;2),"The fourth row under question 3 (faucets) is incomplete.","")</f>
      </c>
      <c r="O23" s="717">
        <f>IF(E23&gt;WaterSenseFaucetFlowRate,WaterSenseFaucetFlowRate,E23)</f>
        <v>0</v>
      </c>
      <c r="P23" s="268">
        <f>IF(E23&gt;WaterSenseFaucetFlowRate,D23,0)</f>
        <v>0</v>
      </c>
      <c r="Q23" s="36"/>
      <c r="R23" s="36"/>
      <c r="S23" s="36"/>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row>
    <row r="24" spans="1:49" s="12" customFormat="1" ht="15">
      <c r="A24" s="13"/>
      <c r="B24" s="410"/>
      <c r="C24" s="3"/>
      <c r="D24" s="422"/>
      <c r="E24" s="422"/>
      <c r="F24" s="422"/>
      <c r="G24" s="422"/>
      <c r="H24" s="422"/>
      <c r="I24" s="3"/>
      <c r="K24" s="3"/>
      <c r="L24" s="3"/>
      <c r="M24" s="13"/>
      <c r="N24" s="36"/>
      <c r="O24" s="36"/>
      <c r="P24" s="36"/>
      <c r="Q24" s="36"/>
      <c r="R24" s="36"/>
      <c r="S24" s="36"/>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row>
    <row r="25" spans="1:49" s="12" customFormat="1" ht="15">
      <c r="A25" s="13"/>
      <c r="B25" s="410"/>
      <c r="C25" s="932" t="s">
        <v>473</v>
      </c>
      <c r="D25" s="932"/>
      <c r="E25" s="932"/>
      <c r="F25" s="932"/>
      <c r="G25" s="932"/>
      <c r="H25" s="422"/>
      <c r="I25" s="3"/>
      <c r="K25" s="3"/>
      <c r="L25" s="3"/>
      <c r="M25" s="13"/>
      <c r="N25" s="13"/>
      <c r="O25" s="36"/>
      <c r="P25" s="36"/>
      <c r="Q25" s="36"/>
      <c r="R25" s="36"/>
      <c r="S25" s="36"/>
      <c r="T25" s="13"/>
      <c r="U25" s="13"/>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3"/>
      <c r="AU25" s="13"/>
      <c r="AV25" s="13"/>
      <c r="AW25" s="13"/>
    </row>
    <row r="26" spans="1:49" s="12" customFormat="1" ht="15">
      <c r="A26" s="13"/>
      <c r="B26" s="410"/>
      <c r="C26" s="3"/>
      <c r="D26" s="435" t="s">
        <v>10</v>
      </c>
      <c r="E26" s="435" t="s">
        <v>16</v>
      </c>
      <c r="F26" s="422"/>
      <c r="G26" s="3"/>
      <c r="H26" s="422"/>
      <c r="I26" s="3"/>
      <c r="K26" s="3"/>
      <c r="L26" s="3"/>
      <c r="M26" s="13"/>
      <c r="N26" s="36">
        <f>IF(AND(SUM(D27:D30)&gt;0,GuestRooms&gt;SUM(D27:D30),SharedBathrooms&lt;&gt;"Yes"),"The number of guest rooms ("&amp;GuestRooms&amp;") exceeds the number of showerheads ("&amp;SUM(D27:D30)&amp;").","")</f>
      </c>
      <c r="O26" s="716" t="s">
        <v>345</v>
      </c>
      <c r="P26" s="716" t="s">
        <v>346</v>
      </c>
      <c r="Q26" s="36"/>
      <c r="R26" s="36"/>
      <c r="S26" s="36"/>
      <c r="T26" s="13"/>
      <c r="U26" s="13"/>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row>
    <row r="27" spans="1:49" s="12" customFormat="1" ht="15">
      <c r="A27" s="13"/>
      <c r="B27" s="410"/>
      <c r="C27" s="3"/>
      <c r="D27" s="743"/>
      <c r="E27" s="746"/>
      <c r="F27" s="31"/>
      <c r="G27" s="3"/>
      <c r="H27" s="422"/>
      <c r="I27" s="3"/>
      <c r="K27" s="3"/>
      <c r="L27" s="3"/>
      <c r="M27" s="13"/>
      <c r="N27" s="36">
        <f>IF(AND(COUNTA(D27:E27)&gt;0,COUNTA(D27:E27)&lt;2),"The first row under question 4 (showerheads) is incomplete.","")</f>
      </c>
      <c r="O27" s="717">
        <f>IF(E27&gt;WaterSenseShowerFlowRate,WaterSenseShowerFlowRate,E27)</f>
        <v>0</v>
      </c>
      <c r="P27" s="268">
        <f>IF(E27&gt;WaterSenseShowerFlowRate,D27,0)</f>
        <v>0</v>
      </c>
      <c r="Q27" s="36"/>
      <c r="R27" s="36"/>
      <c r="S27" s="36"/>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row>
    <row r="28" spans="1:49" s="12" customFormat="1" ht="15">
      <c r="A28" s="13"/>
      <c r="B28" s="410"/>
      <c r="C28" s="3"/>
      <c r="D28" s="743"/>
      <c r="E28" s="746"/>
      <c r="F28" s="31"/>
      <c r="G28" s="3"/>
      <c r="H28" s="422"/>
      <c r="I28" s="3"/>
      <c r="K28" s="3"/>
      <c r="L28" s="3"/>
      <c r="M28" s="13"/>
      <c r="N28" s="36">
        <f>IF(AND(COUNTA(D28:E28)&gt;0,COUNTA(D28:E28)&lt;2),"The second row under question 4 (showerheads) is incomplete.","")</f>
      </c>
      <c r="O28" s="717">
        <f>IF(E28&gt;WaterSenseShowerFlowRate,WaterSenseShowerFlowRate,E28)</f>
        <v>0</v>
      </c>
      <c r="P28" s="268">
        <f>IF(E28&gt;WaterSenseShowerFlowRate,D28,0)</f>
        <v>0</v>
      </c>
      <c r="Q28" s="36"/>
      <c r="R28" s="36"/>
      <c r="S28" s="36"/>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row>
    <row r="29" spans="1:49" s="12" customFormat="1" ht="15">
      <c r="A29" s="13"/>
      <c r="B29" s="410"/>
      <c r="C29" s="3"/>
      <c r="D29" s="743"/>
      <c r="E29" s="746"/>
      <c r="F29" s="31"/>
      <c r="G29" s="3"/>
      <c r="H29" s="422"/>
      <c r="I29" s="3"/>
      <c r="K29" s="3"/>
      <c r="L29" s="3"/>
      <c r="M29" s="13"/>
      <c r="N29" s="36">
        <f>IF(AND(COUNTA(D29:E29)&gt;0,COUNTA(D29:E29)&lt;2),"The third row under question 4 (showerheads) is incomplete.","")</f>
      </c>
      <c r="O29" s="717">
        <f>IF(E29&gt;WaterSenseShowerFlowRate,WaterSenseShowerFlowRate,E29)</f>
        <v>0</v>
      </c>
      <c r="P29" s="268">
        <f>IF(E29&gt;WaterSenseShowerFlowRate,D29,0)</f>
        <v>0</v>
      </c>
      <c r="Q29" s="36"/>
      <c r="R29" s="36"/>
      <c r="S29" s="36"/>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row>
    <row r="30" spans="1:49" s="12" customFormat="1" ht="15">
      <c r="A30" s="13"/>
      <c r="B30" s="410"/>
      <c r="C30" s="3"/>
      <c r="D30" s="743"/>
      <c r="E30" s="746"/>
      <c r="F30" s="31"/>
      <c r="G30" s="3"/>
      <c r="H30" s="422"/>
      <c r="I30" s="3"/>
      <c r="K30" s="3"/>
      <c r="L30" s="3"/>
      <c r="M30" s="13"/>
      <c r="N30" s="36">
        <f>IF(AND(COUNTA(D30:E30)&gt;0,COUNTA(D30:E30)&lt;2),"The fourth row under question 4 (showerheads) is incomplete.","")</f>
      </c>
      <c r="O30" s="717">
        <f>IF(E30&gt;WaterSenseShowerFlowRate,WaterSenseShowerFlowRate,E30)</f>
        <v>0</v>
      </c>
      <c r="P30" s="268">
        <f>IF(E30&gt;WaterSenseShowerFlowRate,D30,0)</f>
        <v>0</v>
      </c>
      <c r="Q30" s="36"/>
      <c r="R30" s="36"/>
      <c r="S30" s="36"/>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row>
    <row r="31" spans="1:49" s="12" customFormat="1" ht="31.5" customHeight="1">
      <c r="A31" s="13"/>
      <c r="B31" s="410"/>
      <c r="C31" s="410"/>
      <c r="D31" s="3"/>
      <c r="E31" s="19"/>
      <c r="F31" s="19"/>
      <c r="G31" s="19"/>
      <c r="H31" s="19"/>
      <c r="I31" s="3"/>
      <c r="J31" s="3"/>
      <c r="K31" s="3"/>
      <c r="L31" s="3"/>
      <c r="M31" s="13"/>
      <c r="N31" s="13"/>
      <c r="O31" s="36"/>
      <c r="P31" s="36"/>
      <c r="Q31" s="36"/>
      <c r="R31" s="36"/>
      <c r="S31" s="36"/>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row>
    <row r="32" spans="1:49" s="12" customFormat="1" ht="18.75" hidden="1">
      <c r="A32" s="22"/>
      <c r="B32" s="410"/>
      <c r="C32" s="872" t="s">
        <v>38</v>
      </c>
      <c r="D32" s="872"/>
      <c r="F32" s="21"/>
      <c r="G32" s="20"/>
      <c r="H32" s="20"/>
      <c r="I32" s="3"/>
      <c r="J32" s="3"/>
      <c r="K32" s="3"/>
      <c r="L32" s="3"/>
      <c r="M32" s="13"/>
      <c r="N32" s="13"/>
      <c r="O32" s="36"/>
      <c r="P32" s="36"/>
      <c r="Q32" s="36"/>
      <c r="R32" s="36"/>
      <c r="S32" s="36"/>
      <c r="T32" s="13"/>
      <c r="U32" s="13"/>
      <c r="V32" s="13"/>
      <c r="W32" s="13"/>
      <c r="X32" s="13"/>
      <c r="Y32" s="13"/>
      <c r="Z32" s="13"/>
      <c r="AA32" s="13"/>
      <c r="AB32" s="13"/>
      <c r="AC32" s="13"/>
      <c r="AD32" s="13"/>
      <c r="AE32" s="13"/>
      <c r="AF32" s="13"/>
      <c r="AG32" s="13"/>
      <c r="AH32" s="13"/>
      <c r="AI32" s="13"/>
      <c r="AJ32" s="13"/>
      <c r="AK32" s="13"/>
      <c r="AL32" s="13"/>
      <c r="AM32" s="13"/>
      <c r="AN32" s="13"/>
      <c r="AO32" s="13"/>
      <c r="AP32" s="13"/>
      <c r="AQ32" s="13"/>
      <c r="AR32" s="13"/>
      <c r="AS32" s="13"/>
      <c r="AT32" s="13"/>
      <c r="AU32" s="13"/>
      <c r="AV32" s="13"/>
      <c r="AW32" s="13"/>
    </row>
    <row r="33" spans="1:49" s="389" customFormat="1" ht="34.5" customHeight="1" hidden="1">
      <c r="A33" s="50"/>
      <c r="B33" s="412"/>
      <c r="C33" s="931" t="str">
        <f>"Your existing water use for your overnight guest restrooms is approximately "&amp;TEXT(E39,"#,##0")&amp;" gallons of water per year. The following table provides your estimated water use for each fixture type."</f>
        <v>Your existing water use for your overnight guest restrooms is approximately Not Estimated gallons of water per year. The following table provides your estimated water use for each fixture type.</v>
      </c>
      <c r="D33" s="931"/>
      <c r="E33" s="931"/>
      <c r="F33" s="931"/>
      <c r="G33" s="931"/>
      <c r="H33" s="931"/>
      <c r="I33" s="931"/>
      <c r="J33" s="426"/>
      <c r="K33" s="426"/>
      <c r="L33" s="451"/>
      <c r="M33" s="50"/>
      <c r="N33" s="50"/>
      <c r="O33" s="617"/>
      <c r="P33" s="617"/>
      <c r="Q33" s="617"/>
      <c r="R33" s="617"/>
      <c r="S33" s="617"/>
      <c r="T33" s="50"/>
      <c r="U33" s="50"/>
      <c r="V33" s="50"/>
      <c r="W33" s="50"/>
      <c r="X33" s="50"/>
      <c r="Y33" s="50"/>
      <c r="Z33" s="50"/>
      <c r="AA33" s="50"/>
      <c r="AB33" s="50"/>
      <c r="AC33" s="50"/>
      <c r="AD33" s="50"/>
      <c r="AE33" s="50"/>
      <c r="AF33" s="50"/>
      <c r="AG33" s="50"/>
      <c r="AH33" s="50"/>
      <c r="AI33" s="50"/>
      <c r="AJ33" s="50"/>
      <c r="AK33" s="50"/>
      <c r="AL33" s="50"/>
      <c r="AM33" s="50"/>
      <c r="AN33" s="50"/>
      <c r="AO33" s="50"/>
      <c r="AP33" s="50"/>
      <c r="AQ33" s="50"/>
      <c r="AR33" s="50"/>
      <c r="AS33" s="50"/>
      <c r="AT33" s="50"/>
      <c r="AU33" s="50"/>
      <c r="AV33" s="50"/>
      <c r="AW33" s="50"/>
    </row>
    <row r="34" spans="1:49" s="33" customFormat="1" ht="26.25" hidden="1">
      <c r="A34" s="13"/>
      <c r="B34" s="410"/>
      <c r="C34" s="410"/>
      <c r="D34" s="23"/>
      <c r="E34" s="26" t="s">
        <v>58</v>
      </c>
      <c r="F34" s="23"/>
      <c r="G34" s="23"/>
      <c r="H34" s="23"/>
      <c r="I34" s="23"/>
      <c r="J34" s="23"/>
      <c r="K34" s="23"/>
      <c r="L34" s="3"/>
      <c r="M34" s="22"/>
      <c r="N34" s="13"/>
      <c r="O34" s="454"/>
      <c r="P34" s="454"/>
      <c r="Q34" s="454"/>
      <c r="R34" s="454"/>
      <c r="S34" s="454"/>
      <c r="T34" s="22"/>
      <c r="U34" s="22"/>
      <c r="V34" s="22"/>
      <c r="W34" s="22"/>
      <c r="X34" s="22"/>
      <c r="Y34" s="22"/>
      <c r="Z34" s="22"/>
      <c r="AA34" s="22"/>
      <c r="AB34" s="22"/>
      <c r="AC34" s="22"/>
      <c r="AD34" s="22"/>
      <c r="AE34" s="22"/>
      <c r="AF34" s="22"/>
      <c r="AG34" s="22"/>
      <c r="AH34" s="22"/>
      <c r="AI34" s="22"/>
      <c r="AJ34" s="22"/>
      <c r="AK34" s="22"/>
      <c r="AL34" s="22"/>
      <c r="AM34" s="22"/>
      <c r="AN34" s="22"/>
      <c r="AO34" s="22"/>
      <c r="AP34" s="22"/>
      <c r="AQ34" s="22"/>
      <c r="AR34" s="22"/>
      <c r="AS34" s="22"/>
      <c r="AT34" s="22"/>
      <c r="AU34" s="22"/>
      <c r="AV34" s="22"/>
      <c r="AW34" s="22"/>
    </row>
    <row r="35" spans="1:49" s="12" customFormat="1" ht="15" hidden="1">
      <c r="A35" s="13"/>
      <c r="B35" s="410"/>
      <c r="C35" s="410"/>
      <c r="D35" s="16" t="s">
        <v>498</v>
      </c>
      <c r="E35" s="24" t="str">
        <f>IF(COUNTA(ToiletInfo)&gt;0,ROUNDDOWN((HotelOperatingDays*GuestRooms*AverageOccupancyRate*AverageGuestsPerRoom*$G$64*$P56*$T$56),-3),"Not Estimated")</f>
        <v>Not Estimated</v>
      </c>
      <c r="F35" s="3"/>
      <c r="G35" s="3"/>
      <c r="H35" s="3"/>
      <c r="I35" s="3"/>
      <c r="J35" s="3"/>
      <c r="K35" s="3"/>
      <c r="L35" s="3"/>
      <c r="M35" s="13"/>
      <c r="N35" s="13"/>
      <c r="O35" s="36"/>
      <c r="P35" s="36"/>
      <c r="Q35" s="36"/>
      <c r="R35" s="36"/>
      <c r="S35" s="36"/>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row>
    <row r="36" spans="1:49" s="12" customFormat="1" ht="15" hidden="1">
      <c r="A36" s="13"/>
      <c r="B36" s="410"/>
      <c r="C36" s="410"/>
      <c r="D36" s="16" t="s">
        <v>499</v>
      </c>
      <c r="E36" s="24" t="str">
        <f>IF(COUNTA(ToiletInfo)&gt;0,ROUNDDOWN((HotelOperatingDays*GuestRooms*AverageOccupancyRate*AverageGuestsPerRoom*$G$64*$P57*$T$57),-3),"Not Estimated")</f>
        <v>Not Estimated</v>
      </c>
      <c r="F36" s="3"/>
      <c r="G36" s="3"/>
      <c r="H36" s="3"/>
      <c r="I36" s="3"/>
      <c r="J36" s="3"/>
      <c r="K36" s="3"/>
      <c r="L36" s="3"/>
      <c r="M36" s="13"/>
      <c r="N36" s="13"/>
      <c r="O36" s="36"/>
      <c r="P36" s="36"/>
      <c r="Q36" s="36"/>
      <c r="R36" s="36"/>
      <c r="S36" s="36"/>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row>
    <row r="37" spans="1:49" s="12" customFormat="1" ht="15" hidden="1">
      <c r="A37" s="13"/>
      <c r="B37" s="410"/>
      <c r="C37" s="410"/>
      <c r="D37" s="16" t="s">
        <v>25</v>
      </c>
      <c r="E37" s="24" t="str">
        <f>IF(COUNTA(FaucetInfo)&gt;0,ROUNDDOWN((HotelOperatingDays*GuestRooms*AverageOccupancyRate*AverageGuestsPerRoom*$G$65*$P58),-3),"Not Estimated")</f>
        <v>Not Estimated</v>
      </c>
      <c r="F37" s="3"/>
      <c r="G37" s="3"/>
      <c r="H37" s="3"/>
      <c r="I37" s="3"/>
      <c r="J37" s="3"/>
      <c r="K37" s="3"/>
      <c r="L37" s="3"/>
      <c r="M37" s="13"/>
      <c r="N37" s="13"/>
      <c r="O37" s="36"/>
      <c r="P37" s="36"/>
      <c r="Q37" s="36"/>
      <c r="R37" s="36"/>
      <c r="S37" s="36"/>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row>
    <row r="38" spans="1:49" s="12" customFormat="1" ht="15" hidden="1">
      <c r="A38" s="13"/>
      <c r="B38" s="410"/>
      <c r="C38" s="410"/>
      <c r="D38" s="16" t="s">
        <v>24</v>
      </c>
      <c r="E38" s="24" t="str">
        <f>IF(COUNTA(ShowerInfo)&gt;0,ROUNDDOWN(HotelOperatingDays*GuestRooms*AverageOccupancyRate*AverageGuestsPerRoom*$G$66*$G$67*$P59,-3),"Not Estimated")</f>
        <v>Not Estimated</v>
      </c>
      <c r="F38" s="3"/>
      <c r="G38" s="3"/>
      <c r="H38" s="3"/>
      <c r="I38" s="3"/>
      <c r="J38" s="3"/>
      <c r="K38" s="3"/>
      <c r="L38" s="3"/>
      <c r="M38" s="13"/>
      <c r="N38" s="13"/>
      <c r="O38" s="36"/>
      <c r="P38" s="36"/>
      <c r="Q38" s="36"/>
      <c r="R38" s="36"/>
      <c r="S38" s="36"/>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row>
    <row r="39" spans="1:49" s="12" customFormat="1" ht="15" hidden="1">
      <c r="A39" s="13"/>
      <c r="B39" s="410"/>
      <c r="C39" s="410"/>
      <c r="D39" s="16" t="s">
        <v>338</v>
      </c>
      <c r="E39" s="461" t="str">
        <f>IF(OR(ISNUMBER(E35),ISNUMBER(E37),ISNUMBER(E38)),SUM(E35:E38),"Not Estimated")</f>
        <v>Not Estimated</v>
      </c>
      <c r="F39" s="3"/>
      <c r="G39" s="3"/>
      <c r="H39" s="3"/>
      <c r="I39" s="3"/>
      <c r="J39" s="3"/>
      <c r="K39" s="3"/>
      <c r="L39" s="3"/>
      <c r="M39" s="13"/>
      <c r="N39" s="13"/>
      <c r="O39" s="36"/>
      <c r="P39" s="36"/>
      <c r="Q39" s="36"/>
      <c r="R39" s="36"/>
      <c r="S39" s="36"/>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row>
    <row r="40" spans="1:49" s="12" customFormat="1" ht="15" hidden="1">
      <c r="A40" s="13"/>
      <c r="B40" s="410"/>
      <c r="C40" s="410"/>
      <c r="D40" s="16"/>
      <c r="E40" s="3"/>
      <c r="F40" s="3"/>
      <c r="G40" s="3"/>
      <c r="H40" s="3"/>
      <c r="I40" s="3"/>
      <c r="J40" s="3"/>
      <c r="K40" s="3"/>
      <c r="L40" s="3"/>
      <c r="M40" s="13"/>
      <c r="N40" s="13"/>
      <c r="O40" s="36"/>
      <c r="P40" s="36"/>
      <c r="Q40" s="36"/>
      <c r="R40" s="36"/>
      <c r="S40" s="36"/>
      <c r="T40" s="13"/>
      <c r="U40" s="13"/>
      <c r="V40" s="13"/>
      <c r="W40" s="13"/>
      <c r="X40" s="13"/>
      <c r="Y40" s="13"/>
      <c r="Z40" s="13"/>
      <c r="AA40" s="13"/>
      <c r="AB40" s="13"/>
      <c r="AC40" s="13"/>
      <c r="AD40" s="13"/>
      <c r="AE40" s="13"/>
      <c r="AF40" s="13"/>
      <c r="AG40" s="13"/>
      <c r="AH40" s="13"/>
      <c r="AI40" s="13"/>
      <c r="AJ40" s="13"/>
      <c r="AK40" s="13"/>
      <c r="AL40" s="13"/>
      <c r="AM40" s="13"/>
      <c r="AN40" s="13"/>
      <c r="AO40" s="13"/>
      <c r="AP40" s="13"/>
      <c r="AQ40" s="13"/>
      <c r="AR40" s="13"/>
      <c r="AS40" s="13"/>
      <c r="AT40" s="13"/>
      <c r="AU40" s="13"/>
      <c r="AV40" s="13"/>
      <c r="AW40" s="13"/>
    </row>
    <row r="41" spans="1:49" s="12" customFormat="1" ht="24" customHeight="1" hidden="1">
      <c r="A41" s="13"/>
      <c r="B41" s="410"/>
      <c r="C41" s="924" t="s">
        <v>37</v>
      </c>
      <c r="D41" s="924"/>
      <c r="E41" s="924"/>
      <c r="F41" s="924"/>
      <c r="G41" s="3"/>
      <c r="H41" s="3"/>
      <c r="I41" s="3"/>
      <c r="J41" s="3"/>
      <c r="K41" s="3"/>
      <c r="L41" s="3"/>
      <c r="M41" s="13"/>
      <c r="N41" s="13"/>
      <c r="O41" s="36"/>
      <c r="P41" s="36"/>
      <c r="Q41" s="36"/>
      <c r="R41" s="36"/>
      <c r="S41" s="36"/>
      <c r="T41" s="13"/>
      <c r="U41" s="13"/>
      <c r="V41" s="13"/>
      <c r="W41" s="13"/>
      <c r="X41" s="13"/>
      <c r="Y41" s="13"/>
      <c r="Z41" s="13"/>
      <c r="AA41" s="13"/>
      <c r="AB41" s="13"/>
      <c r="AC41" s="13"/>
      <c r="AD41" s="13"/>
      <c r="AE41" s="13"/>
      <c r="AF41" s="13"/>
      <c r="AG41" s="13"/>
      <c r="AH41" s="13"/>
      <c r="AI41" s="13"/>
      <c r="AJ41" s="13"/>
      <c r="AK41" s="13"/>
      <c r="AL41" s="13"/>
      <c r="AM41" s="13"/>
      <c r="AN41" s="13"/>
      <c r="AO41" s="13"/>
      <c r="AP41" s="13"/>
      <c r="AQ41" s="13"/>
      <c r="AR41" s="13"/>
      <c r="AS41" s="13"/>
      <c r="AT41" s="13"/>
      <c r="AU41" s="13"/>
      <c r="AV41" s="13"/>
      <c r="AW41" s="13"/>
    </row>
    <row r="42" spans="1:49" s="12" customFormat="1" ht="55.5" customHeight="1" hidden="1">
      <c r="A42" s="13"/>
      <c r="B42" s="410"/>
      <c r="C42" s="786" t="s">
        <v>760</v>
      </c>
      <c r="D42" s="933" t="str">
        <f>"By retrofitting your existing, inefficient fixtures in your guest rooms with WaterSense labeled and/or high-efficiency models, you can save approximately "&amp;TEXT(F48,"#,##0")&amp;" gallons of water and $"&amp;TEXT(J48,"#,##0")&amp;" in water and energy costs annually. The following table provides estimated water, energy, and cost savings, and an estimated simple payback for each potential replacement project."</f>
        <v>By retrofitting your existing, inefficient fixtures in your guest rooms with WaterSense labeled and/or high-efficiency models, you can save approximately N/A gallons of water and $N/A in water and energy costs annually. The following table provides estimated water, energy, and cost savings, and an estimated simple payback for each potential replacement project.</v>
      </c>
      <c r="E42" s="933"/>
      <c r="F42" s="933"/>
      <c r="G42" s="933"/>
      <c r="H42" s="933"/>
      <c r="I42" s="933"/>
      <c r="J42" s="933"/>
      <c r="K42" s="933"/>
      <c r="L42" s="3"/>
      <c r="M42" s="13"/>
      <c r="N42" s="13"/>
      <c r="O42" s="36"/>
      <c r="P42" s="36"/>
      <c r="Q42" s="36"/>
      <c r="R42" s="36"/>
      <c r="S42" s="36"/>
      <c r="T42" s="13"/>
      <c r="U42" s="13"/>
      <c r="V42" s="13"/>
      <c r="W42" s="13"/>
      <c r="X42" s="13"/>
      <c r="Y42" s="13"/>
      <c r="Z42" s="13"/>
      <c r="AA42" s="13"/>
      <c r="AB42" s="13"/>
      <c r="AC42" s="13"/>
      <c r="AD42" s="13"/>
      <c r="AE42" s="13"/>
      <c r="AF42" s="13"/>
      <c r="AG42" s="13"/>
      <c r="AH42" s="13"/>
      <c r="AI42" s="13"/>
      <c r="AJ42" s="13"/>
      <c r="AK42" s="13"/>
      <c r="AL42" s="13"/>
      <c r="AM42" s="13"/>
      <c r="AN42" s="13"/>
      <c r="AO42" s="13"/>
      <c r="AP42" s="13"/>
      <c r="AQ42" s="13"/>
      <c r="AR42" s="13"/>
      <c r="AS42" s="13"/>
      <c r="AT42" s="13"/>
      <c r="AU42" s="13"/>
      <c r="AV42" s="13"/>
      <c r="AW42" s="13"/>
    </row>
    <row r="43" spans="1:49" s="12" customFormat="1" ht="39" hidden="1">
      <c r="A43" s="13"/>
      <c r="B43" s="410"/>
      <c r="C43" s="410"/>
      <c r="D43" s="452"/>
      <c r="E43" s="26" t="s">
        <v>294</v>
      </c>
      <c r="F43" s="26" t="s">
        <v>692</v>
      </c>
      <c r="G43" s="26" t="s">
        <v>694</v>
      </c>
      <c r="H43" s="26" t="str">
        <f>"Potential Annual Energy
Savings ("&amp;IF(HotWaterFuelType="Natural Gas","Mcf","kWh")&amp;")"</f>
        <v>Potential Annual Energy
Savings (kWh)</v>
      </c>
      <c r="I43" s="26" t="s">
        <v>693</v>
      </c>
      <c r="J43" s="26" t="s">
        <v>295</v>
      </c>
      <c r="K43" s="26" t="s">
        <v>33</v>
      </c>
      <c r="L43" s="3"/>
      <c r="M43" s="13"/>
      <c r="N43" s="13"/>
      <c r="O43" s="36"/>
      <c r="P43" s="36"/>
      <c r="Q43" s="36"/>
      <c r="R43" s="36"/>
      <c r="S43" s="36"/>
      <c r="T43" s="13"/>
      <c r="U43" s="13"/>
      <c r="V43" s="13"/>
      <c r="W43" s="13"/>
      <c r="X43" s="13"/>
      <c r="Y43" s="13"/>
      <c r="Z43" s="13"/>
      <c r="AA43" s="13"/>
      <c r="AB43" s="13"/>
      <c r="AC43" s="13"/>
      <c r="AD43" s="13"/>
      <c r="AE43" s="13"/>
      <c r="AF43" s="13"/>
      <c r="AG43" s="13"/>
      <c r="AH43" s="13"/>
      <c r="AI43" s="13"/>
      <c r="AJ43" s="13"/>
      <c r="AK43" s="13"/>
      <c r="AL43" s="13"/>
      <c r="AM43" s="13"/>
      <c r="AN43" s="13"/>
      <c r="AO43" s="13"/>
      <c r="AP43" s="13"/>
      <c r="AQ43" s="13"/>
      <c r="AR43" s="13"/>
      <c r="AS43" s="13"/>
      <c r="AT43" s="13"/>
      <c r="AU43" s="13"/>
      <c r="AV43" s="13"/>
      <c r="AW43" s="13"/>
    </row>
    <row r="44" spans="1:49" s="12" customFormat="1" ht="15" hidden="1">
      <c r="A44" s="13"/>
      <c r="B44" s="410"/>
      <c r="C44" s="410"/>
      <c r="D44" s="16" t="s">
        <v>498</v>
      </c>
      <c r="E44" s="807" t="str">
        <f>IF(SUM(P12:P16)&lt;&gt;0,IF($O$56&gt;=0,$R$56*$O$56,"Not Estimated"),"N/A")</f>
        <v>N/A</v>
      </c>
      <c r="F44" s="24" t="str">
        <f>IF($E44&lt;&gt;"N/A",IF($Q56&lt;$P56,ROUNDDOWN(($E35-(HotelOperatingDays*GuestRooms*AverageOccupancyRate*AverageGuestsPerRoom*$G$64*$Q56*T56))*S56,-3),0),"N/A")</f>
        <v>N/A</v>
      </c>
      <c r="G44" s="290" t="str">
        <f>IF(AND($E44&lt;&gt;"N/A",ConvertedWaterRate+ConvertedWastewaterRate&gt;0),ROUND(F44*(ConvertedWaterRate+ConvertedWastewaterRate),-1),"N/A")</f>
        <v>N/A</v>
      </c>
      <c r="H44" s="27" t="s">
        <v>772</v>
      </c>
      <c r="I44" s="27" t="s">
        <v>772</v>
      </c>
      <c r="J44" s="290" t="str">
        <f>G44</f>
        <v>N/A</v>
      </c>
      <c r="K44" s="535" t="str">
        <f>IF(ISNUMBER($E44),IF(J44&gt;0,E44/J44,0),IF($E44="Not Estimated","Not Estimated","N/A"))</f>
        <v>N/A</v>
      </c>
      <c r="L44" s="3"/>
      <c r="M44" s="13"/>
      <c r="N44" s="13"/>
      <c r="O44" s="36"/>
      <c r="P44" s="36"/>
      <c r="Q44" s="36"/>
      <c r="R44" s="36"/>
      <c r="S44" s="36"/>
      <c r="T44" s="13"/>
      <c r="U44" s="13"/>
      <c r="V44" s="13"/>
      <c r="W44" s="13"/>
      <c r="X44" s="13"/>
      <c r="Y44" s="13"/>
      <c r="Z44" s="13"/>
      <c r="AA44" s="13"/>
      <c r="AB44" s="13"/>
      <c r="AC44" s="13"/>
      <c r="AD44" s="13"/>
      <c r="AE44" s="13"/>
      <c r="AF44" s="13"/>
      <c r="AG44" s="13"/>
      <c r="AH44" s="13"/>
      <c r="AI44" s="13"/>
      <c r="AJ44" s="13"/>
      <c r="AK44" s="13"/>
      <c r="AL44" s="13"/>
      <c r="AM44" s="13"/>
      <c r="AN44" s="13"/>
      <c r="AO44" s="13"/>
      <c r="AP44" s="13"/>
      <c r="AQ44" s="13"/>
      <c r="AR44" s="13"/>
      <c r="AS44" s="13"/>
      <c r="AT44" s="13"/>
      <c r="AU44" s="13"/>
      <c r="AV44" s="13"/>
      <c r="AW44" s="13"/>
    </row>
    <row r="45" spans="1:49" s="12" customFormat="1" ht="15" hidden="1">
      <c r="A45" s="13"/>
      <c r="B45" s="410"/>
      <c r="C45" s="410"/>
      <c r="D45" s="16" t="s">
        <v>499</v>
      </c>
      <c r="E45" s="290" t="str">
        <f>IF(SUM(R12:R16)&lt;&gt;0,IF($O$57&gt;=0,$R$57*$O$57,"Not Estimated"),"N/A")</f>
        <v>N/A</v>
      </c>
      <c r="F45" s="24" t="str">
        <f>IF($E45&lt;&gt;"N/A",IF($Q57&lt;$P57,ROUNDDOWN(($E36-(HotelOperatingDays*GuestRooms*AverageOccupancyRate*AverageGuestsPerRoom*$G$64*$Q57*T57))*S57,-3),0),"N/A")</f>
        <v>N/A</v>
      </c>
      <c r="G45" s="290" t="str">
        <f>IF(AND($E45&lt;&gt;"N/A",ConvertedWaterRate+ConvertedWastewaterRate&gt;0),ROUND(F45*(ConvertedWaterRate+ConvertedWastewaterRate),-1),"N/A")</f>
        <v>N/A</v>
      </c>
      <c r="H45" s="27" t="s">
        <v>772</v>
      </c>
      <c r="I45" s="27" t="s">
        <v>772</v>
      </c>
      <c r="J45" s="290" t="str">
        <f>G45</f>
        <v>N/A</v>
      </c>
      <c r="K45" s="535" t="str">
        <f>IF(ISNUMBER($E45),IF(J45&gt;0,E45/J45,0),IF($E45="Not Estimated","Not Estimated","N/A"))</f>
        <v>N/A</v>
      </c>
      <c r="L45" s="3"/>
      <c r="M45" s="13"/>
      <c r="N45" s="13"/>
      <c r="O45" s="36"/>
      <c r="P45" s="36"/>
      <c r="Q45" s="36"/>
      <c r="R45" s="36"/>
      <c r="S45" s="36"/>
      <c r="T45" s="13"/>
      <c r="U45" s="13"/>
      <c r="V45" s="13"/>
      <c r="W45" s="13"/>
      <c r="X45" s="13"/>
      <c r="Y45" s="13"/>
      <c r="Z45" s="13"/>
      <c r="AA45" s="13"/>
      <c r="AB45" s="13"/>
      <c r="AC45" s="13"/>
      <c r="AD45" s="13"/>
      <c r="AE45" s="13"/>
      <c r="AF45" s="13"/>
      <c r="AG45" s="13"/>
      <c r="AH45" s="13"/>
      <c r="AI45" s="13"/>
      <c r="AJ45" s="13"/>
      <c r="AK45" s="13"/>
      <c r="AL45" s="13"/>
      <c r="AM45" s="13"/>
      <c r="AN45" s="13"/>
      <c r="AO45" s="13"/>
      <c r="AP45" s="13"/>
      <c r="AQ45" s="13"/>
      <c r="AR45" s="13"/>
      <c r="AS45" s="13"/>
      <c r="AT45" s="13"/>
      <c r="AU45" s="13"/>
      <c r="AV45" s="13"/>
      <c r="AW45" s="13"/>
    </row>
    <row r="46" spans="1:49" s="12" customFormat="1" ht="15" hidden="1">
      <c r="A46" s="13"/>
      <c r="B46" s="410"/>
      <c r="C46" s="410"/>
      <c r="D46" s="16" t="s">
        <v>25</v>
      </c>
      <c r="E46" s="290" t="str">
        <f>IF(COUNTA(FaucetInfo)&gt;0,IF($O$58&gt;=0,$R$58*$O$58,"Not Estimated"),"N/A")</f>
        <v>N/A</v>
      </c>
      <c r="F46" s="24" t="str">
        <f>IF($E46&lt;&gt;"N/A",IF($Q58&lt;$P58,ROUNDDOWN(($E37-(HotelOperatingDays*GuestRooms*AverageOccupancyRate*AverageGuestsPerRoom*$G$65*$Q58))*S58,-3),0),"N/A")</f>
        <v>N/A</v>
      </c>
      <c r="G46" s="290" t="str">
        <f>IF(AND($E46&lt;&gt;"N/A",ConvertedWaterRate+ConvertedWastewaterRate&gt;0),ROUND(F46*(ConvertedWaterRate+ConvertedWastewaterRate),-1),"N/A")</f>
        <v>N/A</v>
      </c>
      <c r="H46" s="24" t="str">
        <f>IF($E46&lt;&gt;"N/A",IF(HotWaterFuelType="Electric",ROUND(F46*$G$68*$G$70,-1),ROUND(F46*$G$68*$G$71,-1)),"N/A")</f>
        <v>N/A</v>
      </c>
      <c r="I46" s="290" t="str">
        <f>IF($E46&lt;&gt;"N/A",ROUND(H46*IF(HotWaterFuelType="Electric",ConvertedElectricityRate,ConvertedNaturalGasRate),-1),"N/A")</f>
        <v>N/A</v>
      </c>
      <c r="J46" s="290" t="str">
        <f>IF($E46&lt;&gt;"N/A",G46+I46,"N/A")</f>
        <v>N/A</v>
      </c>
      <c r="K46" s="535" t="str">
        <f>IF(ISNUMBER($E46),IF(J46&gt;0,E46/J46,0),IF($E46="Not Estimated","Not Estimated","N/A"))</f>
        <v>N/A</v>
      </c>
      <c r="L46" s="3"/>
      <c r="M46" s="13"/>
      <c r="N46" s="13"/>
      <c r="O46" s="36"/>
      <c r="P46" s="36"/>
      <c r="Q46" s="36"/>
      <c r="R46" s="36"/>
      <c r="S46" s="36"/>
      <c r="T46" s="13"/>
      <c r="U46" s="13"/>
      <c r="V46" s="13"/>
      <c r="W46" s="13"/>
      <c r="X46" s="13"/>
      <c r="Y46" s="13"/>
      <c r="Z46" s="13"/>
      <c r="AA46" s="13"/>
      <c r="AB46" s="13"/>
      <c r="AC46" s="13"/>
      <c r="AD46" s="13"/>
      <c r="AE46" s="13"/>
      <c r="AF46" s="13"/>
      <c r="AG46" s="13"/>
      <c r="AH46" s="13"/>
      <c r="AI46" s="13"/>
      <c r="AJ46" s="13"/>
      <c r="AK46" s="13"/>
      <c r="AL46" s="13"/>
      <c r="AM46" s="13"/>
      <c r="AN46" s="13"/>
      <c r="AO46" s="13"/>
      <c r="AP46" s="13"/>
      <c r="AQ46" s="13"/>
      <c r="AR46" s="13"/>
      <c r="AS46" s="13"/>
      <c r="AT46" s="13"/>
      <c r="AU46" s="13"/>
      <c r="AV46" s="13"/>
      <c r="AW46" s="13"/>
    </row>
    <row r="47" spans="1:49" s="12" customFormat="1" ht="15" hidden="1">
      <c r="A47" s="13"/>
      <c r="B47" s="410"/>
      <c r="C47" s="410"/>
      <c r="D47" s="16" t="s">
        <v>24</v>
      </c>
      <c r="E47" s="290" t="str">
        <f>IF(COUNTA(ShowerInfo)&gt;0,IF($O$59&gt;=0,$R$59*$O$59,"Not Estimated"),"N/A")</f>
        <v>N/A</v>
      </c>
      <c r="F47" s="24" t="str">
        <f>IF($E47&lt;&gt;"N/A",IF($Q59&lt;$P59,ROUNDDOWN(($E38-(HotelOperatingDays*GuestRooms*AverageOccupancyRate*AverageGuestsPerRoom*$G$66*$G$67*$Q59))*S59,-3),0),"N/A")</f>
        <v>N/A</v>
      </c>
      <c r="G47" s="290" t="str">
        <f>IF(AND($E47&lt;&gt;"N/A",ConvertedWaterRate+ConvertedWastewaterRate&gt;0),ROUND(F47*(ConvertedWaterRate+ConvertedWastewaterRate),-1),"N/A")</f>
        <v>N/A</v>
      </c>
      <c r="H47" s="24" t="str">
        <f>IF($E47&lt;&gt;"N/A",IF(HotWaterFuelType="Electric",ROUND(F47*$G$69*$G$70,-1),ROUND(F47*$G$69*$G$71,-1)),"N/A")</f>
        <v>N/A</v>
      </c>
      <c r="I47" s="290" t="str">
        <f>IF($E47&lt;&gt;"N/A",ROUND(H47*IF(HotWaterFuelType="Electric",ConvertedElectricityRate,ConvertedNaturalGasRate),-1),"N/A")</f>
        <v>N/A</v>
      </c>
      <c r="J47" s="290" t="str">
        <f>IF($E47&lt;&gt;"N/A",G47+I47,"N/A")</f>
        <v>N/A</v>
      </c>
      <c r="K47" s="535" t="str">
        <f>IF(ISNUMBER($E47),IF(J47&gt;0,E47/J47,0),IF($E47="Not Estimated","Not Estimated","N/A"))</f>
        <v>N/A</v>
      </c>
      <c r="L47" s="3"/>
      <c r="M47" s="13"/>
      <c r="N47" s="13"/>
      <c r="O47" s="36"/>
      <c r="P47" s="36"/>
      <c r="Q47" s="36"/>
      <c r="R47" s="36"/>
      <c r="S47" s="36"/>
      <c r="T47" s="13"/>
      <c r="U47" s="13"/>
      <c r="V47" s="13"/>
      <c r="W47" s="13"/>
      <c r="X47" s="13"/>
      <c r="Y47" s="13"/>
      <c r="Z47" s="13"/>
      <c r="AA47" s="13"/>
      <c r="AB47" s="13"/>
      <c r="AC47" s="13"/>
      <c r="AD47" s="13"/>
      <c r="AE47" s="13"/>
      <c r="AF47" s="13"/>
      <c r="AG47" s="13"/>
      <c r="AH47" s="13"/>
      <c r="AI47" s="13"/>
      <c r="AJ47" s="13"/>
      <c r="AK47" s="13"/>
      <c r="AL47" s="13"/>
      <c r="AM47" s="13"/>
      <c r="AN47" s="13"/>
      <c r="AO47" s="13"/>
      <c r="AP47" s="13"/>
      <c r="AQ47" s="13"/>
      <c r="AR47" s="13"/>
      <c r="AS47" s="13"/>
      <c r="AT47" s="13"/>
      <c r="AU47" s="13"/>
      <c r="AV47" s="13"/>
      <c r="AW47" s="13"/>
    </row>
    <row r="48" spans="1:49" s="12" customFormat="1" ht="15" hidden="1">
      <c r="A48" s="13"/>
      <c r="B48" s="410"/>
      <c r="C48" s="410"/>
      <c r="D48" s="425" t="s">
        <v>343</v>
      </c>
      <c r="E48" s="465" t="str">
        <f>IF(OR(COUNTIF(E44:E47,"Not Estimated")&gt;0,AND(ISNUMBER(E44)=FALSE,ISNUMBER(E45)=FALSE,ISNUMBER(E46)=FALSE,ISNUMBER(E47)=FALSE)),"Not Estimated",SUM(E44:E47))</f>
        <v>Not Estimated</v>
      </c>
      <c r="F48" s="463" t="str">
        <f>IF(OR(ISNUMBER(F44),ISNUMBER(F45),ISNUMBER(F46),ISNUMBER(F47)),SUM(F44:F47),"N/A")</f>
        <v>N/A</v>
      </c>
      <c r="G48" s="462" t="str">
        <f>IF($F48&lt;&gt;"N/A",SUM(G44:G47),"N/A")</f>
        <v>N/A</v>
      </c>
      <c r="H48" s="463" t="str">
        <f>IF($F48&lt;&gt;"N/A",SUM(H44:H47),"N/A")</f>
        <v>N/A</v>
      </c>
      <c r="I48" s="462" t="str">
        <f>IF($F48&lt;&gt;"N/A",SUM(I44:I47),"N/A")</f>
        <v>N/A</v>
      </c>
      <c r="J48" s="462" t="str">
        <f>IF($F48&lt;&gt;"N/A",SUM(J44:J47),"N/A")</f>
        <v>N/A</v>
      </c>
      <c r="K48" s="464" t="str">
        <f>IF(ISNUMBER($E48),IF(J48&gt;0,E48/J48,0),IF($E48="Not Estimated","Not Estimated","N/A"))</f>
        <v>Not Estimated</v>
      </c>
      <c r="L48" s="3"/>
      <c r="M48" s="13"/>
      <c r="N48" s="13"/>
      <c r="O48" s="36"/>
      <c r="P48" s="36"/>
      <c r="Q48" s="36"/>
      <c r="R48" s="36"/>
      <c r="S48" s="36"/>
      <c r="T48" s="13"/>
      <c r="U48" s="13"/>
      <c r="V48" s="13"/>
      <c r="W48" s="13"/>
      <c r="X48" s="13"/>
      <c r="Y48" s="13"/>
      <c r="Z48" s="13"/>
      <c r="AA48" s="13"/>
      <c r="AB48" s="13"/>
      <c r="AC48" s="13"/>
      <c r="AD48" s="13"/>
      <c r="AE48" s="13"/>
      <c r="AF48" s="13"/>
      <c r="AG48" s="13"/>
      <c r="AH48" s="13"/>
      <c r="AI48" s="13"/>
      <c r="AJ48" s="13"/>
      <c r="AK48" s="13"/>
      <c r="AL48" s="13"/>
      <c r="AM48" s="13"/>
      <c r="AN48" s="13"/>
      <c r="AO48" s="13"/>
      <c r="AP48" s="13"/>
      <c r="AQ48" s="13"/>
      <c r="AR48" s="13"/>
      <c r="AS48" s="13"/>
      <c r="AT48" s="13"/>
      <c r="AU48" s="13"/>
      <c r="AV48" s="13"/>
      <c r="AW48" s="13"/>
    </row>
    <row r="49" spans="1:49" s="394" customFormat="1" ht="33.75" customHeight="1" hidden="1">
      <c r="A49" s="392"/>
      <c r="C49" s="787" t="s">
        <v>760</v>
      </c>
      <c r="D49" s="925" t="s">
        <v>762</v>
      </c>
      <c r="E49" s="925"/>
      <c r="F49" s="925"/>
      <c r="G49" s="925"/>
      <c r="H49" s="925"/>
      <c r="I49" s="925"/>
      <c r="J49" s="925"/>
      <c r="K49" s="925"/>
      <c r="L49" s="760"/>
      <c r="M49" s="392"/>
      <c r="N49" s="392"/>
      <c r="O49" s="718"/>
      <c r="P49" s="718"/>
      <c r="Q49" s="718"/>
      <c r="R49" s="718"/>
      <c r="S49" s="718"/>
      <c r="T49" s="392"/>
      <c r="U49" s="392"/>
      <c r="V49" s="392"/>
      <c r="W49" s="392"/>
      <c r="X49" s="392"/>
      <c r="Y49" s="392"/>
      <c r="Z49" s="392"/>
      <c r="AA49" s="392"/>
      <c r="AB49" s="392"/>
      <c r="AC49" s="392"/>
      <c r="AD49" s="392"/>
      <c r="AE49" s="392"/>
      <c r="AF49" s="392"/>
      <c r="AG49" s="392"/>
      <c r="AH49" s="13"/>
      <c r="AI49" s="13"/>
      <c r="AJ49" s="13"/>
      <c r="AK49" s="13"/>
      <c r="AL49" s="13"/>
      <c r="AM49" s="13"/>
      <c r="AN49" s="13"/>
      <c r="AO49" s="13"/>
      <c r="AP49" s="13"/>
      <c r="AQ49" s="13"/>
      <c r="AR49" s="13"/>
      <c r="AS49" s="13"/>
      <c r="AT49" s="13"/>
      <c r="AU49" s="13"/>
      <c r="AV49" s="13"/>
      <c r="AW49" s="13"/>
    </row>
    <row r="50" spans="1:49" s="394" customFormat="1" ht="33.75" customHeight="1" hidden="1">
      <c r="A50" s="392"/>
      <c r="C50" s="787" t="s">
        <v>760</v>
      </c>
      <c r="D50" s="925" t="s">
        <v>713</v>
      </c>
      <c r="E50" s="925"/>
      <c r="F50" s="925"/>
      <c r="G50" s="925"/>
      <c r="H50" s="923" t="s">
        <v>714</v>
      </c>
      <c r="I50" s="923"/>
      <c r="J50" s="923"/>
      <c r="K50" s="923"/>
      <c r="L50" s="632"/>
      <c r="M50" s="392"/>
      <c r="N50" s="392"/>
      <c r="O50" s="718"/>
      <c r="P50" s="718"/>
      <c r="Q50" s="718"/>
      <c r="R50" s="718"/>
      <c r="S50" s="718"/>
      <c r="T50" s="392"/>
      <c r="U50" s="392"/>
      <c r="V50" s="392"/>
      <c r="W50" s="392"/>
      <c r="X50" s="392"/>
      <c r="Y50" s="392"/>
      <c r="Z50" s="392"/>
      <c r="AA50" s="392"/>
      <c r="AB50" s="392"/>
      <c r="AC50" s="392"/>
      <c r="AD50" s="392"/>
      <c r="AE50" s="392"/>
      <c r="AF50" s="392"/>
      <c r="AG50" s="392"/>
      <c r="AH50" s="13"/>
      <c r="AI50" s="13"/>
      <c r="AJ50" s="13"/>
      <c r="AK50" s="13"/>
      <c r="AL50" s="13"/>
      <c r="AM50" s="13"/>
      <c r="AN50" s="13"/>
      <c r="AO50" s="13"/>
      <c r="AP50" s="13"/>
      <c r="AQ50" s="13"/>
      <c r="AR50" s="13"/>
      <c r="AS50" s="13"/>
      <c r="AT50" s="13"/>
      <c r="AU50" s="13"/>
      <c r="AV50" s="13"/>
      <c r="AW50" s="13"/>
    </row>
    <row r="51" spans="1:49" s="12" customFormat="1" ht="15" hidden="1">
      <c r="A51" s="13"/>
      <c r="B51" s="410"/>
      <c r="C51" s="410"/>
      <c r="D51" s="16"/>
      <c r="E51" s="25"/>
      <c r="F51" s="28"/>
      <c r="G51" s="29"/>
      <c r="H51" s="29"/>
      <c r="I51" s="29"/>
      <c r="J51" s="29"/>
      <c r="K51" s="29"/>
      <c r="L51" s="3"/>
      <c r="M51" s="13"/>
      <c r="N51" s="13"/>
      <c r="O51" s="36"/>
      <c r="P51" s="36"/>
      <c r="Q51" s="36"/>
      <c r="R51" s="36"/>
      <c r="S51" s="36"/>
      <c r="T51" s="13"/>
      <c r="U51" s="13"/>
      <c r="V51" s="13"/>
      <c r="W51" s="13"/>
      <c r="X51" s="13"/>
      <c r="Y51" s="13"/>
      <c r="Z51" s="13"/>
      <c r="AA51" s="13"/>
      <c r="AB51" s="13"/>
      <c r="AC51" s="13"/>
      <c r="AD51" s="13"/>
      <c r="AE51" s="13"/>
      <c r="AF51" s="13"/>
      <c r="AG51" s="13"/>
      <c r="AH51" s="13"/>
      <c r="AI51" s="13"/>
      <c r="AJ51" s="13"/>
      <c r="AK51" s="13"/>
      <c r="AL51" s="13"/>
      <c r="AM51" s="13"/>
      <c r="AN51" s="13"/>
      <c r="AO51" s="13"/>
      <c r="AP51" s="13"/>
      <c r="AQ51" s="13"/>
      <c r="AR51" s="13"/>
      <c r="AS51" s="13"/>
      <c r="AT51" s="13"/>
      <c r="AU51" s="13"/>
      <c r="AV51" s="13"/>
      <c r="AW51" s="13"/>
    </row>
    <row r="52" spans="1:49" s="12" customFormat="1" ht="15" hidden="1">
      <c r="A52" s="13"/>
      <c r="B52" s="410"/>
      <c r="C52" s="410"/>
      <c r="D52" s="16"/>
      <c r="E52" s="25"/>
      <c r="F52" s="28"/>
      <c r="H52" s="28"/>
      <c r="I52" s="28"/>
      <c r="J52" s="29"/>
      <c r="K52" s="29"/>
      <c r="L52" s="3"/>
      <c r="M52" s="13"/>
      <c r="N52" s="13"/>
      <c r="O52" s="36"/>
      <c r="P52" s="36"/>
      <c r="Q52" s="36"/>
      <c r="R52" s="36"/>
      <c r="S52" s="36"/>
      <c r="T52" s="13"/>
      <c r="U52" s="13"/>
      <c r="V52" s="13"/>
      <c r="W52" s="13"/>
      <c r="X52" s="13"/>
      <c r="Y52" s="13"/>
      <c r="Z52" s="13"/>
      <c r="AA52" s="13"/>
      <c r="AB52" s="13"/>
      <c r="AC52" s="13"/>
      <c r="AD52" s="13"/>
      <c r="AE52" s="13"/>
      <c r="AF52" s="13"/>
      <c r="AG52" s="13"/>
      <c r="AH52" s="13"/>
      <c r="AI52" s="13"/>
      <c r="AJ52" s="13"/>
      <c r="AK52" s="13"/>
      <c r="AL52" s="13"/>
      <c r="AM52" s="13"/>
      <c r="AN52" s="13"/>
      <c r="AO52" s="13"/>
      <c r="AP52" s="13"/>
      <c r="AQ52" s="13"/>
      <c r="AR52" s="13"/>
      <c r="AS52" s="13"/>
      <c r="AT52" s="13"/>
      <c r="AU52" s="13"/>
      <c r="AV52" s="13"/>
      <c r="AW52" s="13"/>
    </row>
    <row r="53" spans="1:49" s="12" customFormat="1" ht="18.75" hidden="1">
      <c r="A53" s="13"/>
      <c r="B53" s="410"/>
      <c r="C53" s="872" t="s">
        <v>765</v>
      </c>
      <c r="D53" s="872"/>
      <c r="E53" s="872"/>
      <c r="F53" s="3"/>
      <c r="G53" s="3"/>
      <c r="I53" s="3"/>
      <c r="J53" s="3"/>
      <c r="K53" s="3"/>
      <c r="L53" s="3"/>
      <c r="M53" s="13"/>
      <c r="N53" s="13"/>
      <c r="O53" s="36"/>
      <c r="P53" s="36"/>
      <c r="Q53" s="36"/>
      <c r="R53" s="36"/>
      <c r="S53" s="36"/>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c r="AT53" s="13"/>
      <c r="AU53" s="13"/>
      <c r="AV53" s="13"/>
      <c r="AW53" s="13"/>
    </row>
    <row r="54" spans="1:49" s="12" customFormat="1" ht="15" hidden="1">
      <c r="A54" s="13"/>
      <c r="B54" s="410"/>
      <c r="C54" s="878" t="s">
        <v>412</v>
      </c>
      <c r="D54" s="878"/>
      <c r="E54" s="878"/>
      <c r="F54" s="878"/>
      <c r="G54" s="878"/>
      <c r="H54" s="878"/>
      <c r="I54" s="878"/>
      <c r="J54" s="878"/>
      <c r="K54" s="649"/>
      <c r="L54" s="3"/>
      <c r="M54" s="13"/>
      <c r="N54" s="13"/>
      <c r="O54" s="36"/>
      <c r="P54" s="36"/>
      <c r="Q54" s="36"/>
      <c r="R54" s="36"/>
      <c r="S54" s="36"/>
      <c r="T54" s="13"/>
      <c r="U54" s="13"/>
      <c r="V54" s="13"/>
      <c r="W54" s="13"/>
      <c r="X54" s="13"/>
      <c r="Y54" s="13"/>
      <c r="Z54" s="13"/>
      <c r="AA54" s="13"/>
      <c r="AB54" s="13"/>
      <c r="AC54" s="13"/>
      <c r="AD54" s="13"/>
      <c r="AE54" s="13"/>
      <c r="AF54" s="13"/>
      <c r="AG54" s="13"/>
      <c r="AH54" s="13"/>
      <c r="AI54" s="13"/>
      <c r="AJ54" s="13"/>
      <c r="AK54" s="13"/>
      <c r="AL54" s="13"/>
      <c r="AM54" s="13"/>
      <c r="AN54" s="13"/>
      <c r="AO54" s="13"/>
      <c r="AP54" s="13"/>
      <c r="AQ54" s="13"/>
      <c r="AR54" s="13"/>
      <c r="AS54" s="13"/>
      <c r="AT54" s="13"/>
      <c r="AU54" s="13"/>
      <c r="AV54" s="13"/>
      <c r="AW54" s="13"/>
    </row>
    <row r="55" spans="1:49" s="12" customFormat="1" ht="27" customHeight="1" hidden="1">
      <c r="A55" s="13"/>
      <c r="B55" s="410"/>
      <c r="C55" s="410"/>
      <c r="D55" s="649"/>
      <c r="E55" s="649"/>
      <c r="F55" s="399" t="s">
        <v>468</v>
      </c>
      <c r="G55" s="399" t="s">
        <v>440</v>
      </c>
      <c r="H55" s="399" t="s">
        <v>400</v>
      </c>
      <c r="I55" s="399" t="s">
        <v>763</v>
      </c>
      <c r="J55" s="399" t="s">
        <v>764</v>
      </c>
      <c r="K55" s="3"/>
      <c r="L55" s="3"/>
      <c r="M55" s="296"/>
      <c r="N55" s="13"/>
      <c r="O55" s="716" t="s">
        <v>293</v>
      </c>
      <c r="P55" s="716" t="s">
        <v>404</v>
      </c>
      <c r="Q55" s="716" t="s">
        <v>349</v>
      </c>
      <c r="R55" s="716" t="s">
        <v>469</v>
      </c>
      <c r="S55" s="716" t="s">
        <v>838</v>
      </c>
      <c r="T55" s="716" t="s">
        <v>513</v>
      </c>
      <c r="U55" s="13"/>
      <c r="V55" s="13"/>
      <c r="W55" s="13"/>
      <c r="X55" s="13"/>
      <c r="Y55" s="13"/>
      <c r="Z55" s="13"/>
      <c r="AA55" s="13"/>
      <c r="AB55" s="13"/>
      <c r="AC55" s="13"/>
      <c r="AD55" s="13"/>
      <c r="AE55" s="13"/>
      <c r="AF55" s="13"/>
      <c r="AG55" s="13"/>
      <c r="AH55" s="13"/>
      <c r="AI55" s="13"/>
      <c r="AJ55" s="13"/>
      <c r="AK55" s="13"/>
      <c r="AL55" s="13"/>
      <c r="AM55" s="13"/>
      <c r="AN55" s="13"/>
      <c r="AO55" s="13"/>
      <c r="AP55" s="13"/>
      <c r="AQ55" s="13"/>
      <c r="AR55" s="13"/>
      <c r="AS55" s="13"/>
      <c r="AT55" s="13"/>
      <c r="AU55" s="13"/>
      <c r="AV55" s="13"/>
      <c r="AW55" s="13"/>
    </row>
    <row r="56" spans="1:49" s="12" customFormat="1" ht="15" hidden="1">
      <c r="A56" s="13"/>
      <c r="B56" s="410"/>
      <c r="C56" s="410"/>
      <c r="D56" s="921" t="s">
        <v>501</v>
      </c>
      <c r="E56" s="922"/>
      <c r="F56" s="808">
        <f>SUM(Q12:Q16)</f>
        <v>0</v>
      </c>
      <c r="G56" s="624"/>
      <c r="H56" s="517">
        <v>1.28</v>
      </c>
      <c r="I56" s="608">
        <v>300</v>
      </c>
      <c r="J56" s="395"/>
      <c r="K56" s="3"/>
      <c r="L56" s="3"/>
      <c r="M56" s="13"/>
      <c r="N56" s="13"/>
      <c r="O56" s="719">
        <f>IF(I56&gt;0,IF(I56&gt;J56,I56-J56,0),-1)</f>
        <v>300</v>
      </c>
      <c r="P56" s="717">
        <f>IF(SUM(P12:P16)&gt;0,SUMPRODUCT(P12:P16,F12:F16)/SUM(P12:P16),0)</f>
        <v>0</v>
      </c>
      <c r="Q56" s="717">
        <f>IF(SUM(P12:P16)&gt;0,SUMPRODUCT(P12:P16,O12:O16)/SUM(P12:P16),0)</f>
        <v>0</v>
      </c>
      <c r="R56" s="36">
        <f>IF(G56&lt;&gt;"",G56,F56)</f>
        <v>0</v>
      </c>
      <c r="S56" s="722">
        <f>IF(F56&gt;0,R56/F56,0)</f>
        <v>0</v>
      </c>
      <c r="T56" s="722">
        <f>IF(SUM(P12:P16,R12:R16)&gt;0,SUM(P12:P16)/SUM(P12:P16,R12:R16),0)</f>
        <v>0</v>
      </c>
      <c r="U56" s="13"/>
      <c r="V56" s="13"/>
      <c r="W56" s="13"/>
      <c r="X56" s="13"/>
      <c r="Y56" s="13"/>
      <c r="Z56" s="13"/>
      <c r="AA56" s="13"/>
      <c r="AB56" s="13"/>
      <c r="AC56" s="13"/>
      <c r="AD56" s="13"/>
      <c r="AE56" s="13"/>
      <c r="AF56" s="13"/>
      <c r="AG56" s="13"/>
      <c r="AH56" s="13"/>
      <c r="AI56" s="13"/>
      <c r="AJ56" s="13"/>
      <c r="AK56" s="13"/>
      <c r="AL56" s="13"/>
      <c r="AM56" s="13"/>
      <c r="AN56" s="13"/>
      <c r="AO56" s="13"/>
      <c r="AP56" s="13"/>
      <c r="AQ56" s="13"/>
      <c r="AR56" s="13"/>
      <c r="AS56" s="13"/>
      <c r="AT56" s="13"/>
      <c r="AU56" s="13"/>
      <c r="AV56" s="13"/>
      <c r="AW56" s="13"/>
    </row>
    <row r="57" spans="1:49" s="12" customFormat="1" ht="15" hidden="1">
      <c r="A57" s="13"/>
      <c r="B57" s="410"/>
      <c r="C57" s="410"/>
      <c r="D57" s="878" t="s">
        <v>497</v>
      </c>
      <c r="E57" s="883"/>
      <c r="F57" s="652">
        <f>SUM(S12:S16)</f>
        <v>0</v>
      </c>
      <c r="G57" s="651"/>
      <c r="H57" s="517">
        <v>1.28</v>
      </c>
      <c r="I57" s="650">
        <v>1000</v>
      </c>
      <c r="J57" s="640"/>
      <c r="K57" s="3"/>
      <c r="L57" s="3"/>
      <c r="M57" s="13"/>
      <c r="N57" s="13"/>
      <c r="O57" s="719">
        <f>IF(I57&gt;0,IF(I57&gt;J57,I57-J57,0),-1)</f>
        <v>1000</v>
      </c>
      <c r="P57" s="717">
        <f>IF(SUM(R12:R16)&gt;0,SUMPRODUCT(R12:R16,F12:F16)/SUM(R12:R16),0)</f>
        <v>0</v>
      </c>
      <c r="Q57" s="717">
        <f>IF(SUM(R12:R16)&gt;0,SUMPRODUCT(R12:R16,O12:O16)/SUM(R12:R16),0)</f>
        <v>0</v>
      </c>
      <c r="R57" s="36">
        <f>IF(G57&lt;&gt;"",G57,F57)</f>
        <v>0</v>
      </c>
      <c r="S57" s="722">
        <f>IF(F57&gt;0,R57/F57,0)</f>
        <v>0</v>
      </c>
      <c r="T57" s="722">
        <f>IF(SUM(P12:P16,R12:R16)&gt;0,SUM(R12:R16)/SUM(P12:P16,R12:R16),0)</f>
        <v>0</v>
      </c>
      <c r="U57" s="13"/>
      <c r="V57" s="13"/>
      <c r="W57" s="13"/>
      <c r="X57" s="13"/>
      <c r="Y57" s="13"/>
      <c r="Z57" s="13"/>
      <c r="AA57" s="13"/>
      <c r="AB57" s="13"/>
      <c r="AC57" s="13"/>
      <c r="AD57" s="13"/>
      <c r="AE57" s="13"/>
      <c r="AF57" s="13"/>
      <c r="AG57" s="13"/>
      <c r="AH57" s="13"/>
      <c r="AI57" s="13"/>
      <c r="AJ57" s="13"/>
      <c r="AK57" s="13"/>
      <c r="AL57" s="13"/>
      <c r="AM57" s="13"/>
      <c r="AN57" s="13"/>
      <c r="AO57" s="13"/>
      <c r="AP57" s="13"/>
      <c r="AQ57" s="13"/>
      <c r="AR57" s="13"/>
      <c r="AS57" s="13"/>
      <c r="AT57" s="13"/>
      <c r="AU57" s="13"/>
      <c r="AV57" s="13"/>
      <c r="AW57" s="13"/>
    </row>
    <row r="58" spans="1:49" s="12" customFormat="1" ht="15" hidden="1">
      <c r="A58" s="13"/>
      <c r="B58" s="410"/>
      <c r="C58" s="410"/>
      <c r="D58" s="921" t="s">
        <v>492</v>
      </c>
      <c r="E58" s="922"/>
      <c r="F58" s="579">
        <f>SUM(P20:P23)</f>
        <v>0</v>
      </c>
      <c r="G58" s="611"/>
      <c r="H58" s="517">
        <v>1.5</v>
      </c>
      <c r="I58" s="395">
        <v>10</v>
      </c>
      <c r="J58" s="395"/>
      <c r="K58" s="3"/>
      <c r="L58" s="3"/>
      <c r="M58" s="13"/>
      <c r="N58" s="13"/>
      <c r="O58" s="719">
        <f>IF(I58&gt;0,IF(I58&gt;J58,I58-J58,0),-1)</f>
        <v>10</v>
      </c>
      <c r="P58" s="717">
        <f>IF(SUM(D20:D23)&gt;0,SUMPRODUCT(D20:D23,E20:E23)/SUM(D20:D23),0)</f>
        <v>0</v>
      </c>
      <c r="Q58" s="717">
        <f>IF(SUM(D20:D23)&gt;0,SUMPRODUCT(D20:D23,O20:O23)/SUM(D20:D23),0)</f>
        <v>0</v>
      </c>
      <c r="R58" s="36">
        <f>IF(G58&lt;&gt;"",G58,F58)</f>
        <v>0</v>
      </c>
      <c r="S58" s="722">
        <f>IF(F58&gt;0,R58/F58,0)</f>
        <v>0</v>
      </c>
      <c r="T58" s="722"/>
      <c r="U58" s="13"/>
      <c r="V58" s="13"/>
      <c r="W58" s="13"/>
      <c r="X58" s="13"/>
      <c r="Y58" s="13"/>
      <c r="Z58" s="13"/>
      <c r="AA58" s="13"/>
      <c r="AB58" s="13"/>
      <c r="AC58" s="13"/>
      <c r="AD58" s="13"/>
      <c r="AE58" s="13"/>
      <c r="AF58" s="13"/>
      <c r="AG58" s="13"/>
      <c r="AH58" s="13"/>
      <c r="AI58" s="13"/>
      <c r="AJ58" s="13"/>
      <c r="AK58" s="13"/>
      <c r="AL58" s="13"/>
      <c r="AM58" s="13"/>
      <c r="AN58" s="13"/>
      <c r="AO58" s="13"/>
      <c r="AP58" s="13"/>
      <c r="AQ58" s="13"/>
      <c r="AR58" s="13"/>
      <c r="AS58" s="13"/>
      <c r="AT58" s="13"/>
      <c r="AU58" s="13"/>
      <c r="AV58" s="13"/>
      <c r="AW58" s="13"/>
    </row>
    <row r="59" spans="1:49" s="12" customFormat="1" ht="15" hidden="1">
      <c r="A59" s="13"/>
      <c r="B59" s="410"/>
      <c r="C59" s="410"/>
      <c r="D59" s="921" t="s">
        <v>459</v>
      </c>
      <c r="E59" s="922"/>
      <c r="F59" s="579">
        <f>SUM(P27:P30)</f>
        <v>0</v>
      </c>
      <c r="G59" s="611"/>
      <c r="H59" s="517">
        <v>2</v>
      </c>
      <c r="I59" s="395">
        <v>20</v>
      </c>
      <c r="J59" s="395"/>
      <c r="K59" s="3"/>
      <c r="L59" s="3"/>
      <c r="M59" s="13"/>
      <c r="N59" s="13"/>
      <c r="O59" s="719">
        <f>IF(I59&gt;0,IF(I59&gt;J59,I59-J59,0),-1)</f>
        <v>20</v>
      </c>
      <c r="P59" s="717">
        <f>IF(SUM(D27:D30)&gt;0,SUMPRODUCT(D27:D30,E27:E30)/SUM(D27:D30),0)</f>
        <v>0</v>
      </c>
      <c r="Q59" s="717">
        <f>IF(SUM(D27:D30)&gt;0,SUMPRODUCT(D27:D30,O27:O30)/SUM(D27:D30),0)</f>
        <v>0</v>
      </c>
      <c r="R59" s="36">
        <f>IF(G59&lt;&gt;"",G59,F59)</f>
        <v>0</v>
      </c>
      <c r="S59" s="722">
        <f>IF(F59&gt;0,R59/F59,0)</f>
        <v>0</v>
      </c>
      <c r="T59" s="722"/>
      <c r="U59" s="13"/>
      <c r="V59" s="13"/>
      <c r="W59" s="13"/>
      <c r="X59" s="13"/>
      <c r="Y59" s="13"/>
      <c r="Z59" s="13"/>
      <c r="AA59" s="13"/>
      <c r="AB59" s="13"/>
      <c r="AC59" s="13"/>
      <c r="AD59" s="13"/>
      <c r="AE59" s="13"/>
      <c r="AF59" s="13"/>
      <c r="AG59" s="13"/>
      <c r="AH59" s="13"/>
      <c r="AI59" s="13"/>
      <c r="AJ59" s="13"/>
      <c r="AK59" s="13"/>
      <c r="AL59" s="13"/>
      <c r="AM59" s="13"/>
      <c r="AN59" s="13"/>
      <c r="AO59" s="13"/>
      <c r="AP59" s="13"/>
      <c r="AQ59" s="13"/>
      <c r="AR59" s="13"/>
      <c r="AS59" s="13"/>
      <c r="AT59" s="13"/>
      <c r="AU59" s="13"/>
      <c r="AV59" s="13"/>
      <c r="AW59" s="13"/>
    </row>
    <row r="60" spans="1:49" s="389" customFormat="1" ht="26.25" customHeight="1" hidden="1">
      <c r="A60" s="50"/>
      <c r="B60" s="412"/>
      <c r="C60" s="412"/>
      <c r="D60" s="920" t="s">
        <v>495</v>
      </c>
      <c r="E60" s="920"/>
      <c r="F60" s="920"/>
      <c r="G60" s="920"/>
      <c r="H60" s="920"/>
      <c r="I60" s="920"/>
      <c r="J60" s="920"/>
      <c r="K60" s="920"/>
      <c r="L60" s="451"/>
      <c r="M60" s="50"/>
      <c r="N60" s="50"/>
      <c r="O60" s="645"/>
      <c r="P60" s="646"/>
      <c r="Q60" s="646"/>
      <c r="R60" s="647"/>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row>
    <row r="61" spans="1:49" s="12" customFormat="1" ht="15" hidden="1">
      <c r="A61" s="13"/>
      <c r="B61" s="410"/>
      <c r="C61" s="410"/>
      <c r="D61" s="927"/>
      <c r="E61" s="927"/>
      <c r="F61" s="927"/>
      <c r="G61" s="3"/>
      <c r="H61" s="3"/>
      <c r="I61" s="3"/>
      <c r="J61" s="3"/>
      <c r="K61" s="3"/>
      <c r="L61" s="3"/>
      <c r="M61" s="13"/>
      <c r="N61" s="13"/>
      <c r="O61" s="13"/>
      <c r="P61" s="13"/>
      <c r="Q61" s="13"/>
      <c r="R61" s="13"/>
      <c r="S61" s="13"/>
      <c r="T61" s="13"/>
      <c r="U61" s="13"/>
      <c r="V61" s="13"/>
      <c r="W61" s="13"/>
      <c r="X61" s="13"/>
      <c r="Y61" s="13"/>
      <c r="Z61" s="13"/>
      <c r="AA61" s="13"/>
      <c r="AB61" s="13"/>
      <c r="AC61" s="13"/>
      <c r="AD61" s="13"/>
      <c r="AE61" s="13"/>
      <c r="AF61" s="13"/>
      <c r="AG61" s="13"/>
      <c r="AH61" s="13"/>
      <c r="AI61" s="13"/>
      <c r="AJ61" s="13"/>
      <c r="AK61" s="13"/>
      <c r="AL61" s="13"/>
      <c r="AM61" s="13"/>
      <c r="AN61" s="13"/>
      <c r="AO61" s="13"/>
      <c r="AP61" s="13"/>
      <c r="AQ61" s="13"/>
      <c r="AR61" s="13"/>
      <c r="AS61" s="13"/>
      <c r="AT61" s="13"/>
      <c r="AU61" s="13"/>
      <c r="AV61" s="13"/>
      <c r="AW61" s="13"/>
    </row>
    <row r="62" spans="1:49" s="12" customFormat="1" ht="18.75" hidden="1">
      <c r="A62" s="13"/>
      <c r="B62" s="410"/>
      <c r="C62" s="872" t="s">
        <v>767</v>
      </c>
      <c r="D62" s="872"/>
      <c r="E62" s="872"/>
      <c r="G62" s="3"/>
      <c r="H62" s="3"/>
      <c r="I62" s="3"/>
      <c r="J62" s="3"/>
      <c r="K62" s="3"/>
      <c r="L62" s="3"/>
      <c r="M62" s="13"/>
      <c r="N62" s="13"/>
      <c r="O62" s="13"/>
      <c r="P62" s="13"/>
      <c r="Q62" s="13"/>
      <c r="R62" s="13"/>
      <c r="S62" s="13"/>
      <c r="T62" s="13"/>
      <c r="U62" s="13"/>
      <c r="V62" s="13"/>
      <c r="W62" s="13"/>
      <c r="X62" s="13"/>
      <c r="Y62" s="13"/>
      <c r="Z62" s="13"/>
      <c r="AA62" s="13"/>
      <c r="AB62" s="13"/>
      <c r="AC62" s="13"/>
      <c r="AD62" s="13"/>
      <c r="AE62" s="13"/>
      <c r="AF62" s="13"/>
      <c r="AG62" s="13"/>
      <c r="AH62" s="13"/>
      <c r="AI62" s="13"/>
      <c r="AJ62" s="13"/>
      <c r="AK62" s="13"/>
      <c r="AL62" s="13"/>
      <c r="AM62" s="13"/>
      <c r="AN62" s="13"/>
      <c r="AO62" s="13"/>
      <c r="AP62" s="13"/>
      <c r="AQ62" s="13"/>
      <c r="AR62" s="13"/>
      <c r="AS62" s="13"/>
      <c r="AT62" s="13"/>
      <c r="AU62" s="13"/>
      <c r="AV62" s="13"/>
      <c r="AW62" s="13"/>
    </row>
    <row r="63" spans="1:49" s="12" customFormat="1" ht="27" customHeight="1" hidden="1">
      <c r="A63" s="13"/>
      <c r="B63" s="410"/>
      <c r="C63" s="934" t="s">
        <v>801</v>
      </c>
      <c r="D63" s="934"/>
      <c r="E63" s="934"/>
      <c r="F63" s="934"/>
      <c r="G63" s="934"/>
      <c r="H63" s="934"/>
      <c r="I63" s="934"/>
      <c r="J63" s="934"/>
      <c r="K63" s="3"/>
      <c r="L63" s="3"/>
      <c r="M63" s="13"/>
      <c r="N63" s="13"/>
      <c r="O63" s="13"/>
      <c r="P63" s="13"/>
      <c r="Q63" s="13"/>
      <c r="R63" s="13"/>
      <c r="S63" s="13"/>
      <c r="T63" s="13"/>
      <c r="U63" s="13"/>
      <c r="V63" s="13"/>
      <c r="W63" s="13"/>
      <c r="X63" s="13"/>
      <c r="Y63" s="13"/>
      <c r="Z63" s="13"/>
      <c r="AA63" s="13"/>
      <c r="AB63" s="13"/>
      <c r="AC63" s="13"/>
      <c r="AD63" s="13"/>
      <c r="AE63" s="13"/>
      <c r="AF63" s="13"/>
      <c r="AG63" s="13"/>
      <c r="AH63" s="13"/>
      <c r="AI63" s="13"/>
      <c r="AJ63" s="13"/>
      <c r="AK63" s="13"/>
      <c r="AL63" s="13"/>
      <c r="AM63" s="13"/>
      <c r="AN63" s="13"/>
      <c r="AO63" s="13"/>
      <c r="AP63" s="13"/>
      <c r="AQ63" s="13"/>
      <c r="AR63" s="13"/>
      <c r="AS63" s="13"/>
      <c r="AT63" s="13"/>
      <c r="AU63" s="13"/>
      <c r="AV63" s="13"/>
      <c r="AW63" s="13"/>
    </row>
    <row r="64" spans="1:49" s="12" customFormat="1" ht="15" hidden="1">
      <c r="A64" s="13"/>
      <c r="B64" s="410"/>
      <c r="C64" s="410"/>
      <c r="D64" s="927" t="s">
        <v>26</v>
      </c>
      <c r="E64" s="927"/>
      <c r="F64" s="928"/>
      <c r="G64" s="522">
        <v>5.05</v>
      </c>
      <c r="H64" s="3"/>
      <c r="I64" s="3"/>
      <c r="J64" s="3"/>
      <c r="K64" s="3"/>
      <c r="L64" s="3"/>
      <c r="M64" s="13"/>
      <c r="N64" s="13"/>
      <c r="O64" s="13"/>
      <c r="P64" s="13"/>
      <c r="Q64" s="13"/>
      <c r="R64" s="13"/>
      <c r="S64" s="13"/>
      <c r="T64" s="13"/>
      <c r="U64" s="13"/>
      <c r="V64" s="13"/>
      <c r="W64" s="13"/>
      <c r="X64" s="13"/>
      <c r="Y64" s="13"/>
      <c r="Z64" s="13"/>
      <c r="AA64" s="13"/>
      <c r="AB64" s="13"/>
      <c r="AC64" s="13"/>
      <c r="AD64" s="13"/>
      <c r="AE64" s="13"/>
      <c r="AF64" s="13"/>
      <c r="AG64" s="13"/>
      <c r="AH64" s="13"/>
      <c r="AI64" s="13"/>
      <c r="AJ64" s="13"/>
      <c r="AK64" s="13"/>
      <c r="AL64" s="13"/>
      <c r="AM64" s="13"/>
      <c r="AN64" s="13"/>
      <c r="AO64" s="13"/>
      <c r="AP64" s="13"/>
      <c r="AQ64" s="13"/>
      <c r="AR64" s="13"/>
      <c r="AS64" s="13"/>
      <c r="AT64" s="13"/>
      <c r="AU64" s="13"/>
      <c r="AV64" s="13"/>
      <c r="AW64" s="13"/>
    </row>
    <row r="65" spans="1:49" s="12" customFormat="1" ht="15" hidden="1">
      <c r="A65" s="13"/>
      <c r="B65" s="410"/>
      <c r="C65" s="410"/>
      <c r="D65" s="927" t="s">
        <v>27</v>
      </c>
      <c r="E65" s="927"/>
      <c r="F65" s="928"/>
      <c r="G65" s="522">
        <v>8.1</v>
      </c>
      <c r="H65" s="3"/>
      <c r="I65" s="3"/>
      <c r="J65" s="3"/>
      <c r="K65" s="3"/>
      <c r="L65" s="3"/>
      <c r="M65" s="13"/>
      <c r="N65" s="13"/>
      <c r="O65" s="13"/>
      <c r="P65" s="13"/>
      <c r="Q65" s="13"/>
      <c r="R65" s="13"/>
      <c r="S65" s="13"/>
      <c r="T65" s="13"/>
      <c r="U65" s="13"/>
      <c r="V65" s="13"/>
      <c r="W65" s="13"/>
      <c r="X65" s="13"/>
      <c r="Y65" s="13"/>
      <c r="Z65" s="13"/>
      <c r="AA65" s="13"/>
      <c r="AB65" s="13"/>
      <c r="AC65" s="13"/>
      <c r="AD65" s="13"/>
      <c r="AE65" s="13"/>
      <c r="AF65" s="13"/>
      <c r="AG65" s="13"/>
      <c r="AH65" s="13"/>
      <c r="AI65" s="13"/>
      <c r="AJ65" s="13"/>
      <c r="AK65" s="13"/>
      <c r="AL65" s="13"/>
      <c r="AM65" s="13"/>
      <c r="AN65" s="13"/>
      <c r="AO65" s="13"/>
      <c r="AP65" s="13"/>
      <c r="AQ65" s="13"/>
      <c r="AR65" s="13"/>
      <c r="AS65" s="13"/>
      <c r="AT65" s="13"/>
      <c r="AU65" s="13"/>
      <c r="AV65" s="13"/>
      <c r="AW65" s="13"/>
    </row>
    <row r="66" spans="1:49" s="12" customFormat="1" ht="15" hidden="1">
      <c r="A66" s="13"/>
      <c r="B66" s="410"/>
      <c r="C66" s="410"/>
      <c r="D66" s="927" t="s">
        <v>28</v>
      </c>
      <c r="E66" s="927"/>
      <c r="F66" s="928"/>
      <c r="G66" s="522">
        <v>8.2</v>
      </c>
      <c r="H66" s="3"/>
      <c r="I66" s="3"/>
      <c r="J66" s="3"/>
      <c r="K66" s="3"/>
      <c r="L66" s="3"/>
      <c r="M66" s="13"/>
      <c r="N66" s="13"/>
      <c r="O66" s="13"/>
      <c r="P66" s="13"/>
      <c r="Q66" s="13"/>
      <c r="R66" s="13"/>
      <c r="S66" s="13"/>
      <c r="T66" s="13"/>
      <c r="U66" s="13"/>
      <c r="V66" s="13"/>
      <c r="W66" s="13"/>
      <c r="X66" s="13"/>
      <c r="Y66" s="13"/>
      <c r="Z66" s="13"/>
      <c r="AA66" s="13"/>
      <c r="AB66" s="13"/>
      <c r="AC66" s="13"/>
      <c r="AD66" s="13"/>
      <c r="AE66" s="13"/>
      <c r="AF66" s="13"/>
      <c r="AG66" s="13"/>
      <c r="AH66" s="13"/>
      <c r="AI66" s="13"/>
      <c r="AJ66" s="13"/>
      <c r="AK66" s="13"/>
      <c r="AL66" s="13"/>
      <c r="AM66" s="13"/>
      <c r="AN66" s="13"/>
      <c r="AO66" s="13"/>
      <c r="AP66" s="13"/>
      <c r="AQ66" s="13"/>
      <c r="AR66" s="13"/>
      <c r="AS66" s="13"/>
      <c r="AT66" s="13"/>
      <c r="AU66" s="13"/>
      <c r="AV66" s="13"/>
      <c r="AW66" s="13"/>
    </row>
    <row r="67" spans="1:49" s="12" customFormat="1" ht="15" hidden="1">
      <c r="A67" s="13"/>
      <c r="B67" s="410"/>
      <c r="C67" s="410"/>
      <c r="D67" s="927" t="s">
        <v>29</v>
      </c>
      <c r="E67" s="927"/>
      <c r="F67" s="928"/>
      <c r="G67" s="522">
        <v>1</v>
      </c>
      <c r="H67" s="3"/>
      <c r="I67" s="3"/>
      <c r="J67" s="3"/>
      <c r="K67" s="3"/>
      <c r="L67" s="3"/>
      <c r="M67" s="13"/>
      <c r="N67" s="13"/>
      <c r="O67" s="13"/>
      <c r="P67" s="13"/>
      <c r="Q67" s="13"/>
      <c r="R67" s="13"/>
      <c r="S67" s="13"/>
      <c r="T67" s="13"/>
      <c r="U67" s="13"/>
      <c r="V67" s="13"/>
      <c r="W67" s="13"/>
      <c r="X67" s="13"/>
      <c r="Y67" s="13"/>
      <c r="Z67" s="13"/>
      <c r="AA67" s="13"/>
      <c r="AB67" s="13"/>
      <c r="AC67" s="13"/>
      <c r="AD67" s="13"/>
      <c r="AE67" s="13"/>
      <c r="AF67" s="13"/>
      <c r="AG67" s="13"/>
      <c r="AH67" s="13"/>
      <c r="AI67" s="13"/>
      <c r="AJ67" s="13"/>
      <c r="AK67" s="13"/>
      <c r="AL67" s="13"/>
      <c r="AM67" s="13"/>
      <c r="AN67" s="13"/>
      <c r="AO67" s="13"/>
      <c r="AP67" s="13"/>
      <c r="AQ67" s="13"/>
      <c r="AR67" s="13"/>
      <c r="AS67" s="13"/>
      <c r="AT67" s="13"/>
      <c r="AU67" s="13"/>
      <c r="AV67" s="13"/>
      <c r="AW67" s="13"/>
    </row>
    <row r="68" spans="1:49" s="12" customFormat="1" ht="15" hidden="1">
      <c r="A68" s="13"/>
      <c r="B68" s="410"/>
      <c r="C68" s="410"/>
      <c r="D68" s="927" t="s">
        <v>31</v>
      </c>
      <c r="E68" s="927"/>
      <c r="F68" s="928"/>
      <c r="G68" s="534">
        <v>0.727</v>
      </c>
      <c r="H68" s="3"/>
      <c r="I68" s="3"/>
      <c r="J68" s="3"/>
      <c r="K68" s="3"/>
      <c r="L68" s="3"/>
      <c r="M68" s="13"/>
      <c r="N68" s="13"/>
      <c r="O68" s="13"/>
      <c r="P68" s="13"/>
      <c r="Q68" s="13"/>
      <c r="R68" s="13"/>
      <c r="S68" s="13"/>
      <c r="T68" s="13"/>
      <c r="U68" s="13"/>
      <c r="V68" s="13"/>
      <c r="W68" s="13"/>
      <c r="X68" s="13"/>
      <c r="Y68" s="13"/>
      <c r="Z68" s="13"/>
      <c r="AA68" s="13"/>
      <c r="AB68" s="13"/>
      <c r="AC68" s="13"/>
      <c r="AD68" s="13"/>
      <c r="AE68" s="13"/>
      <c r="AF68" s="13"/>
      <c r="AG68" s="13"/>
      <c r="AH68" s="13"/>
      <c r="AI68" s="13"/>
      <c r="AJ68" s="13"/>
      <c r="AK68" s="13"/>
      <c r="AL68" s="13"/>
      <c r="AM68" s="13"/>
      <c r="AN68" s="13"/>
      <c r="AO68" s="13"/>
      <c r="AP68" s="13"/>
      <c r="AQ68" s="13"/>
      <c r="AR68" s="13"/>
      <c r="AS68" s="13"/>
      <c r="AT68" s="13"/>
      <c r="AU68" s="13"/>
      <c r="AV68" s="13"/>
      <c r="AW68" s="13"/>
    </row>
    <row r="69" spans="1:49" s="12" customFormat="1" ht="15" hidden="1">
      <c r="A69" s="13"/>
      <c r="B69" s="410"/>
      <c r="C69" s="410"/>
      <c r="D69" s="927" t="s">
        <v>30</v>
      </c>
      <c r="E69" s="927"/>
      <c r="F69" s="928"/>
      <c r="G69" s="534">
        <v>0.731</v>
      </c>
      <c r="H69" s="3"/>
      <c r="I69" s="3"/>
      <c r="J69" s="3"/>
      <c r="K69" s="3"/>
      <c r="L69" s="3"/>
      <c r="M69" s="13"/>
      <c r="N69" s="13"/>
      <c r="O69" s="13"/>
      <c r="P69" s="13"/>
      <c r="Q69" s="13"/>
      <c r="R69" s="13"/>
      <c r="S69" s="13"/>
      <c r="T69" s="13"/>
      <c r="U69" s="13"/>
      <c r="V69" s="13"/>
      <c r="W69" s="13"/>
      <c r="X69" s="13"/>
      <c r="Y69" s="13"/>
      <c r="Z69" s="13"/>
      <c r="AA69" s="13"/>
      <c r="AB69" s="13"/>
      <c r="AC69" s="13"/>
      <c r="AD69" s="13"/>
      <c r="AE69" s="13"/>
      <c r="AF69" s="13"/>
      <c r="AG69" s="13"/>
      <c r="AH69" s="13"/>
      <c r="AI69" s="13"/>
      <c r="AJ69" s="13"/>
      <c r="AK69" s="13"/>
      <c r="AL69" s="13"/>
      <c r="AM69" s="13"/>
      <c r="AN69" s="13"/>
      <c r="AO69" s="13"/>
      <c r="AP69" s="13"/>
      <c r="AQ69" s="13"/>
      <c r="AR69" s="13"/>
      <c r="AS69" s="13"/>
      <c r="AT69" s="13"/>
      <c r="AU69" s="13"/>
      <c r="AV69" s="13"/>
      <c r="AW69" s="13"/>
    </row>
    <row r="70" spans="1:49" s="12" customFormat="1" ht="15" hidden="1">
      <c r="A70" s="13"/>
      <c r="B70" s="410"/>
      <c r="C70" s="410"/>
      <c r="D70" s="927" t="s">
        <v>35</v>
      </c>
      <c r="E70" s="927"/>
      <c r="F70" s="928"/>
      <c r="G70" s="522">
        <v>0.17664</v>
      </c>
      <c r="H70" s="3"/>
      <c r="I70" s="3"/>
      <c r="J70" s="3"/>
      <c r="K70" s="3"/>
      <c r="L70" s="3"/>
      <c r="M70" s="13"/>
      <c r="N70" s="13"/>
      <c r="O70" s="13"/>
      <c r="P70" s="13"/>
      <c r="Q70" s="13"/>
      <c r="R70" s="13"/>
      <c r="S70" s="13"/>
      <c r="T70" s="13"/>
      <c r="U70" s="13"/>
      <c r="V70" s="13"/>
      <c r="W70" s="13"/>
      <c r="X70" s="13"/>
      <c r="Y70" s="13"/>
      <c r="Z70" s="13"/>
      <c r="AA70" s="13"/>
      <c r="AB70" s="13"/>
      <c r="AC70" s="13"/>
      <c r="AD70" s="13"/>
      <c r="AE70" s="13"/>
      <c r="AF70" s="13"/>
      <c r="AG70" s="13"/>
      <c r="AH70" s="13"/>
      <c r="AI70" s="13"/>
      <c r="AJ70" s="13"/>
      <c r="AK70" s="13"/>
      <c r="AL70" s="13"/>
      <c r="AM70" s="13"/>
      <c r="AN70" s="13"/>
      <c r="AO70" s="13"/>
      <c r="AP70" s="13"/>
      <c r="AQ70" s="13"/>
      <c r="AR70" s="13"/>
      <c r="AS70" s="13"/>
      <c r="AT70" s="13"/>
      <c r="AU70" s="13"/>
      <c r="AV70" s="13"/>
      <c r="AW70" s="13"/>
    </row>
    <row r="71" spans="1:49" s="12" customFormat="1" ht="15" hidden="1">
      <c r="A71" s="13"/>
      <c r="B71" s="410"/>
      <c r="C71" s="410"/>
      <c r="D71" s="927" t="s">
        <v>32</v>
      </c>
      <c r="E71" s="927"/>
      <c r="F71" s="928"/>
      <c r="G71" s="522">
        <v>0.0008774</v>
      </c>
      <c r="H71" s="3"/>
      <c r="I71" s="3"/>
      <c r="J71" s="3"/>
      <c r="K71" s="3"/>
      <c r="L71" s="3"/>
      <c r="M71" s="13"/>
      <c r="N71" s="13"/>
      <c r="O71" s="13"/>
      <c r="P71" s="13"/>
      <c r="Q71" s="13"/>
      <c r="R71" s="13"/>
      <c r="S71" s="13"/>
      <c r="T71" s="13"/>
      <c r="U71" s="13"/>
      <c r="V71" s="13"/>
      <c r="W71" s="13"/>
      <c r="X71" s="13"/>
      <c r="Y71" s="13"/>
      <c r="Z71" s="13"/>
      <c r="AA71" s="13"/>
      <c r="AB71" s="13"/>
      <c r="AC71" s="13"/>
      <c r="AD71" s="13"/>
      <c r="AE71" s="13"/>
      <c r="AF71" s="13"/>
      <c r="AG71" s="13"/>
      <c r="AH71" s="13"/>
      <c r="AI71" s="13"/>
      <c r="AJ71" s="13"/>
      <c r="AK71" s="13"/>
      <c r="AL71" s="13"/>
      <c r="AM71" s="13"/>
      <c r="AN71" s="13"/>
      <c r="AO71" s="13"/>
      <c r="AP71" s="13"/>
      <c r="AQ71" s="13"/>
      <c r="AR71" s="13"/>
      <c r="AS71" s="13"/>
      <c r="AT71" s="13"/>
      <c r="AU71" s="13"/>
      <c r="AV71" s="13"/>
      <c r="AW71" s="13"/>
    </row>
    <row r="72" spans="1:49" s="12" customFormat="1" ht="15" hidden="1">
      <c r="A72" s="13"/>
      <c r="B72" s="410"/>
      <c r="C72" s="410"/>
      <c r="D72" s="3"/>
      <c r="E72" s="3"/>
      <c r="F72" s="3"/>
      <c r="G72" s="3"/>
      <c r="H72" s="3"/>
      <c r="I72" s="3"/>
      <c r="J72" s="3"/>
      <c r="K72" s="3"/>
      <c r="L72" s="3"/>
      <c r="M72" s="13"/>
      <c r="N72" s="13"/>
      <c r="O72" s="13"/>
      <c r="P72" s="13"/>
      <c r="Q72" s="13"/>
      <c r="R72" s="13"/>
      <c r="S72" s="13"/>
      <c r="T72" s="13"/>
      <c r="U72" s="13"/>
      <c r="V72" s="13"/>
      <c r="W72" s="13"/>
      <c r="X72" s="13"/>
      <c r="Y72" s="13"/>
      <c r="Z72" s="13"/>
      <c r="AA72" s="13"/>
      <c r="AB72" s="13"/>
      <c r="AC72" s="13"/>
      <c r="AD72" s="13"/>
      <c r="AE72" s="13"/>
      <c r="AF72" s="13"/>
      <c r="AG72" s="13"/>
      <c r="AH72" s="13"/>
      <c r="AI72" s="13"/>
      <c r="AJ72" s="13"/>
      <c r="AK72" s="13"/>
      <c r="AL72" s="13"/>
      <c r="AM72" s="13"/>
      <c r="AN72" s="13"/>
      <c r="AO72" s="13"/>
      <c r="AP72" s="13"/>
      <c r="AQ72" s="13"/>
      <c r="AR72" s="13"/>
      <c r="AS72" s="13"/>
      <c r="AT72" s="13"/>
      <c r="AU72" s="13"/>
      <c r="AV72" s="13"/>
      <c r="AW72" s="13"/>
    </row>
    <row r="73" spans="1:49" s="12" customFormat="1" ht="19.5" customHeight="1">
      <c r="A73" s="13"/>
      <c r="B73" s="654" t="s">
        <v>877</v>
      </c>
      <c r="C73" s="409"/>
      <c r="D73" s="13"/>
      <c r="E73" s="13"/>
      <c r="F73" s="13"/>
      <c r="G73" s="13"/>
      <c r="H73" s="13"/>
      <c r="I73" s="13"/>
      <c r="J73" s="13"/>
      <c r="K73" s="13"/>
      <c r="L73" s="13"/>
      <c r="M73" s="13"/>
      <c r="N73" s="13"/>
      <c r="O73" s="13"/>
      <c r="P73" s="13"/>
      <c r="Q73" s="13"/>
      <c r="R73" s="13"/>
      <c r="S73" s="13"/>
      <c r="T73" s="13"/>
      <c r="U73" s="13"/>
      <c r="V73" s="13"/>
      <c r="W73" s="13"/>
      <c r="X73" s="13"/>
      <c r="Y73" s="13"/>
      <c r="Z73" s="13"/>
      <c r="AA73" s="13"/>
      <c r="AB73" s="13"/>
      <c r="AC73" s="13"/>
      <c r="AD73" s="13"/>
      <c r="AE73" s="13"/>
      <c r="AF73" s="13"/>
      <c r="AG73" s="13"/>
      <c r="AH73" s="13"/>
      <c r="AI73" s="13"/>
      <c r="AJ73" s="13"/>
      <c r="AK73" s="13"/>
      <c r="AL73" s="13"/>
      <c r="AM73" s="13"/>
      <c r="AN73" s="13"/>
      <c r="AO73" s="13"/>
      <c r="AP73" s="13"/>
      <c r="AQ73" s="13"/>
      <c r="AR73" s="13"/>
      <c r="AS73" s="13"/>
      <c r="AT73" s="13"/>
      <c r="AU73" s="13"/>
      <c r="AV73" s="13"/>
      <c r="AW73" s="13"/>
    </row>
    <row r="74" spans="1:49" s="12" customFormat="1" ht="15">
      <c r="A74" s="13"/>
      <c r="B74" s="409"/>
      <c r="C74" s="409"/>
      <c r="D74" s="13"/>
      <c r="E74" s="13"/>
      <c r="F74" s="13"/>
      <c r="G74" s="13"/>
      <c r="H74" s="13"/>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13"/>
      <c r="AH74" s="13"/>
      <c r="AI74" s="13"/>
      <c r="AJ74" s="13"/>
      <c r="AK74" s="13"/>
      <c r="AL74" s="13"/>
      <c r="AM74" s="13"/>
      <c r="AN74" s="13"/>
      <c r="AO74" s="13"/>
      <c r="AP74" s="13"/>
      <c r="AQ74" s="13"/>
      <c r="AR74" s="13"/>
      <c r="AS74" s="13"/>
      <c r="AT74" s="13"/>
      <c r="AU74" s="13"/>
      <c r="AV74" s="13"/>
      <c r="AW74" s="13"/>
    </row>
    <row r="75" spans="1:49" s="12" customFormat="1" ht="15">
      <c r="A75" s="13"/>
      <c r="B75" s="409"/>
      <c r="C75" s="409"/>
      <c r="D75" s="13"/>
      <c r="E75" s="13"/>
      <c r="F75" s="13"/>
      <c r="G75" s="13"/>
      <c r="H75" s="13"/>
      <c r="I75" s="13"/>
      <c r="J75" s="13"/>
      <c r="K75" s="13"/>
      <c r="L75" s="13"/>
      <c r="M75" s="13"/>
      <c r="N75" s="13"/>
      <c r="O75" s="13"/>
      <c r="P75" s="13"/>
      <c r="Q75" s="13"/>
      <c r="R75" s="13"/>
      <c r="S75" s="13"/>
      <c r="T75" s="13"/>
      <c r="U75" s="13"/>
      <c r="V75" s="13"/>
      <c r="W75" s="13"/>
      <c r="X75" s="13"/>
      <c r="Y75" s="13"/>
      <c r="Z75" s="13"/>
      <c r="AA75" s="13"/>
      <c r="AB75" s="13"/>
      <c r="AC75" s="13"/>
      <c r="AD75" s="13"/>
      <c r="AE75" s="13"/>
      <c r="AF75" s="13"/>
      <c r="AG75" s="13"/>
      <c r="AH75" s="13"/>
      <c r="AI75" s="13"/>
      <c r="AJ75" s="13"/>
      <c r="AK75" s="13"/>
      <c r="AL75" s="13"/>
      <c r="AM75" s="13"/>
      <c r="AN75" s="13"/>
      <c r="AO75" s="13"/>
      <c r="AP75" s="13"/>
      <c r="AQ75" s="13"/>
      <c r="AR75" s="13"/>
      <c r="AS75" s="13"/>
      <c r="AT75" s="13"/>
      <c r="AU75" s="13"/>
      <c r="AV75" s="13"/>
      <c r="AW75" s="13"/>
    </row>
    <row r="76" spans="1:49" s="12" customFormat="1" ht="15">
      <c r="A76" s="13"/>
      <c r="B76" s="409"/>
      <c r="C76" s="409"/>
      <c r="D76" s="13"/>
      <c r="E76" s="13"/>
      <c r="F76" s="13"/>
      <c r="G76" s="13"/>
      <c r="H76" s="13"/>
      <c r="I76" s="13"/>
      <c r="J76" s="13"/>
      <c r="K76" s="13"/>
      <c r="L76" s="13"/>
      <c r="M76" s="13"/>
      <c r="N76" s="13"/>
      <c r="O76" s="13"/>
      <c r="P76" s="13"/>
      <c r="Q76" s="13"/>
      <c r="R76" s="13"/>
      <c r="S76" s="13"/>
      <c r="T76" s="13"/>
      <c r="U76" s="13"/>
      <c r="V76" s="13"/>
      <c r="W76" s="13"/>
      <c r="X76" s="13"/>
      <c r="Y76" s="13"/>
      <c r="Z76" s="13"/>
      <c r="AA76" s="13"/>
      <c r="AB76" s="13"/>
      <c r="AC76" s="13"/>
      <c r="AD76" s="13"/>
      <c r="AE76" s="13"/>
      <c r="AF76" s="13"/>
      <c r="AG76" s="13"/>
      <c r="AH76" s="13"/>
      <c r="AI76" s="13"/>
      <c r="AJ76" s="13"/>
      <c r="AK76" s="13"/>
      <c r="AL76" s="13"/>
      <c r="AM76" s="13"/>
      <c r="AN76" s="13"/>
      <c r="AO76" s="13"/>
      <c r="AP76" s="13"/>
      <c r="AQ76" s="13"/>
      <c r="AR76" s="13"/>
      <c r="AS76" s="13"/>
      <c r="AT76" s="13"/>
      <c r="AU76" s="13"/>
      <c r="AV76" s="13"/>
      <c r="AW76" s="13"/>
    </row>
    <row r="77" spans="1:49" s="12" customFormat="1" ht="15">
      <c r="A77" s="13"/>
      <c r="B77" s="409"/>
      <c r="C77" s="409"/>
      <c r="D77" s="13"/>
      <c r="E77" s="13"/>
      <c r="F77" s="13"/>
      <c r="G77" s="13"/>
      <c r="H77" s="13"/>
      <c r="I77" s="13"/>
      <c r="J77" s="13"/>
      <c r="K77" s="13"/>
      <c r="L77" s="13"/>
      <c r="M77" s="13"/>
      <c r="N77" s="13"/>
      <c r="O77" s="13"/>
      <c r="P77" s="13"/>
      <c r="Q77" s="13"/>
      <c r="R77" s="13"/>
      <c r="S77" s="13"/>
      <c r="T77" s="13"/>
      <c r="U77" s="13"/>
      <c r="V77" s="13"/>
      <c r="W77" s="13"/>
      <c r="X77" s="13"/>
      <c r="Y77" s="13"/>
      <c r="Z77" s="13"/>
      <c r="AA77" s="13"/>
      <c r="AB77" s="13"/>
      <c r="AC77" s="13"/>
      <c r="AD77" s="13"/>
      <c r="AE77" s="13"/>
      <c r="AF77" s="13"/>
      <c r="AG77" s="13"/>
      <c r="AH77" s="13"/>
      <c r="AI77" s="13"/>
      <c r="AJ77" s="13"/>
      <c r="AK77" s="13"/>
      <c r="AL77" s="13"/>
      <c r="AM77" s="13"/>
      <c r="AN77" s="13"/>
      <c r="AO77" s="13"/>
      <c r="AP77" s="13"/>
      <c r="AQ77" s="13"/>
      <c r="AR77" s="13"/>
      <c r="AS77" s="13"/>
      <c r="AT77" s="13"/>
      <c r="AU77" s="13"/>
      <c r="AV77" s="13"/>
      <c r="AW77" s="13"/>
    </row>
    <row r="78" spans="1:49" s="12" customFormat="1" ht="15">
      <c r="A78" s="13"/>
      <c r="B78" s="409"/>
      <c r="C78" s="409"/>
      <c r="D78" s="13"/>
      <c r="E78" s="13"/>
      <c r="F78" s="13"/>
      <c r="G78" s="13"/>
      <c r="H78" s="13"/>
      <c r="I78" s="13"/>
      <c r="J78" s="13"/>
      <c r="K78" s="13"/>
      <c r="L78" s="13"/>
      <c r="M78" s="13"/>
      <c r="N78" s="13"/>
      <c r="O78" s="13"/>
      <c r="P78" s="13"/>
      <c r="Q78" s="13"/>
      <c r="R78" s="13"/>
      <c r="S78" s="13"/>
      <c r="T78" s="13"/>
      <c r="U78" s="13"/>
      <c r="V78" s="13"/>
      <c r="W78" s="13"/>
      <c r="X78" s="13"/>
      <c r="Y78" s="13"/>
      <c r="Z78" s="13"/>
      <c r="AA78" s="13"/>
      <c r="AB78" s="13"/>
      <c r="AC78" s="13"/>
      <c r="AD78" s="13"/>
      <c r="AE78" s="13"/>
      <c r="AF78" s="13"/>
      <c r="AG78" s="13"/>
      <c r="AH78" s="13"/>
      <c r="AI78" s="13"/>
      <c r="AJ78" s="13"/>
      <c r="AK78" s="13"/>
      <c r="AL78" s="13"/>
      <c r="AM78" s="13"/>
      <c r="AN78" s="13"/>
      <c r="AO78" s="13"/>
      <c r="AP78" s="13"/>
      <c r="AQ78" s="13"/>
      <c r="AR78" s="13"/>
      <c r="AS78" s="13"/>
      <c r="AT78" s="13"/>
      <c r="AU78" s="13"/>
      <c r="AV78" s="13"/>
      <c r="AW78" s="13"/>
    </row>
    <row r="79" spans="1:49" s="12" customFormat="1" ht="15">
      <c r="A79" s="13"/>
      <c r="B79" s="409"/>
      <c r="C79" s="409"/>
      <c r="D79" s="13"/>
      <c r="E79" s="13"/>
      <c r="F79" s="13"/>
      <c r="G79" s="13"/>
      <c r="H79" s="13"/>
      <c r="I79" s="13"/>
      <c r="J79" s="13"/>
      <c r="K79" s="13"/>
      <c r="L79" s="13"/>
      <c r="M79" s="13"/>
      <c r="N79" s="13"/>
      <c r="O79" s="13"/>
      <c r="P79" s="13"/>
      <c r="Q79" s="13"/>
      <c r="R79" s="13"/>
      <c r="S79" s="13"/>
      <c r="T79" s="13"/>
      <c r="U79" s="13"/>
      <c r="V79" s="13"/>
      <c r="W79" s="13"/>
      <c r="X79" s="13"/>
      <c r="Y79" s="13"/>
      <c r="Z79" s="13"/>
      <c r="AA79" s="13"/>
      <c r="AB79" s="13"/>
      <c r="AC79" s="13"/>
      <c r="AD79" s="13"/>
      <c r="AE79" s="13"/>
      <c r="AF79" s="13"/>
      <c r="AG79" s="13"/>
      <c r="AH79" s="13"/>
      <c r="AI79" s="13"/>
      <c r="AJ79" s="13"/>
      <c r="AK79" s="13"/>
      <c r="AL79" s="13"/>
      <c r="AM79" s="13"/>
      <c r="AN79" s="13"/>
      <c r="AO79" s="13"/>
      <c r="AP79" s="13"/>
      <c r="AQ79" s="13"/>
      <c r="AR79" s="13"/>
      <c r="AS79" s="13"/>
      <c r="AT79" s="13"/>
      <c r="AU79" s="13"/>
      <c r="AV79" s="13"/>
      <c r="AW79" s="13"/>
    </row>
    <row r="80" spans="1:49" s="12" customFormat="1" ht="15">
      <c r="A80" s="13"/>
      <c r="B80" s="409"/>
      <c r="C80" s="409"/>
      <c r="D80" s="13"/>
      <c r="E80" s="13"/>
      <c r="F80" s="13"/>
      <c r="G80" s="13"/>
      <c r="H80" s="13"/>
      <c r="I80" s="13"/>
      <c r="J80" s="13"/>
      <c r="K80" s="13"/>
      <c r="L80" s="13"/>
      <c r="M80" s="13"/>
      <c r="N80" s="13"/>
      <c r="O80" s="13"/>
      <c r="P80" s="13"/>
      <c r="Q80" s="13"/>
      <c r="R80" s="13"/>
      <c r="S80" s="13"/>
      <c r="T80" s="13"/>
      <c r="U80" s="13"/>
      <c r="V80" s="13"/>
      <c r="W80" s="13"/>
      <c r="X80" s="13"/>
      <c r="Y80" s="13"/>
      <c r="Z80" s="13"/>
      <c r="AA80" s="13"/>
      <c r="AB80" s="13"/>
      <c r="AC80" s="13"/>
      <c r="AD80" s="13"/>
      <c r="AE80" s="13"/>
      <c r="AF80" s="13"/>
      <c r="AG80" s="13"/>
      <c r="AH80" s="13"/>
      <c r="AI80" s="13"/>
      <c r="AJ80" s="13"/>
      <c r="AK80" s="13"/>
      <c r="AL80" s="13"/>
      <c r="AM80" s="13"/>
      <c r="AN80" s="13"/>
      <c r="AO80" s="13"/>
      <c r="AP80" s="13"/>
      <c r="AQ80" s="13"/>
      <c r="AR80" s="13"/>
      <c r="AS80" s="13"/>
      <c r="AT80" s="13"/>
      <c r="AU80" s="13"/>
      <c r="AV80" s="13"/>
      <c r="AW80" s="13"/>
    </row>
    <row r="81" spans="1:49" s="12" customFormat="1" ht="15">
      <c r="A81" s="13"/>
      <c r="B81" s="409"/>
      <c r="C81" s="409"/>
      <c r="D81" s="13"/>
      <c r="E81" s="13"/>
      <c r="F81" s="13"/>
      <c r="G81" s="13"/>
      <c r="H81" s="13"/>
      <c r="I81" s="13"/>
      <c r="J81" s="13"/>
      <c r="K81" s="13"/>
      <c r="L81" s="13"/>
      <c r="M81" s="13"/>
      <c r="N81" s="13"/>
      <c r="O81" s="13"/>
      <c r="P81" s="13"/>
      <c r="Q81" s="13"/>
      <c r="R81" s="13"/>
      <c r="S81" s="13"/>
      <c r="T81" s="13"/>
      <c r="U81" s="13"/>
      <c r="V81" s="13"/>
      <c r="W81" s="13"/>
      <c r="X81" s="13"/>
      <c r="Y81" s="13"/>
      <c r="Z81" s="13"/>
      <c r="AA81" s="13"/>
      <c r="AB81" s="13"/>
      <c r="AC81" s="13"/>
      <c r="AD81" s="13"/>
      <c r="AE81" s="13"/>
      <c r="AF81" s="13"/>
      <c r="AG81" s="13"/>
      <c r="AH81" s="13"/>
      <c r="AI81" s="13"/>
      <c r="AJ81" s="13"/>
      <c r="AK81" s="13"/>
      <c r="AL81" s="13"/>
      <c r="AM81" s="13"/>
      <c r="AN81" s="13"/>
      <c r="AO81" s="13"/>
      <c r="AP81" s="13"/>
      <c r="AQ81" s="13"/>
      <c r="AR81" s="13"/>
      <c r="AS81" s="13"/>
      <c r="AT81" s="13"/>
      <c r="AU81" s="13"/>
      <c r="AV81" s="13"/>
      <c r="AW81" s="13"/>
    </row>
    <row r="82" spans="1:49" s="12" customFormat="1" ht="15">
      <c r="A82" s="13"/>
      <c r="B82" s="409"/>
      <c r="C82" s="409"/>
      <c r="D82" s="13"/>
      <c r="E82" s="13"/>
      <c r="F82" s="13"/>
      <c r="G82" s="13"/>
      <c r="H82" s="13"/>
      <c r="I82" s="13"/>
      <c r="J82" s="13"/>
      <c r="K82" s="13"/>
      <c r="L82" s="13"/>
      <c r="M82" s="13"/>
      <c r="N82" s="13"/>
      <c r="O82" s="13"/>
      <c r="P82" s="13"/>
      <c r="Q82" s="13"/>
      <c r="R82" s="13"/>
      <c r="S82" s="13"/>
      <c r="T82" s="13"/>
      <c r="U82" s="13"/>
      <c r="V82" s="13"/>
      <c r="W82" s="13"/>
      <c r="X82" s="13"/>
      <c r="Y82" s="13"/>
      <c r="Z82" s="13"/>
      <c r="AA82" s="13"/>
      <c r="AB82" s="13"/>
      <c r="AC82" s="13"/>
      <c r="AD82" s="13"/>
      <c r="AE82" s="13"/>
      <c r="AF82" s="13"/>
      <c r="AG82" s="13"/>
      <c r="AH82" s="13"/>
      <c r="AI82" s="13"/>
      <c r="AJ82" s="13"/>
      <c r="AK82" s="13"/>
      <c r="AL82" s="13"/>
      <c r="AM82" s="13"/>
      <c r="AN82" s="13"/>
      <c r="AO82" s="13"/>
      <c r="AP82" s="13"/>
      <c r="AQ82" s="13"/>
      <c r="AR82" s="13"/>
      <c r="AS82" s="13"/>
      <c r="AT82" s="13"/>
      <c r="AU82" s="13"/>
      <c r="AV82" s="13"/>
      <c r="AW82" s="13"/>
    </row>
    <row r="83" spans="1:49" s="12" customFormat="1" ht="15">
      <c r="A83" s="13"/>
      <c r="B83" s="409"/>
      <c r="C83" s="409"/>
      <c r="D83" s="13"/>
      <c r="E83" s="13"/>
      <c r="F83" s="13"/>
      <c r="G83" s="13"/>
      <c r="H83" s="13"/>
      <c r="I83" s="13"/>
      <c r="J83" s="13"/>
      <c r="K83" s="13"/>
      <c r="L83" s="13"/>
      <c r="M83" s="13"/>
      <c r="N83" s="13"/>
      <c r="O83" s="13"/>
      <c r="P83" s="13"/>
      <c r="Q83" s="13"/>
      <c r="R83" s="13"/>
      <c r="S83" s="13"/>
      <c r="T83" s="13"/>
      <c r="U83" s="13"/>
      <c r="V83" s="13"/>
      <c r="W83" s="13"/>
      <c r="X83" s="13"/>
      <c r="Y83" s="13"/>
      <c r="Z83" s="13"/>
      <c r="AA83" s="13"/>
      <c r="AB83" s="13"/>
      <c r="AC83" s="13"/>
      <c r="AD83" s="13"/>
      <c r="AE83" s="13"/>
      <c r="AF83" s="13"/>
      <c r="AG83" s="13"/>
      <c r="AH83" s="13"/>
      <c r="AI83" s="13"/>
      <c r="AJ83" s="13"/>
      <c r="AK83" s="13"/>
      <c r="AL83" s="13"/>
      <c r="AM83" s="13"/>
      <c r="AN83" s="13"/>
      <c r="AO83" s="13"/>
      <c r="AP83" s="13"/>
      <c r="AQ83" s="13"/>
      <c r="AR83" s="13"/>
      <c r="AS83" s="13"/>
      <c r="AT83" s="13"/>
      <c r="AU83" s="13"/>
      <c r="AV83" s="13"/>
      <c r="AW83" s="13"/>
    </row>
    <row r="84" spans="1:49" s="12" customFormat="1" ht="15">
      <c r="A84" s="13"/>
      <c r="B84" s="409"/>
      <c r="C84" s="409"/>
      <c r="D84" s="13"/>
      <c r="E84" s="13"/>
      <c r="F84" s="13"/>
      <c r="G84" s="13"/>
      <c r="H84" s="13"/>
      <c r="I84" s="13"/>
      <c r="J84" s="13"/>
      <c r="K84" s="13"/>
      <c r="L84" s="13"/>
      <c r="M84" s="13"/>
      <c r="N84" s="13"/>
      <c r="O84" s="13"/>
      <c r="P84" s="13"/>
      <c r="Q84" s="13"/>
      <c r="R84" s="13"/>
      <c r="S84" s="13"/>
      <c r="T84" s="13"/>
      <c r="U84" s="13"/>
      <c r="V84" s="13"/>
      <c r="W84" s="13"/>
      <c r="X84" s="13"/>
      <c r="Y84" s="13"/>
      <c r="Z84" s="13"/>
      <c r="AA84" s="13"/>
      <c r="AB84" s="13"/>
      <c r="AC84" s="13"/>
      <c r="AD84" s="13"/>
      <c r="AE84" s="13"/>
      <c r="AF84" s="13"/>
      <c r="AG84" s="13"/>
      <c r="AH84" s="13"/>
      <c r="AI84" s="13"/>
      <c r="AJ84" s="13"/>
      <c r="AK84" s="13"/>
      <c r="AL84" s="13"/>
      <c r="AM84" s="13"/>
      <c r="AN84" s="13"/>
      <c r="AO84" s="13"/>
      <c r="AP84" s="13"/>
      <c r="AQ84" s="13"/>
      <c r="AR84" s="13"/>
      <c r="AS84" s="13"/>
      <c r="AT84" s="13"/>
      <c r="AU84" s="13"/>
      <c r="AV84" s="13"/>
      <c r="AW84" s="13"/>
    </row>
    <row r="85" spans="1:49" s="12" customFormat="1" ht="15">
      <c r="A85" s="13"/>
      <c r="B85" s="409"/>
      <c r="C85" s="409"/>
      <c r="D85" s="13"/>
      <c r="E85" s="13"/>
      <c r="F85" s="13"/>
      <c r="G85" s="13"/>
      <c r="H85" s="13"/>
      <c r="I85" s="13"/>
      <c r="J85" s="13"/>
      <c r="K85" s="13"/>
      <c r="L85" s="13"/>
      <c r="M85" s="13"/>
      <c r="N85" s="13"/>
      <c r="O85" s="13"/>
      <c r="P85" s="13"/>
      <c r="Q85" s="13"/>
      <c r="R85" s="13"/>
      <c r="S85" s="13"/>
      <c r="T85" s="13"/>
      <c r="U85" s="13"/>
      <c r="V85" s="13"/>
      <c r="W85" s="13"/>
      <c r="X85" s="13"/>
      <c r="Y85" s="13"/>
      <c r="Z85" s="13"/>
      <c r="AA85" s="13"/>
      <c r="AB85" s="13"/>
      <c r="AC85" s="13"/>
      <c r="AD85" s="13"/>
      <c r="AE85" s="13"/>
      <c r="AF85" s="13"/>
      <c r="AG85" s="13"/>
      <c r="AH85" s="13"/>
      <c r="AI85" s="13"/>
      <c r="AJ85" s="13"/>
      <c r="AK85" s="13"/>
      <c r="AL85" s="13"/>
      <c r="AM85" s="13"/>
      <c r="AN85" s="13"/>
      <c r="AO85" s="13"/>
      <c r="AP85" s="13"/>
      <c r="AQ85" s="13"/>
      <c r="AR85" s="13"/>
      <c r="AS85" s="13"/>
      <c r="AT85" s="13"/>
      <c r="AU85" s="13"/>
      <c r="AV85" s="13"/>
      <c r="AW85" s="13"/>
    </row>
    <row r="86" spans="1:49" s="12" customFormat="1" ht="15">
      <c r="A86" s="13"/>
      <c r="B86" s="409"/>
      <c r="C86" s="409"/>
      <c r="D86" s="13"/>
      <c r="E86" s="13"/>
      <c r="F86" s="13"/>
      <c r="G86" s="13"/>
      <c r="H86" s="13"/>
      <c r="I86" s="13"/>
      <c r="J86" s="13"/>
      <c r="K86" s="13"/>
      <c r="L86" s="13"/>
      <c r="M86" s="13"/>
      <c r="N86" s="13"/>
      <c r="O86" s="13"/>
      <c r="P86" s="13"/>
      <c r="Q86" s="13"/>
      <c r="R86" s="13"/>
      <c r="S86" s="13"/>
      <c r="T86" s="13"/>
      <c r="U86" s="13"/>
      <c r="V86" s="13"/>
      <c r="W86" s="13"/>
      <c r="X86" s="13"/>
      <c r="Y86" s="13"/>
      <c r="Z86" s="13"/>
      <c r="AA86" s="13"/>
      <c r="AB86" s="13"/>
      <c r="AC86" s="13"/>
      <c r="AD86" s="13"/>
      <c r="AE86" s="13"/>
      <c r="AF86" s="13"/>
      <c r="AG86" s="13"/>
      <c r="AH86" s="13"/>
      <c r="AI86" s="13"/>
      <c r="AJ86" s="13"/>
      <c r="AK86" s="13"/>
      <c r="AL86" s="13"/>
      <c r="AM86" s="13"/>
      <c r="AN86" s="13"/>
      <c r="AO86" s="13"/>
      <c r="AP86" s="13"/>
      <c r="AQ86" s="13"/>
      <c r="AR86" s="13"/>
      <c r="AS86" s="13"/>
      <c r="AT86" s="13"/>
      <c r="AU86" s="13"/>
      <c r="AV86" s="13"/>
      <c r="AW86" s="13"/>
    </row>
    <row r="87" spans="1:49" s="12" customFormat="1" ht="15">
      <c r="A87" s="13"/>
      <c r="B87" s="409"/>
      <c r="C87" s="409"/>
      <c r="D87" s="13"/>
      <c r="E87" s="13"/>
      <c r="F87" s="13"/>
      <c r="G87" s="13"/>
      <c r="H87" s="13"/>
      <c r="I87" s="13"/>
      <c r="J87" s="13"/>
      <c r="K87" s="13"/>
      <c r="L87" s="13"/>
      <c r="M87" s="13"/>
      <c r="N87" s="13"/>
      <c r="O87" s="13"/>
      <c r="P87" s="13"/>
      <c r="Q87" s="13"/>
      <c r="R87" s="13"/>
      <c r="S87" s="13"/>
      <c r="T87" s="13"/>
      <c r="U87" s="13"/>
      <c r="V87" s="13"/>
      <c r="W87" s="13"/>
      <c r="X87" s="13"/>
      <c r="Y87" s="13"/>
      <c r="Z87" s="13"/>
      <c r="AA87" s="13"/>
      <c r="AB87" s="13"/>
      <c r="AC87" s="13"/>
      <c r="AD87" s="13"/>
      <c r="AE87" s="13"/>
      <c r="AF87" s="13"/>
      <c r="AG87" s="13"/>
      <c r="AH87" s="13"/>
      <c r="AI87" s="13"/>
      <c r="AJ87" s="13"/>
      <c r="AK87" s="13"/>
      <c r="AL87" s="13"/>
      <c r="AM87" s="13"/>
      <c r="AN87" s="13"/>
      <c r="AO87" s="13"/>
      <c r="AP87" s="13"/>
      <c r="AQ87" s="13"/>
      <c r="AR87" s="13"/>
      <c r="AS87" s="13"/>
      <c r="AT87" s="13"/>
      <c r="AU87" s="13"/>
      <c r="AV87" s="13"/>
      <c r="AW87" s="13"/>
    </row>
    <row r="88" spans="1:49" s="12" customFormat="1" ht="15">
      <c r="A88" s="13"/>
      <c r="B88" s="409"/>
      <c r="C88" s="409"/>
      <c r="D88" s="13"/>
      <c r="E88" s="13"/>
      <c r="F88" s="13"/>
      <c r="G88" s="13"/>
      <c r="H88" s="13"/>
      <c r="I88" s="13"/>
      <c r="J88" s="13"/>
      <c r="K88" s="13"/>
      <c r="L88" s="13"/>
      <c r="M88" s="13"/>
      <c r="N88" s="13"/>
      <c r="O88" s="13"/>
      <c r="P88" s="13"/>
      <c r="Q88" s="13"/>
      <c r="R88" s="13"/>
      <c r="S88" s="13"/>
      <c r="T88" s="13"/>
      <c r="U88" s="13"/>
      <c r="V88" s="13"/>
      <c r="W88" s="13"/>
      <c r="X88" s="13"/>
      <c r="Y88" s="13"/>
      <c r="Z88" s="13"/>
      <c r="AA88" s="13"/>
      <c r="AB88" s="13"/>
      <c r="AC88" s="13"/>
      <c r="AD88" s="13"/>
      <c r="AE88" s="13"/>
      <c r="AF88" s="13"/>
      <c r="AG88" s="13"/>
      <c r="AH88" s="13"/>
      <c r="AI88" s="13"/>
      <c r="AJ88" s="13"/>
      <c r="AK88" s="13"/>
      <c r="AL88" s="13"/>
      <c r="AM88" s="13"/>
      <c r="AN88" s="13"/>
      <c r="AO88" s="13"/>
      <c r="AP88" s="13"/>
      <c r="AQ88" s="13"/>
      <c r="AR88" s="13"/>
      <c r="AS88" s="13"/>
      <c r="AT88" s="13"/>
      <c r="AU88" s="13"/>
      <c r="AV88" s="13"/>
      <c r="AW88" s="13"/>
    </row>
    <row r="89" spans="1:49" s="12" customFormat="1" ht="15">
      <c r="A89" s="13"/>
      <c r="B89" s="409"/>
      <c r="C89" s="409"/>
      <c r="D89" s="13"/>
      <c r="E89" s="13"/>
      <c r="F89" s="13"/>
      <c r="G89" s="13"/>
      <c r="H89" s="13"/>
      <c r="I89" s="13"/>
      <c r="J89" s="13"/>
      <c r="K89" s="13"/>
      <c r="L89" s="13"/>
      <c r="M89" s="13"/>
      <c r="N89" s="13"/>
      <c r="O89" s="13"/>
      <c r="P89" s="13"/>
      <c r="Q89" s="13"/>
      <c r="R89" s="13"/>
      <c r="S89" s="13"/>
      <c r="T89" s="13"/>
      <c r="U89" s="13"/>
      <c r="V89" s="13"/>
      <c r="W89" s="13"/>
      <c r="X89" s="13"/>
      <c r="Y89" s="13"/>
      <c r="Z89" s="13"/>
      <c r="AA89" s="13"/>
      <c r="AB89" s="13"/>
      <c r="AC89" s="13"/>
      <c r="AD89" s="13"/>
      <c r="AE89" s="13"/>
      <c r="AF89" s="13"/>
      <c r="AG89" s="13"/>
      <c r="AH89" s="13"/>
      <c r="AI89" s="13"/>
      <c r="AJ89" s="13"/>
      <c r="AK89" s="13"/>
      <c r="AL89" s="13"/>
      <c r="AM89" s="13"/>
      <c r="AN89" s="13"/>
      <c r="AO89" s="13"/>
      <c r="AP89" s="13"/>
      <c r="AQ89" s="13"/>
      <c r="AR89" s="13"/>
      <c r="AS89" s="13"/>
      <c r="AT89" s="13"/>
      <c r="AU89" s="13"/>
      <c r="AV89" s="13"/>
      <c r="AW89" s="13"/>
    </row>
    <row r="90" spans="1:49" s="12" customFormat="1" ht="15">
      <c r="A90" s="13"/>
      <c r="B90" s="409"/>
      <c r="C90" s="409"/>
      <c r="D90" s="13"/>
      <c r="E90" s="13"/>
      <c r="F90" s="13"/>
      <c r="G90" s="13"/>
      <c r="H90" s="13"/>
      <c r="I90" s="13"/>
      <c r="J90" s="13"/>
      <c r="K90" s="13"/>
      <c r="L90" s="13"/>
      <c r="M90" s="13"/>
      <c r="N90" s="13"/>
      <c r="O90" s="13"/>
      <c r="P90" s="13"/>
      <c r="Q90" s="13"/>
      <c r="R90" s="13"/>
      <c r="S90" s="13"/>
      <c r="T90" s="13"/>
      <c r="U90" s="13"/>
      <c r="V90" s="13"/>
      <c r="W90" s="13"/>
      <c r="X90" s="13"/>
      <c r="Y90" s="13"/>
      <c r="Z90" s="13"/>
      <c r="AA90" s="13"/>
      <c r="AB90" s="13"/>
      <c r="AC90" s="13"/>
      <c r="AD90" s="13"/>
      <c r="AE90" s="13"/>
      <c r="AF90" s="13"/>
      <c r="AG90" s="13"/>
      <c r="AH90" s="13"/>
      <c r="AI90" s="13"/>
      <c r="AJ90" s="13"/>
      <c r="AK90" s="13"/>
      <c r="AL90" s="13"/>
      <c r="AM90" s="13"/>
      <c r="AN90" s="13"/>
      <c r="AO90" s="13"/>
      <c r="AP90" s="13"/>
      <c r="AQ90" s="13"/>
      <c r="AR90" s="13"/>
      <c r="AS90" s="13"/>
      <c r="AT90" s="13"/>
      <c r="AU90" s="13"/>
      <c r="AV90" s="13"/>
      <c r="AW90" s="13"/>
    </row>
    <row r="91" spans="1:49" s="12" customFormat="1" ht="15">
      <c r="A91" s="13"/>
      <c r="B91" s="409"/>
      <c r="C91" s="409"/>
      <c r="D91" s="13"/>
      <c r="E91" s="13"/>
      <c r="F91" s="13"/>
      <c r="G91" s="13"/>
      <c r="H91" s="13"/>
      <c r="I91" s="13"/>
      <c r="J91" s="13"/>
      <c r="K91" s="13"/>
      <c r="L91" s="13"/>
      <c r="M91" s="13"/>
      <c r="N91" s="13"/>
      <c r="O91" s="13"/>
      <c r="P91" s="13"/>
      <c r="Q91" s="13"/>
      <c r="R91" s="13"/>
      <c r="S91" s="13"/>
      <c r="T91" s="13"/>
      <c r="U91" s="13"/>
      <c r="V91" s="13"/>
      <c r="W91" s="13"/>
      <c r="X91" s="13"/>
      <c r="Y91" s="13"/>
      <c r="Z91" s="13"/>
      <c r="AA91" s="13"/>
      <c r="AB91" s="13"/>
      <c r="AC91" s="13"/>
      <c r="AD91" s="13"/>
      <c r="AE91" s="13"/>
      <c r="AF91" s="13"/>
      <c r="AG91" s="13"/>
      <c r="AH91" s="13"/>
      <c r="AI91" s="13"/>
      <c r="AJ91" s="13"/>
      <c r="AK91" s="13"/>
      <c r="AL91" s="13"/>
      <c r="AM91" s="13"/>
      <c r="AN91" s="13"/>
      <c r="AO91" s="13"/>
      <c r="AP91" s="13"/>
      <c r="AQ91" s="13"/>
      <c r="AR91" s="13"/>
      <c r="AS91" s="13"/>
      <c r="AT91" s="13"/>
      <c r="AU91" s="13"/>
      <c r="AV91" s="13"/>
      <c r="AW91" s="13"/>
    </row>
    <row r="92" spans="1:49" s="12" customFormat="1" ht="15">
      <c r="A92" s="13"/>
      <c r="B92" s="409"/>
      <c r="C92" s="409"/>
      <c r="D92" s="13"/>
      <c r="E92" s="13"/>
      <c r="F92" s="13"/>
      <c r="G92" s="13"/>
      <c r="H92" s="13"/>
      <c r="I92" s="13"/>
      <c r="J92" s="13"/>
      <c r="K92" s="13"/>
      <c r="L92" s="13"/>
      <c r="M92" s="13"/>
      <c r="N92" s="13"/>
      <c r="O92" s="13"/>
      <c r="P92" s="13"/>
      <c r="Q92" s="13"/>
      <c r="R92" s="13"/>
      <c r="S92" s="13"/>
      <c r="T92" s="13"/>
      <c r="U92" s="13"/>
      <c r="V92" s="13"/>
      <c r="W92" s="13"/>
      <c r="X92" s="13"/>
      <c r="Y92" s="13"/>
      <c r="Z92" s="13"/>
      <c r="AA92" s="13"/>
      <c r="AB92" s="13"/>
      <c r="AC92" s="13"/>
      <c r="AD92" s="13"/>
      <c r="AE92" s="13"/>
      <c r="AF92" s="13"/>
      <c r="AG92" s="13"/>
      <c r="AH92" s="13"/>
      <c r="AI92" s="13"/>
      <c r="AJ92" s="13"/>
      <c r="AK92" s="13"/>
      <c r="AL92" s="13"/>
      <c r="AM92" s="13"/>
      <c r="AN92" s="13"/>
      <c r="AO92" s="13"/>
      <c r="AP92" s="13"/>
      <c r="AQ92" s="13"/>
      <c r="AR92" s="13"/>
      <c r="AS92" s="13"/>
      <c r="AT92" s="13"/>
      <c r="AU92" s="13"/>
      <c r="AV92" s="13"/>
      <c r="AW92" s="13"/>
    </row>
    <row r="93" spans="1:49" s="12" customFormat="1" ht="15">
      <c r="A93" s="13"/>
      <c r="B93" s="409"/>
      <c r="C93" s="409"/>
      <c r="D93" s="13"/>
      <c r="E93" s="13"/>
      <c r="F93" s="13"/>
      <c r="G93" s="13"/>
      <c r="H93" s="13"/>
      <c r="I93" s="13"/>
      <c r="J93" s="13"/>
      <c r="K93" s="13"/>
      <c r="L93" s="13"/>
      <c r="M93" s="13"/>
      <c r="N93" s="13"/>
      <c r="O93" s="13"/>
      <c r="P93" s="13"/>
      <c r="Q93" s="13"/>
      <c r="R93" s="13"/>
      <c r="S93" s="13"/>
      <c r="T93" s="13"/>
      <c r="U93" s="13"/>
      <c r="V93" s="13"/>
      <c r="W93" s="13"/>
      <c r="X93" s="13"/>
      <c r="Y93" s="13"/>
      <c r="Z93" s="13"/>
      <c r="AA93" s="13"/>
      <c r="AB93" s="13"/>
      <c r="AC93" s="13"/>
      <c r="AD93" s="13"/>
      <c r="AE93" s="13"/>
      <c r="AF93" s="13"/>
      <c r="AG93" s="13"/>
      <c r="AH93" s="13"/>
      <c r="AI93" s="13"/>
      <c r="AJ93" s="13"/>
      <c r="AK93" s="13"/>
      <c r="AL93" s="13"/>
      <c r="AM93" s="13"/>
      <c r="AN93" s="13"/>
      <c r="AO93" s="13"/>
      <c r="AP93" s="13"/>
      <c r="AQ93" s="13"/>
      <c r="AR93" s="13"/>
      <c r="AS93" s="13"/>
      <c r="AT93" s="13"/>
      <c r="AU93" s="13"/>
      <c r="AV93" s="13"/>
      <c r="AW93" s="13"/>
    </row>
    <row r="94" spans="1:49" s="12" customFormat="1" ht="15">
      <c r="A94" s="13"/>
      <c r="B94" s="409"/>
      <c r="C94" s="409"/>
      <c r="D94" s="13"/>
      <c r="E94" s="13"/>
      <c r="F94" s="13"/>
      <c r="G94" s="13"/>
      <c r="H94" s="13"/>
      <c r="I94" s="13"/>
      <c r="J94" s="13"/>
      <c r="K94" s="13"/>
      <c r="L94" s="13"/>
      <c r="M94" s="13"/>
      <c r="N94" s="13"/>
      <c r="O94" s="13"/>
      <c r="P94" s="13"/>
      <c r="Q94" s="13"/>
      <c r="R94" s="13"/>
      <c r="S94" s="13"/>
      <c r="T94" s="13"/>
      <c r="U94" s="13"/>
      <c r="V94" s="13"/>
      <c r="W94" s="13"/>
      <c r="X94" s="13"/>
      <c r="Y94" s="13"/>
      <c r="Z94" s="13"/>
      <c r="AA94" s="13"/>
      <c r="AB94" s="13"/>
      <c r="AC94" s="13"/>
      <c r="AD94" s="13"/>
      <c r="AE94" s="13"/>
      <c r="AF94" s="13"/>
      <c r="AG94" s="13"/>
      <c r="AH94" s="13"/>
      <c r="AI94" s="13"/>
      <c r="AJ94" s="13"/>
      <c r="AK94" s="13"/>
      <c r="AL94" s="13"/>
      <c r="AM94" s="13"/>
      <c r="AN94" s="13"/>
      <c r="AO94" s="13"/>
      <c r="AP94" s="13"/>
      <c r="AQ94" s="13"/>
      <c r="AR94" s="13"/>
      <c r="AS94" s="13"/>
      <c r="AT94" s="13"/>
      <c r="AU94" s="13"/>
      <c r="AV94" s="13"/>
      <c r="AW94" s="13"/>
    </row>
    <row r="95" spans="1:49" s="12" customFormat="1" ht="15">
      <c r="A95" s="13"/>
      <c r="B95" s="409"/>
      <c r="C95" s="409"/>
      <c r="D95" s="13"/>
      <c r="E95" s="13"/>
      <c r="F95" s="13"/>
      <c r="G95" s="13"/>
      <c r="H95" s="13"/>
      <c r="I95" s="13"/>
      <c r="J95" s="13"/>
      <c r="K95" s="13"/>
      <c r="L95" s="13"/>
      <c r="M95" s="13"/>
      <c r="N95" s="13"/>
      <c r="O95" s="13"/>
      <c r="P95" s="13"/>
      <c r="Q95" s="13"/>
      <c r="R95" s="13"/>
      <c r="S95" s="13"/>
      <c r="T95" s="13"/>
      <c r="U95" s="13"/>
      <c r="V95" s="13"/>
      <c r="W95" s="13"/>
      <c r="X95" s="13"/>
      <c r="Y95" s="13"/>
      <c r="Z95" s="13"/>
      <c r="AA95" s="13"/>
      <c r="AB95" s="13"/>
      <c r="AC95" s="13"/>
      <c r="AD95" s="13"/>
      <c r="AE95" s="13"/>
      <c r="AF95" s="13"/>
      <c r="AG95" s="13"/>
      <c r="AH95" s="13"/>
      <c r="AI95" s="13"/>
      <c r="AJ95" s="13"/>
      <c r="AK95" s="13"/>
      <c r="AL95" s="13"/>
      <c r="AM95" s="13"/>
      <c r="AN95" s="13"/>
      <c r="AO95" s="13"/>
      <c r="AP95" s="13"/>
      <c r="AQ95" s="13"/>
      <c r="AR95" s="13"/>
      <c r="AS95" s="13"/>
      <c r="AT95" s="13"/>
      <c r="AU95" s="13"/>
      <c r="AV95" s="13"/>
      <c r="AW95" s="13"/>
    </row>
    <row r="96" spans="1:49" s="12" customFormat="1" ht="15">
      <c r="A96" s="13"/>
      <c r="B96" s="409"/>
      <c r="C96" s="409"/>
      <c r="D96" s="13"/>
      <c r="E96" s="13"/>
      <c r="F96" s="13"/>
      <c r="G96" s="13"/>
      <c r="H96" s="13"/>
      <c r="I96" s="13"/>
      <c r="J96" s="13"/>
      <c r="K96" s="13"/>
      <c r="L96" s="13"/>
      <c r="M96" s="13"/>
      <c r="N96" s="13"/>
      <c r="O96" s="13"/>
      <c r="P96" s="13"/>
      <c r="Q96" s="13"/>
      <c r="R96" s="13"/>
      <c r="S96" s="13"/>
      <c r="T96" s="13"/>
      <c r="U96" s="13"/>
      <c r="V96" s="13"/>
      <c r="W96" s="13"/>
      <c r="X96" s="13"/>
      <c r="Y96" s="13"/>
      <c r="Z96" s="13"/>
      <c r="AA96" s="13"/>
      <c r="AB96" s="13"/>
      <c r="AC96" s="13"/>
      <c r="AD96" s="13"/>
      <c r="AE96" s="13"/>
      <c r="AF96" s="13"/>
      <c r="AG96" s="13"/>
      <c r="AH96" s="13"/>
      <c r="AI96" s="13"/>
      <c r="AJ96" s="13"/>
      <c r="AK96" s="13"/>
      <c r="AL96" s="13"/>
      <c r="AM96" s="13"/>
      <c r="AN96" s="13"/>
      <c r="AO96" s="13"/>
      <c r="AP96" s="13"/>
      <c r="AQ96" s="13"/>
      <c r="AR96" s="13"/>
      <c r="AS96" s="13"/>
      <c r="AT96" s="13"/>
      <c r="AU96" s="13"/>
      <c r="AV96" s="13"/>
      <c r="AW96" s="13"/>
    </row>
    <row r="97" spans="1:49" s="12" customFormat="1" ht="15">
      <c r="A97" s="13"/>
      <c r="B97" s="409"/>
      <c r="C97" s="409"/>
      <c r="D97" s="13"/>
      <c r="E97" s="13"/>
      <c r="F97" s="13"/>
      <c r="G97" s="13"/>
      <c r="H97" s="13"/>
      <c r="I97" s="13"/>
      <c r="J97" s="13"/>
      <c r="K97" s="13"/>
      <c r="L97" s="13"/>
      <c r="M97" s="13"/>
      <c r="N97" s="13"/>
      <c r="O97" s="13"/>
      <c r="P97" s="13"/>
      <c r="Q97" s="13"/>
      <c r="R97" s="13"/>
      <c r="S97" s="13"/>
      <c r="T97" s="13"/>
      <c r="U97" s="13"/>
      <c r="V97" s="13"/>
      <c r="W97" s="13"/>
      <c r="X97" s="13"/>
      <c r="Y97" s="13"/>
      <c r="Z97" s="13"/>
      <c r="AA97" s="13"/>
      <c r="AB97" s="13"/>
      <c r="AC97" s="13"/>
      <c r="AD97" s="13"/>
      <c r="AE97" s="13"/>
      <c r="AF97" s="13"/>
      <c r="AG97" s="13"/>
      <c r="AH97" s="13"/>
      <c r="AI97" s="13"/>
      <c r="AJ97" s="13"/>
      <c r="AK97" s="13"/>
      <c r="AL97" s="13"/>
      <c r="AM97" s="13"/>
      <c r="AN97" s="13"/>
      <c r="AO97" s="13"/>
      <c r="AP97" s="13"/>
      <c r="AQ97" s="13"/>
      <c r="AR97" s="13"/>
      <c r="AS97" s="13"/>
      <c r="AT97" s="13"/>
      <c r="AU97" s="13"/>
      <c r="AV97" s="13"/>
      <c r="AW97" s="13"/>
    </row>
    <row r="98" spans="1:49" s="12" customFormat="1" ht="15">
      <c r="A98" s="13"/>
      <c r="B98" s="409"/>
      <c r="C98" s="409"/>
      <c r="D98" s="13"/>
      <c r="E98" s="13"/>
      <c r="F98" s="13"/>
      <c r="G98" s="13"/>
      <c r="H98" s="13"/>
      <c r="I98" s="13"/>
      <c r="J98" s="13"/>
      <c r="K98" s="13"/>
      <c r="L98" s="13"/>
      <c r="M98" s="13"/>
      <c r="N98" s="13"/>
      <c r="O98" s="13"/>
      <c r="P98" s="13"/>
      <c r="Q98" s="13"/>
      <c r="R98" s="13"/>
      <c r="S98" s="13"/>
      <c r="T98" s="13"/>
      <c r="U98" s="13"/>
      <c r="V98" s="13"/>
      <c r="W98" s="13"/>
      <c r="X98" s="13"/>
      <c r="Y98" s="13"/>
      <c r="Z98" s="13"/>
      <c r="AA98" s="13"/>
      <c r="AB98" s="13"/>
      <c r="AC98" s="13"/>
      <c r="AD98" s="13"/>
      <c r="AE98" s="13"/>
      <c r="AF98" s="13"/>
      <c r="AG98" s="13"/>
      <c r="AH98" s="13"/>
      <c r="AI98" s="13"/>
      <c r="AJ98" s="13"/>
      <c r="AK98" s="13"/>
      <c r="AL98" s="13"/>
      <c r="AM98" s="13"/>
      <c r="AN98" s="13"/>
      <c r="AO98" s="13"/>
      <c r="AP98" s="13"/>
      <c r="AQ98" s="13"/>
      <c r="AR98" s="13"/>
      <c r="AS98" s="13"/>
      <c r="AT98" s="13"/>
      <c r="AU98" s="13"/>
      <c r="AV98" s="13"/>
      <c r="AW98" s="13"/>
    </row>
    <row r="99" spans="1:49" s="12" customFormat="1" ht="15">
      <c r="A99" s="13"/>
      <c r="B99" s="409"/>
      <c r="C99" s="409"/>
      <c r="D99" s="13"/>
      <c r="E99" s="13"/>
      <c r="F99" s="13"/>
      <c r="G99" s="13"/>
      <c r="H99" s="13"/>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13"/>
      <c r="AH99" s="13"/>
      <c r="AI99" s="13"/>
      <c r="AJ99" s="13"/>
      <c r="AK99" s="13"/>
      <c r="AL99" s="13"/>
      <c r="AM99" s="13"/>
      <c r="AN99" s="13"/>
      <c r="AO99" s="13"/>
      <c r="AP99" s="13"/>
      <c r="AQ99" s="13"/>
      <c r="AR99" s="13"/>
      <c r="AS99" s="13"/>
      <c r="AT99" s="13"/>
      <c r="AU99" s="13"/>
      <c r="AV99" s="13"/>
      <c r="AW99" s="13"/>
    </row>
    <row r="100" spans="1:49" s="12" customFormat="1" ht="15">
      <c r="A100" s="13"/>
      <c r="B100" s="409"/>
      <c r="C100" s="409"/>
      <c r="D100" s="13"/>
      <c r="E100" s="13"/>
      <c r="F100" s="13"/>
      <c r="G100" s="13"/>
      <c r="H100" s="13"/>
      <c r="I100" s="13"/>
      <c r="J100" s="13"/>
      <c r="K100" s="13"/>
      <c r="L100" s="13"/>
      <c r="M100" s="13"/>
      <c r="N100" s="13"/>
      <c r="O100" s="13"/>
      <c r="P100" s="13"/>
      <c r="Q100" s="13"/>
      <c r="R100" s="13"/>
      <c r="S100" s="13"/>
      <c r="T100" s="13"/>
      <c r="U100" s="13"/>
      <c r="V100" s="13"/>
      <c r="W100" s="13"/>
      <c r="X100" s="13"/>
      <c r="Y100" s="13"/>
      <c r="Z100" s="13"/>
      <c r="AA100" s="13"/>
      <c r="AB100" s="13"/>
      <c r="AC100" s="13"/>
      <c r="AD100" s="13"/>
      <c r="AE100" s="13"/>
      <c r="AF100" s="13"/>
      <c r="AG100" s="13"/>
      <c r="AH100" s="13"/>
      <c r="AI100" s="13"/>
      <c r="AJ100" s="13"/>
      <c r="AK100" s="13"/>
      <c r="AL100" s="13"/>
      <c r="AM100" s="13"/>
      <c r="AN100" s="13"/>
      <c r="AO100" s="13"/>
      <c r="AP100" s="13"/>
      <c r="AQ100" s="13"/>
      <c r="AR100" s="13"/>
      <c r="AS100" s="13"/>
      <c r="AT100" s="13"/>
      <c r="AU100" s="13"/>
      <c r="AV100" s="13"/>
      <c r="AW100" s="13"/>
    </row>
    <row r="101" spans="1:49" s="12" customFormat="1" ht="15">
      <c r="A101" s="13"/>
      <c r="B101" s="409"/>
      <c r="C101" s="409"/>
      <c r="D101" s="13"/>
      <c r="E101" s="13"/>
      <c r="F101" s="13"/>
      <c r="G101" s="13"/>
      <c r="H101" s="13"/>
      <c r="I101" s="13"/>
      <c r="J101" s="13"/>
      <c r="K101" s="13"/>
      <c r="L101" s="13"/>
      <c r="M101" s="13"/>
      <c r="N101" s="13"/>
      <c r="O101" s="13"/>
      <c r="P101" s="13"/>
      <c r="Q101" s="13"/>
      <c r="R101" s="13"/>
      <c r="S101" s="13"/>
      <c r="T101" s="13"/>
      <c r="U101" s="13"/>
      <c r="V101" s="13"/>
      <c r="W101" s="13"/>
      <c r="X101" s="13"/>
      <c r="Y101" s="13"/>
      <c r="Z101" s="13"/>
      <c r="AA101" s="13"/>
      <c r="AB101" s="13"/>
      <c r="AC101" s="13"/>
      <c r="AD101" s="13"/>
      <c r="AE101" s="13"/>
      <c r="AF101" s="13"/>
      <c r="AG101" s="13"/>
      <c r="AH101" s="13"/>
      <c r="AI101" s="13"/>
      <c r="AJ101" s="13"/>
      <c r="AK101" s="13"/>
      <c r="AL101" s="13"/>
      <c r="AM101" s="13"/>
      <c r="AN101" s="13"/>
      <c r="AO101" s="13"/>
      <c r="AP101" s="13"/>
      <c r="AQ101" s="13"/>
      <c r="AR101" s="13"/>
      <c r="AS101" s="13"/>
      <c r="AT101" s="13"/>
      <c r="AU101" s="13"/>
      <c r="AV101" s="13"/>
      <c r="AW101" s="13"/>
    </row>
    <row r="102" spans="1:49" s="12" customFormat="1" ht="15">
      <c r="A102" s="13"/>
      <c r="B102" s="409"/>
      <c r="C102" s="409"/>
      <c r="D102" s="13"/>
      <c r="E102" s="13"/>
      <c r="F102" s="13"/>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row>
    <row r="103" spans="1:49" s="12" customFormat="1" ht="15">
      <c r="A103" s="13"/>
      <c r="B103" s="409"/>
      <c r="C103" s="409"/>
      <c r="D103" s="13"/>
      <c r="E103" s="13"/>
      <c r="F103" s="13"/>
      <c r="G103" s="13"/>
      <c r="H103" s="13"/>
      <c r="I103" s="13"/>
      <c r="J103" s="13"/>
      <c r="K103" s="13"/>
      <c r="L103" s="13"/>
      <c r="M103" s="13"/>
      <c r="N103" s="13"/>
      <c r="O103" s="13"/>
      <c r="P103" s="13"/>
      <c r="Q103" s="13"/>
      <c r="R103" s="13"/>
      <c r="S103" s="13"/>
      <c r="T103" s="13"/>
      <c r="U103" s="13"/>
      <c r="V103" s="13"/>
      <c r="W103" s="13"/>
      <c r="X103" s="13"/>
      <c r="Y103" s="13"/>
      <c r="Z103" s="13"/>
      <c r="AA103" s="13"/>
      <c r="AB103" s="13"/>
      <c r="AC103" s="13"/>
      <c r="AD103" s="13"/>
      <c r="AE103" s="13"/>
      <c r="AF103" s="13"/>
      <c r="AG103" s="13"/>
      <c r="AH103" s="13"/>
      <c r="AI103" s="13"/>
      <c r="AJ103" s="13"/>
      <c r="AK103" s="13"/>
      <c r="AL103" s="13"/>
      <c r="AM103" s="13"/>
      <c r="AN103" s="13"/>
      <c r="AO103" s="13"/>
      <c r="AP103" s="13"/>
      <c r="AQ103" s="13"/>
      <c r="AR103" s="13"/>
      <c r="AS103" s="13"/>
      <c r="AT103" s="13"/>
      <c r="AU103" s="13"/>
      <c r="AV103" s="13"/>
      <c r="AW103" s="13"/>
    </row>
    <row r="104" spans="1:49" s="12" customFormat="1" ht="15">
      <c r="A104" s="13"/>
      <c r="B104" s="409"/>
      <c r="C104" s="409"/>
      <c r="D104" s="13"/>
      <c r="E104" s="13"/>
      <c r="F104" s="13"/>
      <c r="G104" s="13"/>
      <c r="H104" s="13"/>
      <c r="I104" s="13"/>
      <c r="J104" s="13"/>
      <c r="K104" s="13"/>
      <c r="L104" s="13"/>
      <c r="M104" s="13"/>
      <c r="N104" s="13"/>
      <c r="O104" s="13"/>
      <c r="P104" s="13"/>
      <c r="Q104" s="13"/>
      <c r="R104" s="13"/>
      <c r="S104" s="13"/>
      <c r="T104" s="13"/>
      <c r="U104" s="13"/>
      <c r="V104" s="13"/>
      <c r="W104" s="13"/>
      <c r="X104" s="13"/>
      <c r="Y104" s="13"/>
      <c r="Z104" s="13"/>
      <c r="AA104" s="13"/>
      <c r="AB104" s="13"/>
      <c r="AC104" s="13"/>
      <c r="AD104" s="13"/>
      <c r="AE104" s="13"/>
      <c r="AF104" s="13"/>
      <c r="AG104" s="13"/>
      <c r="AH104" s="13"/>
      <c r="AI104" s="13"/>
      <c r="AJ104" s="13"/>
      <c r="AK104" s="13"/>
      <c r="AL104" s="13"/>
      <c r="AM104" s="13"/>
      <c r="AN104" s="13"/>
      <c r="AO104" s="13"/>
      <c r="AP104" s="13"/>
      <c r="AQ104" s="13"/>
      <c r="AR104" s="13"/>
      <c r="AS104" s="13"/>
      <c r="AT104" s="13"/>
      <c r="AU104" s="13"/>
      <c r="AV104" s="13"/>
      <c r="AW104" s="13"/>
    </row>
    <row r="105" spans="1:49" s="12" customFormat="1" ht="15">
      <c r="A105" s="13"/>
      <c r="B105" s="409"/>
      <c r="C105" s="409"/>
      <c r="D105" s="13"/>
      <c r="E105" s="13"/>
      <c r="F105" s="13"/>
      <c r="G105" s="13"/>
      <c r="H105" s="13"/>
      <c r="I105" s="13"/>
      <c r="J105" s="13"/>
      <c r="K105" s="13"/>
      <c r="L105" s="13"/>
      <c r="M105" s="13"/>
      <c r="N105" s="13"/>
      <c r="O105" s="13"/>
      <c r="P105" s="13"/>
      <c r="Q105" s="13"/>
      <c r="R105" s="13"/>
      <c r="S105" s="13"/>
      <c r="T105" s="13"/>
      <c r="U105" s="13"/>
      <c r="V105" s="13"/>
      <c r="W105" s="13"/>
      <c r="X105" s="13"/>
      <c r="Y105" s="13"/>
      <c r="Z105" s="13"/>
      <c r="AA105" s="13"/>
      <c r="AB105" s="13"/>
      <c r="AC105" s="13"/>
      <c r="AD105" s="13"/>
      <c r="AE105" s="13"/>
      <c r="AF105" s="13"/>
      <c r="AG105" s="13"/>
      <c r="AH105" s="13"/>
      <c r="AI105" s="13"/>
      <c r="AJ105" s="13"/>
      <c r="AK105" s="13"/>
      <c r="AL105" s="13"/>
      <c r="AM105" s="13"/>
      <c r="AN105" s="13"/>
      <c r="AO105" s="13"/>
      <c r="AP105" s="13"/>
      <c r="AQ105" s="13"/>
      <c r="AR105" s="13"/>
      <c r="AS105" s="13"/>
      <c r="AT105" s="13"/>
      <c r="AU105" s="13"/>
      <c r="AV105" s="13"/>
      <c r="AW105" s="13"/>
    </row>
    <row r="106" spans="1:49" s="12" customFormat="1" ht="15">
      <c r="A106" s="13"/>
      <c r="B106" s="409"/>
      <c r="C106" s="409"/>
      <c r="D106" s="13"/>
      <c r="E106" s="13"/>
      <c r="F106" s="13"/>
      <c r="G106" s="13"/>
      <c r="H106" s="13"/>
      <c r="I106" s="13"/>
      <c r="J106" s="13"/>
      <c r="K106" s="13"/>
      <c r="L106" s="13"/>
      <c r="M106" s="13"/>
      <c r="N106" s="13"/>
      <c r="O106" s="13"/>
      <c r="P106" s="13"/>
      <c r="Q106" s="13"/>
      <c r="R106" s="13"/>
      <c r="S106" s="13"/>
      <c r="T106" s="13"/>
      <c r="U106" s="13"/>
      <c r="V106" s="13"/>
      <c r="W106" s="13"/>
      <c r="X106" s="13"/>
      <c r="Y106" s="13"/>
      <c r="Z106" s="13"/>
      <c r="AA106" s="13"/>
      <c r="AB106" s="13"/>
      <c r="AC106" s="13"/>
      <c r="AD106" s="13"/>
      <c r="AE106" s="13"/>
      <c r="AF106" s="13"/>
      <c r="AG106" s="13"/>
      <c r="AH106" s="13"/>
      <c r="AI106" s="13"/>
      <c r="AJ106" s="13"/>
      <c r="AK106" s="13"/>
      <c r="AL106" s="13"/>
      <c r="AM106" s="13"/>
      <c r="AN106" s="13"/>
      <c r="AO106" s="13"/>
      <c r="AP106" s="13"/>
      <c r="AQ106" s="13"/>
      <c r="AR106" s="13"/>
      <c r="AS106" s="13"/>
      <c r="AT106" s="13"/>
      <c r="AU106" s="13"/>
      <c r="AV106" s="13"/>
      <c r="AW106" s="13"/>
    </row>
    <row r="107" spans="1:49" s="12" customFormat="1" ht="15">
      <c r="A107" s="13"/>
      <c r="B107" s="409"/>
      <c r="C107" s="409"/>
      <c r="D107" s="13"/>
      <c r="E107" s="13"/>
      <c r="F107" s="13"/>
      <c r="G107" s="13"/>
      <c r="H107" s="13"/>
      <c r="I107" s="13"/>
      <c r="J107" s="13"/>
      <c r="K107" s="13"/>
      <c r="L107" s="13"/>
      <c r="M107" s="13"/>
      <c r="N107" s="13"/>
      <c r="O107" s="13"/>
      <c r="P107" s="13"/>
      <c r="Q107" s="13"/>
      <c r="R107" s="13"/>
      <c r="S107" s="13"/>
      <c r="T107" s="13"/>
      <c r="U107" s="13"/>
      <c r="V107" s="13"/>
      <c r="W107" s="13"/>
      <c r="X107" s="13"/>
      <c r="Y107" s="13"/>
      <c r="Z107" s="13"/>
      <c r="AA107" s="13"/>
      <c r="AB107" s="13"/>
      <c r="AC107" s="13"/>
      <c r="AD107" s="13"/>
      <c r="AE107" s="13"/>
      <c r="AF107" s="13"/>
      <c r="AG107" s="13"/>
      <c r="AH107" s="13"/>
      <c r="AI107" s="13"/>
      <c r="AJ107" s="13"/>
      <c r="AK107" s="13"/>
      <c r="AL107" s="13"/>
      <c r="AM107" s="13"/>
      <c r="AN107" s="13"/>
      <c r="AO107" s="13"/>
      <c r="AP107" s="13"/>
      <c r="AQ107" s="13"/>
      <c r="AR107" s="13"/>
      <c r="AS107" s="13"/>
      <c r="AT107" s="13"/>
      <c r="AU107" s="13"/>
      <c r="AV107" s="13"/>
      <c r="AW107" s="13"/>
    </row>
    <row r="108" spans="1:49" s="12" customFormat="1" ht="15">
      <c r="A108" s="13"/>
      <c r="B108" s="409"/>
      <c r="C108" s="409"/>
      <c r="D108" s="13"/>
      <c r="E108" s="13"/>
      <c r="F108" s="13"/>
      <c r="G108" s="13"/>
      <c r="H108" s="13"/>
      <c r="I108" s="13"/>
      <c r="J108" s="13"/>
      <c r="K108" s="13"/>
      <c r="L108" s="13"/>
      <c r="M108" s="13"/>
      <c r="N108" s="13"/>
      <c r="O108" s="13"/>
      <c r="P108" s="13"/>
      <c r="Q108" s="13"/>
      <c r="R108" s="13"/>
      <c r="S108" s="13"/>
      <c r="T108" s="13"/>
      <c r="U108" s="13"/>
      <c r="V108" s="13"/>
      <c r="W108" s="13"/>
      <c r="X108" s="13"/>
      <c r="Y108" s="13"/>
      <c r="Z108" s="13"/>
      <c r="AA108" s="13"/>
      <c r="AB108" s="13"/>
      <c r="AC108" s="13"/>
      <c r="AD108" s="13"/>
      <c r="AE108" s="13"/>
      <c r="AF108" s="13"/>
      <c r="AG108" s="13"/>
      <c r="AH108" s="13"/>
      <c r="AI108" s="13"/>
      <c r="AJ108" s="13"/>
      <c r="AK108" s="13"/>
      <c r="AL108" s="13"/>
      <c r="AM108" s="13"/>
      <c r="AN108" s="13"/>
      <c r="AO108" s="13"/>
      <c r="AP108" s="13"/>
      <c r="AQ108" s="13"/>
      <c r="AR108" s="13"/>
      <c r="AS108" s="13"/>
      <c r="AT108" s="13"/>
      <c r="AU108" s="13"/>
      <c r="AV108" s="13"/>
      <c r="AW108" s="13"/>
    </row>
    <row r="109" spans="1:49" s="12" customFormat="1" ht="15">
      <c r="A109" s="13"/>
      <c r="B109" s="409"/>
      <c r="C109" s="409"/>
      <c r="D109" s="13"/>
      <c r="E109" s="13"/>
      <c r="F109" s="13"/>
      <c r="G109" s="13"/>
      <c r="H109" s="13"/>
      <c r="I109" s="13"/>
      <c r="J109" s="13"/>
      <c r="K109" s="13"/>
      <c r="L109" s="13"/>
      <c r="M109" s="13"/>
      <c r="N109" s="13"/>
      <c r="O109" s="13"/>
      <c r="P109" s="13"/>
      <c r="Q109" s="13"/>
      <c r="R109" s="13"/>
      <c r="S109" s="13"/>
      <c r="T109" s="13"/>
      <c r="U109" s="13"/>
      <c r="V109" s="13"/>
      <c r="W109" s="13"/>
      <c r="X109" s="13"/>
      <c r="Y109" s="13"/>
      <c r="Z109" s="13"/>
      <c r="AA109" s="13"/>
      <c r="AB109" s="13"/>
      <c r="AC109" s="13"/>
      <c r="AD109" s="13"/>
      <c r="AE109" s="13"/>
      <c r="AF109" s="13"/>
      <c r="AG109" s="13"/>
      <c r="AH109" s="13"/>
      <c r="AI109" s="13"/>
      <c r="AJ109" s="13"/>
      <c r="AK109" s="13"/>
      <c r="AL109" s="13"/>
      <c r="AM109" s="13"/>
      <c r="AN109" s="13"/>
      <c r="AO109" s="13"/>
      <c r="AP109" s="13"/>
      <c r="AQ109" s="13"/>
      <c r="AR109" s="13"/>
      <c r="AS109" s="13"/>
      <c r="AT109" s="13"/>
      <c r="AU109" s="13"/>
      <c r="AV109" s="13"/>
      <c r="AW109" s="13"/>
    </row>
    <row r="110" spans="1:49" s="12" customFormat="1" ht="15">
      <c r="A110" s="13"/>
      <c r="B110" s="409"/>
      <c r="C110" s="409"/>
      <c r="D110" s="13"/>
      <c r="E110" s="13"/>
      <c r="F110" s="13"/>
      <c r="G110" s="13"/>
      <c r="H110" s="13"/>
      <c r="I110" s="13"/>
      <c r="J110" s="13"/>
      <c r="K110" s="13"/>
      <c r="L110" s="13"/>
      <c r="M110" s="13"/>
      <c r="N110" s="13"/>
      <c r="O110" s="13"/>
      <c r="P110" s="13"/>
      <c r="Q110" s="13"/>
      <c r="R110" s="13"/>
      <c r="S110" s="13"/>
      <c r="T110" s="13"/>
      <c r="U110" s="13"/>
      <c r="V110" s="13"/>
      <c r="W110" s="13"/>
      <c r="X110" s="13"/>
      <c r="Y110" s="13"/>
      <c r="Z110" s="13"/>
      <c r="AA110" s="13"/>
      <c r="AB110" s="13"/>
      <c r="AC110" s="13"/>
      <c r="AD110" s="13"/>
      <c r="AE110" s="13"/>
      <c r="AF110" s="13"/>
      <c r="AG110" s="13"/>
      <c r="AH110" s="13"/>
      <c r="AI110" s="13"/>
      <c r="AJ110" s="13"/>
      <c r="AK110" s="13"/>
      <c r="AL110" s="13"/>
      <c r="AM110" s="13"/>
      <c r="AN110" s="13"/>
      <c r="AO110" s="13"/>
      <c r="AP110" s="13"/>
      <c r="AQ110" s="13"/>
      <c r="AR110" s="13"/>
      <c r="AS110" s="13"/>
      <c r="AT110" s="13"/>
      <c r="AU110" s="13"/>
      <c r="AV110" s="13"/>
      <c r="AW110" s="13"/>
    </row>
    <row r="111" spans="1:49" s="12" customFormat="1" ht="15">
      <c r="A111" s="13"/>
      <c r="B111" s="409"/>
      <c r="C111" s="409"/>
      <c r="D111" s="13"/>
      <c r="E111" s="13"/>
      <c r="F111" s="13"/>
      <c r="G111" s="13"/>
      <c r="H111" s="13"/>
      <c r="I111" s="13"/>
      <c r="J111" s="13"/>
      <c r="K111" s="13"/>
      <c r="L111" s="13"/>
      <c r="M111" s="13"/>
      <c r="N111" s="13"/>
      <c r="O111" s="13"/>
      <c r="P111" s="13"/>
      <c r="Q111" s="13"/>
      <c r="R111" s="13"/>
      <c r="S111" s="13"/>
      <c r="T111" s="13"/>
      <c r="U111" s="13"/>
      <c r="V111" s="13"/>
      <c r="W111" s="13"/>
      <c r="X111" s="13"/>
      <c r="Y111" s="13"/>
      <c r="Z111" s="13"/>
      <c r="AA111" s="13"/>
      <c r="AB111" s="13"/>
      <c r="AC111" s="13"/>
      <c r="AD111" s="13"/>
      <c r="AE111" s="13"/>
      <c r="AF111" s="13"/>
      <c r="AG111" s="13"/>
      <c r="AH111" s="13"/>
      <c r="AI111" s="13"/>
      <c r="AJ111" s="13"/>
      <c r="AK111" s="13"/>
      <c r="AL111" s="13"/>
      <c r="AM111" s="13"/>
      <c r="AN111" s="13"/>
      <c r="AO111" s="13"/>
      <c r="AP111" s="13"/>
      <c r="AQ111" s="13"/>
      <c r="AR111" s="13"/>
      <c r="AS111" s="13"/>
      <c r="AT111" s="13"/>
      <c r="AU111" s="13"/>
      <c r="AV111" s="13"/>
      <c r="AW111" s="13"/>
    </row>
    <row r="112" spans="1:49" s="12" customFormat="1" ht="15">
      <c r="A112" s="13"/>
      <c r="B112" s="409"/>
      <c r="C112" s="409"/>
      <c r="D112" s="13"/>
      <c r="E112" s="13"/>
      <c r="F112" s="13"/>
      <c r="G112" s="13"/>
      <c r="H112" s="13"/>
      <c r="I112" s="13"/>
      <c r="J112" s="13"/>
      <c r="K112" s="13"/>
      <c r="L112" s="13"/>
      <c r="M112" s="13"/>
      <c r="N112" s="13"/>
      <c r="O112" s="13"/>
      <c r="P112" s="13"/>
      <c r="Q112" s="13"/>
      <c r="R112" s="13"/>
      <c r="S112" s="13"/>
      <c r="T112" s="13"/>
      <c r="U112" s="13"/>
      <c r="V112" s="13"/>
      <c r="W112" s="13"/>
      <c r="X112" s="13"/>
      <c r="Y112" s="13"/>
      <c r="Z112" s="13"/>
      <c r="AA112" s="13"/>
      <c r="AB112" s="13"/>
      <c r="AC112" s="13"/>
      <c r="AD112" s="13"/>
      <c r="AE112" s="13"/>
      <c r="AF112" s="13"/>
      <c r="AG112" s="13"/>
      <c r="AH112" s="13"/>
      <c r="AI112" s="13"/>
      <c r="AJ112" s="13"/>
      <c r="AK112" s="13"/>
      <c r="AL112" s="13"/>
      <c r="AM112" s="13"/>
      <c r="AN112" s="13"/>
      <c r="AO112" s="13"/>
      <c r="AP112" s="13"/>
      <c r="AQ112" s="13"/>
      <c r="AR112" s="13"/>
      <c r="AS112" s="13"/>
      <c r="AT112" s="13"/>
      <c r="AU112" s="13"/>
      <c r="AV112" s="13"/>
      <c r="AW112" s="13"/>
    </row>
    <row r="113" spans="1:49" s="12" customFormat="1" ht="15">
      <c r="A113" s="13"/>
      <c r="B113" s="409"/>
      <c r="C113" s="409"/>
      <c r="D113" s="13"/>
      <c r="E113" s="13"/>
      <c r="F113" s="13"/>
      <c r="G113" s="13"/>
      <c r="H113" s="13"/>
      <c r="I113" s="13"/>
      <c r="J113" s="13"/>
      <c r="K113" s="13"/>
      <c r="L113" s="13"/>
      <c r="M113" s="13"/>
      <c r="N113" s="13"/>
      <c r="O113" s="13"/>
      <c r="P113" s="13"/>
      <c r="Q113" s="13"/>
      <c r="R113" s="13"/>
      <c r="S113" s="13"/>
      <c r="T113" s="13"/>
      <c r="U113" s="13"/>
      <c r="V113" s="13"/>
      <c r="W113" s="13"/>
      <c r="X113" s="13"/>
      <c r="Y113" s="13"/>
      <c r="Z113" s="13"/>
      <c r="AA113" s="13"/>
      <c r="AB113" s="13"/>
      <c r="AC113" s="13"/>
      <c r="AD113" s="13"/>
      <c r="AE113" s="13"/>
      <c r="AF113" s="13"/>
      <c r="AG113" s="13"/>
      <c r="AH113" s="13"/>
      <c r="AI113" s="13"/>
      <c r="AJ113" s="13"/>
      <c r="AK113" s="13"/>
      <c r="AL113" s="13"/>
      <c r="AM113" s="13"/>
      <c r="AN113" s="13"/>
      <c r="AO113" s="13"/>
      <c r="AP113" s="13"/>
      <c r="AQ113" s="13"/>
      <c r="AR113" s="13"/>
      <c r="AS113" s="13"/>
      <c r="AT113" s="13"/>
      <c r="AU113" s="13"/>
      <c r="AV113" s="13"/>
      <c r="AW113" s="13"/>
    </row>
    <row r="114" spans="1:49" s="12" customFormat="1" ht="15">
      <c r="A114" s="13"/>
      <c r="B114" s="409"/>
      <c r="C114" s="409"/>
      <c r="D114" s="13"/>
      <c r="E114" s="13"/>
      <c r="F114" s="13"/>
      <c r="G114" s="13"/>
      <c r="H114" s="13"/>
      <c r="I114" s="13"/>
      <c r="J114" s="13"/>
      <c r="K114" s="13"/>
      <c r="L114" s="13"/>
      <c r="M114" s="13"/>
      <c r="N114" s="13"/>
      <c r="O114" s="13"/>
      <c r="P114" s="13"/>
      <c r="Q114" s="13"/>
      <c r="R114" s="13"/>
      <c r="S114" s="13"/>
      <c r="T114" s="13"/>
      <c r="U114" s="13"/>
      <c r="V114" s="13"/>
      <c r="W114" s="13"/>
      <c r="X114" s="13"/>
      <c r="Y114" s="13"/>
      <c r="Z114" s="13"/>
      <c r="AA114" s="13"/>
      <c r="AB114" s="13"/>
      <c r="AC114" s="13"/>
      <c r="AD114" s="13"/>
      <c r="AE114" s="13"/>
      <c r="AF114" s="13"/>
      <c r="AG114" s="13"/>
      <c r="AH114" s="13"/>
      <c r="AI114" s="13"/>
      <c r="AJ114" s="13"/>
      <c r="AK114" s="13"/>
      <c r="AL114" s="13"/>
      <c r="AM114" s="13"/>
      <c r="AN114" s="13"/>
      <c r="AO114" s="13"/>
      <c r="AP114" s="13"/>
      <c r="AQ114" s="13"/>
      <c r="AR114" s="13"/>
      <c r="AS114" s="13"/>
      <c r="AT114" s="13"/>
      <c r="AU114" s="13"/>
      <c r="AV114" s="13"/>
      <c r="AW114" s="13"/>
    </row>
    <row r="115" spans="1:49" s="12" customFormat="1" ht="15">
      <c r="A115" s="13"/>
      <c r="B115" s="409"/>
      <c r="C115" s="409"/>
      <c r="D115" s="13"/>
      <c r="E115" s="13"/>
      <c r="F115" s="13"/>
      <c r="G115" s="13"/>
      <c r="H115" s="13"/>
      <c r="I115" s="13"/>
      <c r="J115" s="13"/>
      <c r="K115" s="13"/>
      <c r="L115" s="13"/>
      <c r="M115" s="13"/>
      <c r="N115" s="13"/>
      <c r="O115" s="13"/>
      <c r="P115" s="13"/>
      <c r="Q115" s="13"/>
      <c r="R115" s="13"/>
      <c r="S115" s="13"/>
      <c r="T115" s="13"/>
      <c r="U115" s="13"/>
      <c r="V115" s="13"/>
      <c r="W115" s="13"/>
      <c r="X115" s="13"/>
      <c r="Y115" s="13"/>
      <c r="Z115" s="13"/>
      <c r="AA115" s="13"/>
      <c r="AB115" s="13"/>
      <c r="AC115" s="13"/>
      <c r="AD115" s="13"/>
      <c r="AE115" s="13"/>
      <c r="AF115" s="13"/>
      <c r="AG115" s="13"/>
      <c r="AH115" s="13"/>
      <c r="AI115" s="13"/>
      <c r="AJ115" s="13"/>
      <c r="AK115" s="13"/>
      <c r="AL115" s="13"/>
      <c r="AM115" s="13"/>
      <c r="AN115" s="13"/>
      <c r="AO115" s="13"/>
      <c r="AP115" s="13"/>
      <c r="AQ115" s="13"/>
      <c r="AR115" s="13"/>
      <c r="AS115" s="13"/>
      <c r="AT115" s="13"/>
      <c r="AU115" s="13"/>
      <c r="AV115" s="13"/>
      <c r="AW115" s="13"/>
    </row>
    <row r="116" spans="1:49" s="12" customFormat="1" ht="15">
      <c r="A116" s="13"/>
      <c r="B116" s="409"/>
      <c r="C116" s="409"/>
      <c r="D116" s="13"/>
      <c r="E116" s="13"/>
      <c r="F116" s="13"/>
      <c r="G116" s="13"/>
      <c r="H116" s="13"/>
      <c r="I116" s="13"/>
      <c r="J116" s="13"/>
      <c r="K116" s="13"/>
      <c r="L116" s="13"/>
      <c r="M116" s="13"/>
      <c r="N116" s="13"/>
      <c r="O116" s="13"/>
      <c r="P116" s="13"/>
      <c r="Q116" s="13"/>
      <c r="R116" s="13"/>
      <c r="S116" s="13"/>
      <c r="T116" s="13"/>
      <c r="U116" s="13"/>
      <c r="V116" s="13"/>
      <c r="W116" s="13"/>
      <c r="X116" s="13"/>
      <c r="Y116" s="13"/>
      <c r="Z116" s="13"/>
      <c r="AA116" s="13"/>
      <c r="AB116" s="13"/>
      <c r="AC116" s="13"/>
      <c r="AD116" s="13"/>
      <c r="AE116" s="13"/>
      <c r="AF116" s="13"/>
      <c r="AG116" s="13"/>
      <c r="AH116" s="13"/>
      <c r="AI116" s="13"/>
      <c r="AJ116" s="13"/>
      <c r="AK116" s="13"/>
      <c r="AL116" s="13"/>
      <c r="AM116" s="13"/>
      <c r="AN116" s="13"/>
      <c r="AO116" s="13"/>
      <c r="AP116" s="13"/>
      <c r="AQ116" s="13"/>
      <c r="AR116" s="13"/>
      <c r="AS116" s="13"/>
      <c r="AT116" s="13"/>
      <c r="AU116" s="13"/>
      <c r="AV116" s="13"/>
      <c r="AW116" s="13"/>
    </row>
    <row r="117" spans="1:49" s="12" customFormat="1" ht="15">
      <c r="A117" s="13"/>
      <c r="B117" s="409"/>
      <c r="C117" s="409"/>
      <c r="D117" s="13"/>
      <c r="E117" s="13"/>
      <c r="F117" s="13"/>
      <c r="G117" s="13"/>
      <c r="H117" s="13"/>
      <c r="I117" s="13"/>
      <c r="J117" s="13"/>
      <c r="K117" s="13"/>
      <c r="L117" s="13"/>
      <c r="M117" s="13"/>
      <c r="N117" s="13"/>
      <c r="O117" s="13"/>
      <c r="P117" s="13"/>
      <c r="Q117" s="13"/>
      <c r="R117" s="13"/>
      <c r="S117" s="13"/>
      <c r="T117" s="13"/>
      <c r="U117" s="13"/>
      <c r="V117" s="13"/>
      <c r="W117" s="13"/>
      <c r="X117" s="13"/>
      <c r="Y117" s="13"/>
      <c r="Z117" s="13"/>
      <c r="AA117" s="13"/>
      <c r="AB117" s="13"/>
      <c r="AC117" s="13"/>
      <c r="AD117" s="13"/>
      <c r="AE117" s="13"/>
      <c r="AF117" s="13"/>
      <c r="AG117" s="13"/>
      <c r="AH117" s="13"/>
      <c r="AI117" s="13"/>
      <c r="AJ117" s="13"/>
      <c r="AK117" s="13"/>
      <c r="AL117" s="13"/>
      <c r="AM117" s="13"/>
      <c r="AN117" s="13"/>
      <c r="AO117" s="13"/>
      <c r="AP117" s="13"/>
      <c r="AQ117" s="13"/>
      <c r="AR117" s="13"/>
      <c r="AS117" s="13"/>
      <c r="AT117" s="13"/>
      <c r="AU117" s="13"/>
      <c r="AV117" s="13"/>
      <c r="AW117" s="13"/>
    </row>
    <row r="118" spans="1:49" s="12" customFormat="1" ht="15">
      <c r="A118" s="13"/>
      <c r="B118" s="409"/>
      <c r="C118" s="409"/>
      <c r="D118" s="13"/>
      <c r="E118" s="13"/>
      <c r="F118" s="13"/>
      <c r="G118" s="13"/>
      <c r="H118" s="13"/>
      <c r="I118" s="13"/>
      <c r="J118" s="13"/>
      <c r="K118" s="13"/>
      <c r="L118" s="13"/>
      <c r="M118" s="13"/>
      <c r="N118" s="13"/>
      <c r="O118" s="13"/>
      <c r="P118" s="13"/>
      <c r="Q118" s="13"/>
      <c r="R118" s="13"/>
      <c r="S118" s="13"/>
      <c r="T118" s="13"/>
      <c r="U118" s="13"/>
      <c r="V118" s="13"/>
      <c r="W118" s="13"/>
      <c r="X118" s="13"/>
      <c r="Y118" s="13"/>
      <c r="Z118" s="13"/>
      <c r="AA118" s="13"/>
      <c r="AB118" s="13"/>
      <c r="AC118" s="13"/>
      <c r="AD118" s="13"/>
      <c r="AE118" s="13"/>
      <c r="AF118" s="13"/>
      <c r="AG118" s="13"/>
      <c r="AH118" s="13"/>
      <c r="AI118" s="13"/>
      <c r="AJ118" s="13"/>
      <c r="AK118" s="13"/>
      <c r="AL118" s="13"/>
      <c r="AM118" s="13"/>
      <c r="AN118" s="13"/>
      <c r="AO118" s="13"/>
      <c r="AP118" s="13"/>
      <c r="AQ118" s="13"/>
      <c r="AR118" s="13"/>
      <c r="AS118" s="13"/>
      <c r="AT118" s="13"/>
      <c r="AU118" s="13"/>
      <c r="AV118" s="13"/>
      <c r="AW118" s="13"/>
    </row>
    <row r="119" spans="1:49" s="12" customFormat="1" ht="15">
      <c r="A119" s="13"/>
      <c r="B119" s="409"/>
      <c r="C119" s="409"/>
      <c r="D119" s="13"/>
      <c r="E119" s="13"/>
      <c r="F119" s="13"/>
      <c r="G119" s="13"/>
      <c r="H119" s="13"/>
      <c r="I119" s="13"/>
      <c r="J119" s="13"/>
      <c r="K119" s="13"/>
      <c r="L119" s="13"/>
      <c r="M119" s="13"/>
      <c r="N119" s="13"/>
      <c r="O119" s="13"/>
      <c r="P119" s="13"/>
      <c r="Q119" s="13"/>
      <c r="R119" s="13"/>
      <c r="S119" s="13"/>
      <c r="T119" s="13"/>
      <c r="U119" s="13"/>
      <c r="V119" s="13"/>
      <c r="W119" s="13"/>
      <c r="X119" s="13"/>
      <c r="Y119" s="13"/>
      <c r="Z119" s="13"/>
      <c r="AA119" s="13"/>
      <c r="AB119" s="13"/>
      <c r="AC119" s="13"/>
      <c r="AD119" s="13"/>
      <c r="AE119" s="13"/>
      <c r="AF119" s="13"/>
      <c r="AG119" s="13"/>
      <c r="AH119" s="13"/>
      <c r="AI119" s="13"/>
      <c r="AJ119" s="13"/>
      <c r="AK119" s="13"/>
      <c r="AL119" s="13"/>
      <c r="AM119" s="13"/>
      <c r="AN119" s="13"/>
      <c r="AO119" s="13"/>
      <c r="AP119" s="13"/>
      <c r="AQ119" s="13"/>
      <c r="AR119" s="13"/>
      <c r="AS119" s="13"/>
      <c r="AT119" s="13"/>
      <c r="AU119" s="13"/>
      <c r="AV119" s="13"/>
      <c r="AW119" s="13"/>
    </row>
    <row r="120" spans="1:49" s="12" customFormat="1" ht="15">
      <c r="A120" s="13"/>
      <c r="B120" s="409"/>
      <c r="C120" s="409"/>
      <c r="D120" s="13"/>
      <c r="E120" s="13"/>
      <c r="F120" s="13"/>
      <c r="G120" s="13"/>
      <c r="H120" s="13"/>
      <c r="I120" s="13"/>
      <c r="J120" s="13"/>
      <c r="K120" s="13"/>
      <c r="L120" s="13"/>
      <c r="M120" s="13"/>
      <c r="N120" s="13"/>
      <c r="O120" s="13"/>
      <c r="P120" s="13"/>
      <c r="Q120" s="13"/>
      <c r="R120" s="13"/>
      <c r="S120" s="13"/>
      <c r="T120" s="13"/>
      <c r="U120" s="13"/>
      <c r="V120" s="13"/>
      <c r="W120" s="13"/>
      <c r="X120" s="13"/>
      <c r="Y120" s="13"/>
      <c r="Z120" s="13"/>
      <c r="AA120" s="13"/>
      <c r="AB120" s="13"/>
      <c r="AC120" s="13"/>
      <c r="AD120" s="13"/>
      <c r="AE120" s="13"/>
      <c r="AF120" s="13"/>
      <c r="AG120" s="13"/>
      <c r="AH120" s="13"/>
      <c r="AI120" s="13"/>
      <c r="AJ120" s="13"/>
      <c r="AK120" s="13"/>
      <c r="AL120" s="13"/>
      <c r="AM120" s="13"/>
      <c r="AN120" s="13"/>
      <c r="AO120" s="13"/>
      <c r="AP120" s="13"/>
      <c r="AQ120" s="13"/>
      <c r="AR120" s="13"/>
      <c r="AS120" s="13"/>
      <c r="AT120" s="13"/>
      <c r="AU120" s="13"/>
      <c r="AV120" s="13"/>
      <c r="AW120" s="13"/>
    </row>
    <row r="121" spans="1:49" s="12" customFormat="1" ht="15">
      <c r="A121" s="13"/>
      <c r="B121" s="409"/>
      <c r="C121" s="409"/>
      <c r="D121" s="13"/>
      <c r="E121" s="13"/>
      <c r="F121" s="13"/>
      <c r="G121" s="13"/>
      <c r="H121" s="13"/>
      <c r="I121" s="13"/>
      <c r="J121" s="13"/>
      <c r="K121" s="13"/>
      <c r="L121" s="13"/>
      <c r="M121" s="13"/>
      <c r="N121" s="13"/>
      <c r="O121" s="13"/>
      <c r="P121" s="13"/>
      <c r="Q121" s="13"/>
      <c r="R121" s="13"/>
      <c r="S121" s="13"/>
      <c r="T121" s="13"/>
      <c r="U121" s="13"/>
      <c r="V121" s="13"/>
      <c r="W121" s="13"/>
      <c r="X121" s="13"/>
      <c r="Y121" s="13"/>
      <c r="Z121" s="13"/>
      <c r="AA121" s="13"/>
      <c r="AB121" s="13"/>
      <c r="AC121" s="13"/>
      <c r="AD121" s="13"/>
      <c r="AE121" s="13"/>
      <c r="AF121" s="13"/>
      <c r="AG121" s="13"/>
      <c r="AH121" s="13"/>
      <c r="AI121" s="13"/>
      <c r="AJ121" s="13"/>
      <c r="AK121" s="13"/>
      <c r="AL121" s="13"/>
      <c r="AM121" s="13"/>
      <c r="AN121" s="13"/>
      <c r="AO121" s="13"/>
      <c r="AP121" s="13"/>
      <c r="AQ121" s="13"/>
      <c r="AR121" s="13"/>
      <c r="AS121" s="13"/>
      <c r="AT121" s="13"/>
      <c r="AU121" s="13"/>
      <c r="AV121" s="13"/>
      <c r="AW121" s="13"/>
    </row>
    <row r="122" spans="1:49" s="12" customFormat="1" ht="15">
      <c r="A122" s="13"/>
      <c r="B122" s="409"/>
      <c r="C122" s="409"/>
      <c r="D122" s="13"/>
      <c r="E122" s="13"/>
      <c r="F122" s="13"/>
      <c r="G122" s="13"/>
      <c r="H122" s="13"/>
      <c r="I122" s="13"/>
      <c r="J122" s="13"/>
      <c r="K122" s="13"/>
      <c r="L122" s="13"/>
      <c r="M122" s="13"/>
      <c r="N122" s="13"/>
      <c r="O122" s="13"/>
      <c r="P122" s="13"/>
      <c r="Q122" s="13"/>
      <c r="R122" s="13"/>
      <c r="S122" s="13"/>
      <c r="T122" s="13"/>
      <c r="U122" s="13"/>
      <c r="V122" s="13"/>
      <c r="W122" s="13"/>
      <c r="X122" s="13"/>
      <c r="Y122" s="13"/>
      <c r="Z122" s="13"/>
      <c r="AA122" s="13"/>
      <c r="AB122" s="13"/>
      <c r="AC122" s="13"/>
      <c r="AD122" s="13"/>
      <c r="AE122" s="13"/>
      <c r="AF122" s="13"/>
      <c r="AG122" s="13"/>
      <c r="AH122" s="13"/>
      <c r="AI122" s="13"/>
      <c r="AJ122" s="13"/>
      <c r="AK122" s="13"/>
      <c r="AL122" s="13"/>
      <c r="AM122" s="13"/>
      <c r="AN122" s="13"/>
      <c r="AO122" s="13"/>
      <c r="AP122" s="13"/>
      <c r="AQ122" s="13"/>
      <c r="AR122" s="13"/>
      <c r="AS122" s="13"/>
      <c r="AT122" s="13"/>
      <c r="AU122" s="13"/>
      <c r="AV122" s="13"/>
      <c r="AW122" s="13"/>
    </row>
    <row r="123" spans="1:49" s="12" customFormat="1" ht="15">
      <c r="A123" s="13"/>
      <c r="B123" s="409"/>
      <c r="C123" s="409"/>
      <c r="D123" s="13"/>
      <c r="E123" s="13"/>
      <c r="F123" s="13"/>
      <c r="G123" s="13"/>
      <c r="H123" s="13"/>
      <c r="I123" s="13"/>
      <c r="J123" s="13"/>
      <c r="K123" s="13"/>
      <c r="L123" s="13"/>
      <c r="M123" s="13"/>
      <c r="N123" s="13"/>
      <c r="O123" s="13"/>
      <c r="P123" s="13"/>
      <c r="Q123" s="13"/>
      <c r="R123" s="13"/>
      <c r="S123" s="13"/>
      <c r="T123" s="13"/>
      <c r="U123" s="13"/>
      <c r="V123" s="13"/>
      <c r="W123" s="13"/>
      <c r="X123" s="13"/>
      <c r="Y123" s="13"/>
      <c r="Z123" s="13"/>
      <c r="AA123" s="13"/>
      <c r="AB123" s="13"/>
      <c r="AC123" s="13"/>
      <c r="AD123" s="13"/>
      <c r="AE123" s="13"/>
      <c r="AF123" s="13"/>
      <c r="AG123" s="13"/>
      <c r="AH123" s="13"/>
      <c r="AI123" s="13"/>
      <c r="AJ123" s="13"/>
      <c r="AK123" s="13"/>
      <c r="AL123" s="13"/>
      <c r="AM123" s="13"/>
      <c r="AN123" s="13"/>
      <c r="AO123" s="13"/>
      <c r="AP123" s="13"/>
      <c r="AQ123" s="13"/>
      <c r="AR123" s="13"/>
      <c r="AS123" s="13"/>
      <c r="AT123" s="13"/>
      <c r="AU123" s="13"/>
      <c r="AV123" s="13"/>
      <c r="AW123" s="13"/>
    </row>
    <row r="124" spans="1:49" s="12" customFormat="1" ht="15">
      <c r="A124" s="13"/>
      <c r="B124" s="409"/>
      <c r="C124" s="409"/>
      <c r="D124" s="13"/>
      <c r="E124" s="13"/>
      <c r="F124" s="13"/>
      <c r="G124" s="13"/>
      <c r="H124" s="13"/>
      <c r="I124" s="13"/>
      <c r="J124" s="13"/>
      <c r="K124" s="13"/>
      <c r="L124" s="13"/>
      <c r="M124" s="13"/>
      <c r="N124" s="13"/>
      <c r="O124" s="13"/>
      <c r="P124" s="13"/>
      <c r="Q124" s="13"/>
      <c r="R124" s="13"/>
      <c r="S124" s="13"/>
      <c r="T124" s="13"/>
      <c r="U124" s="13"/>
      <c r="V124" s="13"/>
      <c r="W124" s="13"/>
      <c r="X124" s="13"/>
      <c r="Y124" s="13"/>
      <c r="Z124" s="13"/>
      <c r="AA124" s="13"/>
      <c r="AB124" s="13"/>
      <c r="AC124" s="13"/>
      <c r="AD124" s="13"/>
      <c r="AE124" s="13"/>
      <c r="AF124" s="13"/>
      <c r="AG124" s="13"/>
      <c r="AH124" s="13"/>
      <c r="AI124" s="13"/>
      <c r="AJ124" s="13"/>
      <c r="AK124" s="13"/>
      <c r="AL124" s="13"/>
      <c r="AM124" s="13"/>
      <c r="AN124" s="13"/>
      <c r="AO124" s="13"/>
      <c r="AP124" s="13"/>
      <c r="AQ124" s="13"/>
      <c r="AR124" s="13"/>
      <c r="AS124" s="13"/>
      <c r="AT124" s="13"/>
      <c r="AU124" s="13"/>
      <c r="AV124" s="13"/>
      <c r="AW124" s="13"/>
    </row>
    <row r="125" spans="1:49" s="12" customFormat="1" ht="15">
      <c r="A125" s="13"/>
      <c r="B125" s="409"/>
      <c r="C125" s="409"/>
      <c r="D125" s="13"/>
      <c r="E125" s="13"/>
      <c r="F125" s="13"/>
      <c r="G125" s="13"/>
      <c r="H125" s="13"/>
      <c r="I125" s="13"/>
      <c r="J125" s="13"/>
      <c r="K125" s="13"/>
      <c r="L125" s="13"/>
      <c r="M125" s="13"/>
      <c r="N125" s="13"/>
      <c r="O125" s="13"/>
      <c r="P125" s="13"/>
      <c r="Q125" s="13"/>
      <c r="R125" s="13"/>
      <c r="S125" s="13"/>
      <c r="T125" s="13"/>
      <c r="U125" s="13"/>
      <c r="V125" s="13"/>
      <c r="W125" s="13"/>
      <c r="X125" s="13"/>
      <c r="Y125" s="13"/>
      <c r="Z125" s="13"/>
      <c r="AA125" s="13"/>
      <c r="AB125" s="13"/>
      <c r="AC125" s="13"/>
      <c r="AD125" s="13"/>
      <c r="AE125" s="13"/>
      <c r="AF125" s="13"/>
      <c r="AG125" s="13"/>
      <c r="AH125" s="13"/>
      <c r="AI125" s="13"/>
      <c r="AJ125" s="13"/>
      <c r="AK125" s="13"/>
      <c r="AL125" s="13"/>
      <c r="AM125" s="13"/>
      <c r="AN125" s="13"/>
      <c r="AO125" s="13"/>
      <c r="AP125" s="13"/>
      <c r="AQ125" s="13"/>
      <c r="AR125" s="13"/>
      <c r="AS125" s="13"/>
      <c r="AT125" s="13"/>
      <c r="AU125" s="13"/>
      <c r="AV125" s="13"/>
      <c r="AW125" s="13"/>
    </row>
    <row r="126" spans="1:49" s="12" customFormat="1" ht="15">
      <c r="A126" s="13"/>
      <c r="B126" s="409"/>
      <c r="C126" s="409"/>
      <c r="D126" s="13"/>
      <c r="E126" s="13"/>
      <c r="F126" s="13"/>
      <c r="G126" s="13"/>
      <c r="H126" s="13"/>
      <c r="I126" s="13"/>
      <c r="J126" s="13"/>
      <c r="K126" s="13"/>
      <c r="L126" s="13"/>
      <c r="M126" s="13"/>
      <c r="N126" s="13"/>
      <c r="O126" s="13"/>
      <c r="P126" s="13"/>
      <c r="Q126" s="13"/>
      <c r="R126" s="13"/>
      <c r="S126" s="13"/>
      <c r="T126" s="13"/>
      <c r="U126" s="13"/>
      <c r="V126" s="13"/>
      <c r="W126" s="13"/>
      <c r="X126" s="13"/>
      <c r="Y126" s="13"/>
      <c r="Z126" s="13"/>
      <c r="AA126" s="13"/>
      <c r="AB126" s="13"/>
      <c r="AC126" s="13"/>
      <c r="AD126" s="13"/>
      <c r="AE126" s="13"/>
      <c r="AF126" s="13"/>
      <c r="AG126" s="13"/>
      <c r="AH126" s="13"/>
      <c r="AI126" s="13"/>
      <c r="AJ126" s="13"/>
      <c r="AK126" s="13"/>
      <c r="AL126" s="13"/>
      <c r="AM126" s="13"/>
      <c r="AN126" s="13"/>
      <c r="AO126" s="13"/>
      <c r="AP126" s="13"/>
      <c r="AQ126" s="13"/>
      <c r="AR126" s="13"/>
      <c r="AS126" s="13"/>
      <c r="AT126" s="13"/>
      <c r="AU126" s="13"/>
      <c r="AV126" s="13"/>
      <c r="AW126" s="13"/>
    </row>
    <row r="127" spans="1:49" s="12" customFormat="1" ht="15">
      <c r="A127" s="13"/>
      <c r="B127" s="409"/>
      <c r="C127" s="409"/>
      <c r="D127" s="13"/>
      <c r="E127" s="13"/>
      <c r="F127" s="13"/>
      <c r="G127" s="13"/>
      <c r="H127" s="13"/>
      <c r="I127" s="13"/>
      <c r="J127" s="13"/>
      <c r="K127" s="13"/>
      <c r="L127" s="13"/>
      <c r="M127" s="13"/>
      <c r="N127" s="13"/>
      <c r="O127" s="13"/>
      <c r="P127" s="13"/>
      <c r="Q127" s="13"/>
      <c r="R127" s="13"/>
      <c r="S127" s="13"/>
      <c r="T127" s="13"/>
      <c r="U127" s="13"/>
      <c r="V127" s="13"/>
      <c r="W127" s="13"/>
      <c r="X127" s="13"/>
      <c r="Y127" s="13"/>
      <c r="Z127" s="13"/>
      <c r="AA127" s="13"/>
      <c r="AB127" s="13"/>
      <c r="AC127" s="13"/>
      <c r="AD127" s="13"/>
      <c r="AE127" s="13"/>
      <c r="AF127" s="13"/>
      <c r="AG127" s="13"/>
      <c r="AH127" s="13"/>
      <c r="AI127" s="13"/>
      <c r="AJ127" s="13"/>
      <c r="AK127" s="13"/>
      <c r="AL127" s="13"/>
      <c r="AM127" s="13"/>
      <c r="AN127" s="13"/>
      <c r="AO127" s="13"/>
      <c r="AP127" s="13"/>
      <c r="AQ127" s="13"/>
      <c r="AR127" s="13"/>
      <c r="AS127" s="13"/>
      <c r="AT127" s="13"/>
      <c r="AU127" s="13"/>
      <c r="AV127" s="13"/>
      <c r="AW127" s="13"/>
    </row>
    <row r="128" spans="1:49" s="12" customFormat="1" ht="15">
      <c r="A128" s="13"/>
      <c r="B128" s="409"/>
      <c r="C128" s="409"/>
      <c r="D128" s="13"/>
      <c r="E128" s="13"/>
      <c r="F128" s="13"/>
      <c r="G128" s="13"/>
      <c r="H128" s="13"/>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c r="AR128" s="13"/>
      <c r="AS128" s="13"/>
      <c r="AT128" s="13"/>
      <c r="AU128" s="13"/>
      <c r="AV128" s="13"/>
      <c r="AW128" s="13"/>
    </row>
  </sheetData>
  <sheetProtection sheet="1" formatRows="0"/>
  <mergeCells count="35">
    <mergeCell ref="D66:F66"/>
    <mergeCell ref="C63:J63"/>
    <mergeCell ref="D71:F71"/>
    <mergeCell ref="D68:F68"/>
    <mergeCell ref="D61:F61"/>
    <mergeCell ref="D69:F69"/>
    <mergeCell ref="D64:F64"/>
    <mergeCell ref="D65:F65"/>
    <mergeCell ref="D67:F67"/>
    <mergeCell ref="B4:L4"/>
    <mergeCell ref="B2:D2"/>
    <mergeCell ref="D70:F70"/>
    <mergeCell ref="C8:F8"/>
    <mergeCell ref="H8:K8"/>
    <mergeCell ref="C6:E6"/>
    <mergeCell ref="C33:I33"/>
    <mergeCell ref="C25:G25"/>
    <mergeCell ref="D42:K42"/>
    <mergeCell ref="C62:E62"/>
    <mergeCell ref="C10:F10"/>
    <mergeCell ref="C18:F18"/>
    <mergeCell ref="C41:F41"/>
    <mergeCell ref="D50:G50"/>
    <mergeCell ref="C32:D32"/>
    <mergeCell ref="D49:K49"/>
    <mergeCell ref="B3:L3"/>
    <mergeCell ref="B5:L5"/>
    <mergeCell ref="D60:K60"/>
    <mergeCell ref="D58:E58"/>
    <mergeCell ref="D59:E59"/>
    <mergeCell ref="D57:E57"/>
    <mergeCell ref="C54:J54"/>
    <mergeCell ref="H50:K50"/>
    <mergeCell ref="D56:E56"/>
    <mergeCell ref="C53:E53"/>
  </mergeCells>
  <dataValidations count="26">
    <dataValidation type="whole" allowBlank="1" showInputMessage="1" showErrorMessage="1" sqref="F56:F58">
      <formula1>0</formula1>
      <formula2>L56</formula2>
    </dataValidation>
    <dataValidation type="decimal" allowBlank="1" showInputMessage="1" showErrorMessage="1" error="The rebate per toilet must be a positive value less than or equal the fixture cost." sqref="J56:J57">
      <formula1>0</formula1>
      <formula2>I56</formula2>
    </dataValidation>
    <dataValidation type="decimal" allowBlank="1" showInputMessage="1" showErrorMessage="1" error="The rebate per faucet must be a positive value less than or equal the fixture cost." sqref="J58">
      <formula1>0</formula1>
      <formula2>I58</formula2>
    </dataValidation>
    <dataValidation type="whole" allowBlank="1" showInputMessage="1" showErrorMessage="1" error="=M50" sqref="F59:F60">
      <formula1>0</formula1>
      <formula2>L59</formula2>
    </dataValidation>
    <dataValidation type="whole" allowBlank="1" showInputMessage="1" showErrorMessage="1" error="This number cannot exceed the &quot;Potential Replacements&quot;." sqref="G60">
      <formula1>0</formula1>
      <formula2>F60</formula2>
    </dataValidation>
    <dataValidation type="decimal" allowBlank="1" showInputMessage="1" showErrorMessage="1" error="The rebate per showerhead must be a positive value less than or equal the fixture cost." sqref="J59:J60">
      <formula1>0</formula1>
      <formula2>I59</formula2>
    </dataValidation>
    <dataValidation type="whole" allowBlank="1" showInputMessage="1" showErrorMessage="1" error="This number must be a whole greater than 0. This number cannot exceed the &quot;Potential Replacements&quot;." sqref="G56:G59">
      <formula1>0</formula1>
      <formula2>F56</formula2>
    </dataValidation>
    <dataValidation type="whole" operator="greaterThan" allowBlank="1" showInputMessage="1" showErrorMessage="1" error="The number of toilets installed in your guest rooms must be a whole number greater than 0." sqref="E12:E16">
      <formula1>0</formula1>
    </dataValidation>
    <dataValidation type="decimal" allowBlank="1" showInputMessage="1" showErrorMessage="1" sqref="G68:G69">
      <formula1>0</formula1>
      <formula2>1</formula2>
    </dataValidation>
    <dataValidation type="decimal" allowBlank="1" showInputMessage="1" showErrorMessage="1" error="Flow rates for WaterSense-labeled showerheads must be between 1.25 and 2.0 gpm." sqref="H59:H60">
      <formula1>1</formula1>
      <formula2>2</formula2>
    </dataValidation>
    <dataValidation type="decimal" allowBlank="1" showInputMessage="1" showErrorMessage="1" error="Flow rates for WaterSense-labeled faucets in guest rooms must be between 1.0  and 1.5 gpm." sqref="H58">
      <formula1>1</formula1>
      <formula2>1.5</formula2>
    </dataValidation>
    <dataValidation type="list" allowBlank="1" showInputMessage="1" showErrorMessage="1" sqref="D12:D16">
      <formula1>"Tank-Type, Flushometer-Valve"</formula1>
    </dataValidation>
    <dataValidation type="list" allowBlank="1" showInputMessage="1" showErrorMessage="1" sqref="E20:E23">
      <formula1>"0.5, 0.75, 1.0, 1.25, 1.5, 1.6, 1.7, 1.8, 1.9, 2.0, 2.1, 2.2, 2.5, 2.75, 3.0"</formula1>
    </dataValidation>
    <dataValidation type="list" allowBlank="1" showInputMessage="1" showErrorMessage="1" sqref="E27:E30">
      <formula1>"1.25, 1.5, 1.6, 1.7, 1.75, 1.8, 1.9, 2.0, 2.1, 2.2, 2.25, 2.3, 2.4, 2.5, 2.75, 3.0, 3.25, 3.5, 4.0"</formula1>
    </dataValidation>
    <dataValidation type="list" allowBlank="1" showInputMessage="1" showErrorMessage="1" sqref="G8">
      <formula1>"Yes,No"</formula1>
    </dataValidation>
    <dataValidation type="whole" operator="greaterThan" allowBlank="1" showInputMessage="1" showErrorMessage="1" error="The number of faucets installed in your guest rooms must be a whole number greater than 0." sqref="D20:D23">
      <formula1>0</formula1>
    </dataValidation>
    <dataValidation type="whole" operator="greaterThan" allowBlank="1" showInputMessage="1" showErrorMessage="1" error="The number of showerheads installed in your guest rooms must be a whole number greater than 0." sqref="D27:D30">
      <formula1>0</formula1>
    </dataValidation>
    <dataValidation allowBlank="1" showInputMessage="1" showErrorMessage="1" prompt="The default cost of this fixture assumes that only the faucet aerator would be replaced. For complete faucet replacement, see the manufacturer's website for pricing." sqref="I58"/>
    <dataValidation type="decimal" allowBlank="1" showInputMessage="1" showErrorMessage="1" error="Number of flushes per person per day must be a number between 0 and 10." sqref="G64">
      <formula1>0</formula1>
      <formula2>10</formula2>
    </dataValidation>
    <dataValidation type="decimal" operator="greaterThan" allowBlank="1" showInputMessage="1" showErrorMessage="1" error="The minutes of faucet use per person per day must be a number greater than 0." sqref="G65">
      <formula1>0</formula1>
    </dataValidation>
    <dataValidation type="decimal" operator="greaterThan" allowBlank="1" showInputMessage="1" showErrorMessage="1" error="The shower duration per person per day must be a number greater than 0." sqref="G66">
      <formula1>0</formula1>
    </dataValidation>
    <dataValidation type="decimal" operator="greaterThan" allowBlank="1" showInputMessage="1" showErrorMessage="1" error="The number of showers per person per day must be a number greater than 0." sqref="G67">
      <formula1>0</formula1>
    </dataValidation>
    <dataValidation type="decimal" operator="greaterThan" allowBlank="1" showInputMessage="1" showErrorMessage="1" error="The kWh of electricity required to heat one gallon of water must be a value greater than 0." sqref="G70">
      <formula1>0</formula1>
    </dataValidation>
    <dataValidation type="decimal" operator="greaterThan" allowBlank="1" showInputMessage="1" showErrorMessage="1" error="The Mcf of natural gas required to heat one gallon of water must be a value greater than 0." sqref="G71">
      <formula1>0</formula1>
    </dataValidation>
    <dataValidation type="list" allowBlank="1" showInputMessage="1" showErrorMessage="1" promptTitle="Flush Volume" prompt="If you have dual-flush toilets, enter the effective flush volume. If not indicated on the toilet itself or in product documentation, assume the effective flush volume of a dual flush toilet = [(2 x low flush volume) + (1 x high flush volume)] / 3." sqref="F12:F16">
      <formula1>"0.65, 0.8, 1.0, 1.1, 1.2, 1.28, 1.4, 1.6, 3.5, 5.0"</formula1>
    </dataValidation>
    <dataValidation type="decimal" allowBlank="1" showInputMessage="1" showErrorMessage="1" promptTitle="Flush Volume" prompt="If you are considering installing dual-flush toilets, enter the effective flush volume. If not indicated in product literature, assume the effective flush volume of a dual flush toilet = [(2 x low flush volume) + (1 x high flush volume)] / 3." error="Flush volumes for WaterSense-labeled toilets must be between 0.65 and 1.28 gpf." sqref="H56:H57">
      <formula1>0.65</formula1>
      <formula2>1.28</formula2>
    </dataValidation>
  </dataValidations>
  <hyperlinks>
    <hyperlink ref="H50" r:id="rId1" display="Sanitary Fixture BMPs"/>
    <hyperlink ref="D56:E56" r:id="rId2" display="WaterSense Labeled Tank-Type Toilet"/>
    <hyperlink ref="D58:E58" r:id="rId3" display="WaterSense Labeled Faucet Aerator or Faucet"/>
    <hyperlink ref="D59:E59" r:id="rId4" display="WaterSense Labeled Showerhead"/>
    <hyperlink ref="H50:I50" r:id="rId5" display="Sanitary Fixture BMPs"/>
  </hyperlinks>
  <printOptions horizontalCentered="1"/>
  <pageMargins left="0.25" right="0.25" top="0.75" bottom="0.5" header="0.25" footer="0.25"/>
  <pageSetup fitToHeight="0" fitToWidth="1" horizontalDpi="1200" verticalDpi="1200" orientation="landscape" scale="79" r:id="rId8"/>
  <headerFooter alignWithMargins="0">
    <oddHeader>&amp;C&amp;18&amp;F</oddHeader>
    <oddFooter>&amp;C&amp;P of &amp;N</oddFooter>
  </headerFooter>
  <drawing r:id="rId7"/>
  <legacyDrawing r:id="rId6"/>
</worksheet>
</file>

<file path=xl/worksheets/sheet7.xml><?xml version="1.0" encoding="utf-8"?>
<worksheet xmlns="http://schemas.openxmlformats.org/spreadsheetml/2006/main" xmlns:r="http://schemas.openxmlformats.org/officeDocument/2006/relationships">
  <sheetPr codeName="Public_Restrooms">
    <pageSetUpPr fitToPage="1"/>
  </sheetPr>
  <dimension ref="A1:AW141"/>
  <sheetViews>
    <sheetView showGridLines="0" zoomScalePageLayoutView="0" workbookViewId="0" topLeftCell="A1">
      <pane xSplit="1" ySplit="2" topLeftCell="B3" activePane="bottomRight" state="frozen"/>
      <selection pane="topLeft" activeCell="B2" sqref="B2:D2"/>
      <selection pane="topRight" activeCell="B2" sqref="B2:D2"/>
      <selection pane="bottomLeft" activeCell="B2" sqref="B2:D2"/>
      <selection pane="bottomRight" activeCell="G8" sqref="G8"/>
    </sheetView>
  </sheetViews>
  <sheetFormatPr defaultColWidth="9.140625" defaultRowHeight="15"/>
  <cols>
    <col min="1" max="1" width="4.7109375" style="12" customWidth="1"/>
    <col min="2" max="2" width="4.7109375" style="410" customWidth="1"/>
    <col min="3" max="3" width="6.7109375" style="1" customWidth="1"/>
    <col min="4" max="4" width="24.421875" style="1" customWidth="1"/>
    <col min="5" max="5" width="23.8515625" style="1" customWidth="1"/>
    <col min="6" max="6" width="18.8515625" style="1" customWidth="1"/>
    <col min="7" max="7" width="16.8515625" style="1" customWidth="1"/>
    <col min="8" max="8" width="17.57421875" style="1" customWidth="1"/>
    <col min="9" max="11" width="15.8515625" style="1" customWidth="1"/>
    <col min="12" max="12" width="8.7109375" style="1" customWidth="1"/>
    <col min="13" max="13" width="4.7109375" style="12" customWidth="1"/>
    <col min="14" max="14" width="9.140625" style="12" customWidth="1"/>
    <col min="15" max="15" width="9.57421875" style="12" bestFit="1" customWidth="1"/>
    <col min="16" max="33" width="9.140625" style="12" customWidth="1"/>
    <col min="34" max="16384" width="9.140625" style="1" customWidth="1"/>
  </cols>
  <sheetData>
    <row r="1" spans="1:33" s="12" customFormat="1" ht="42" customHeight="1">
      <c r="A1" s="13"/>
      <c r="B1" s="409"/>
      <c r="C1" s="13"/>
      <c r="D1" s="797" t="s">
        <v>783</v>
      </c>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row>
    <row r="2" spans="1:38" ht="18.75">
      <c r="A2" s="13"/>
      <c r="B2" s="935" t="s">
        <v>417</v>
      </c>
      <c r="C2" s="935"/>
      <c r="D2" s="935"/>
      <c r="E2" s="935"/>
      <c r="F2" s="309"/>
      <c r="G2"/>
      <c r="H2"/>
      <c r="I2"/>
      <c r="J2"/>
      <c r="K2"/>
      <c r="L2"/>
      <c r="M2" s="13"/>
      <c r="N2" s="13"/>
      <c r="O2" s="13"/>
      <c r="P2" s="13"/>
      <c r="Q2" s="13"/>
      <c r="R2" s="13"/>
      <c r="S2" s="13"/>
      <c r="T2" s="13"/>
      <c r="U2" s="13"/>
      <c r="V2" s="13"/>
      <c r="W2" s="13"/>
      <c r="X2" s="13"/>
      <c r="Y2" s="13"/>
      <c r="Z2" s="13"/>
      <c r="AA2" s="13"/>
      <c r="AB2" s="13"/>
      <c r="AC2" s="13"/>
      <c r="AD2" s="13"/>
      <c r="AE2" s="13"/>
      <c r="AF2" s="13"/>
      <c r="AG2" s="13"/>
      <c r="AH2" s="12"/>
      <c r="AI2" s="12"/>
      <c r="AJ2" s="12"/>
      <c r="AK2" s="12"/>
      <c r="AL2" s="12"/>
    </row>
    <row r="3" spans="1:38" s="390" customFormat="1" ht="70.5" customHeight="1">
      <c r="A3" s="50"/>
      <c r="B3" s="950" t="s">
        <v>819</v>
      </c>
      <c r="C3" s="951"/>
      <c r="D3" s="951"/>
      <c r="E3" s="951"/>
      <c r="F3" s="951"/>
      <c r="G3" s="951"/>
      <c r="H3" s="951"/>
      <c r="I3" s="951"/>
      <c r="J3" s="951"/>
      <c r="K3" s="951"/>
      <c r="L3" s="802"/>
      <c r="M3" s="50"/>
      <c r="N3" s="50"/>
      <c r="O3" s="50"/>
      <c r="P3" s="50"/>
      <c r="Q3" s="50"/>
      <c r="R3" s="50"/>
      <c r="S3" s="50"/>
      <c r="T3" s="50"/>
      <c r="U3" s="50"/>
      <c r="V3" s="50"/>
      <c r="W3" s="50"/>
      <c r="X3" s="50"/>
      <c r="Y3" s="50"/>
      <c r="Z3" s="50"/>
      <c r="AA3" s="50"/>
      <c r="AB3" s="50"/>
      <c r="AC3" s="50"/>
      <c r="AD3" s="50"/>
      <c r="AE3" s="50"/>
      <c r="AF3" s="50"/>
      <c r="AG3" s="50"/>
      <c r="AH3" s="389"/>
      <c r="AI3" s="389"/>
      <c r="AJ3" s="389"/>
      <c r="AK3" s="389"/>
      <c r="AL3" s="389"/>
    </row>
    <row r="4" spans="1:38" s="390" customFormat="1" ht="57.75" customHeight="1">
      <c r="A4" s="50"/>
      <c r="B4" s="950" t="s">
        <v>817</v>
      </c>
      <c r="C4" s="951"/>
      <c r="D4" s="951"/>
      <c r="E4" s="951"/>
      <c r="F4" s="951"/>
      <c r="G4" s="951"/>
      <c r="H4" s="951"/>
      <c r="I4" s="951"/>
      <c r="J4" s="951"/>
      <c r="K4" s="951"/>
      <c r="L4" s="802"/>
      <c r="M4" s="50"/>
      <c r="N4" s="50"/>
      <c r="O4" s="50"/>
      <c r="P4" s="50"/>
      <c r="Q4" s="50"/>
      <c r="R4" s="50"/>
      <c r="S4" s="50"/>
      <c r="T4" s="50"/>
      <c r="U4" s="50"/>
      <c r="V4" s="50"/>
      <c r="W4" s="50"/>
      <c r="X4" s="50"/>
      <c r="Y4" s="50"/>
      <c r="Z4" s="50"/>
      <c r="AA4" s="50"/>
      <c r="AB4" s="50"/>
      <c r="AC4" s="50"/>
      <c r="AD4" s="50"/>
      <c r="AE4" s="50"/>
      <c r="AF4" s="50"/>
      <c r="AG4" s="50"/>
      <c r="AH4" s="389"/>
      <c r="AI4" s="389"/>
      <c r="AJ4" s="389"/>
      <c r="AK4" s="389"/>
      <c r="AL4" s="389"/>
    </row>
    <row r="5" spans="1:38" s="390" customFormat="1" ht="24" customHeight="1">
      <c r="A5" s="50"/>
      <c r="B5" s="950" t="s">
        <v>818</v>
      </c>
      <c r="C5" s="951"/>
      <c r="D5" s="951"/>
      <c r="E5" s="951"/>
      <c r="F5" s="951"/>
      <c r="G5" s="951"/>
      <c r="H5" s="951"/>
      <c r="I5" s="951"/>
      <c r="J5" s="951"/>
      <c r="K5" s="951"/>
      <c r="L5" s="802"/>
      <c r="M5" s="50"/>
      <c r="N5" s="50"/>
      <c r="O5" s="50"/>
      <c r="P5" s="50"/>
      <c r="Q5" s="50"/>
      <c r="R5" s="50"/>
      <c r="S5" s="50"/>
      <c r="T5" s="50"/>
      <c r="U5" s="50"/>
      <c r="V5" s="50"/>
      <c r="W5" s="50"/>
      <c r="X5" s="50"/>
      <c r="Y5" s="50"/>
      <c r="Z5" s="50"/>
      <c r="AA5" s="50"/>
      <c r="AB5" s="50"/>
      <c r="AC5" s="50"/>
      <c r="AD5" s="50"/>
      <c r="AE5" s="50"/>
      <c r="AF5" s="50"/>
      <c r="AG5" s="50"/>
      <c r="AH5" s="389"/>
      <c r="AI5" s="389"/>
      <c r="AJ5" s="389"/>
      <c r="AK5" s="389"/>
      <c r="AL5" s="389"/>
    </row>
    <row r="6" spans="1:38" ht="18.75">
      <c r="A6" s="13"/>
      <c r="C6" s="937" t="s">
        <v>12</v>
      </c>
      <c r="D6" s="937"/>
      <c r="E6" s="937"/>
      <c r="F6"/>
      <c r="G6"/>
      <c r="H6"/>
      <c r="I6"/>
      <c r="J6"/>
      <c r="K6"/>
      <c r="L6"/>
      <c r="M6" s="13"/>
      <c r="N6" s="13"/>
      <c r="O6" s="36"/>
      <c r="P6" s="13"/>
      <c r="Q6" s="13"/>
      <c r="R6" s="13"/>
      <c r="S6" s="13"/>
      <c r="T6" s="13"/>
      <c r="U6" s="13"/>
      <c r="V6" s="13"/>
      <c r="W6" s="13"/>
      <c r="X6" s="13"/>
      <c r="Y6" s="13"/>
      <c r="Z6" s="13"/>
      <c r="AA6" s="13"/>
      <c r="AB6" s="13"/>
      <c r="AC6" s="13"/>
      <c r="AD6" s="13"/>
      <c r="AE6" s="13"/>
      <c r="AF6" s="13"/>
      <c r="AG6" s="13"/>
      <c r="AH6" s="12"/>
      <c r="AI6" s="12"/>
      <c r="AJ6" s="12"/>
      <c r="AK6" s="12"/>
      <c r="AL6" s="12"/>
    </row>
    <row r="7" spans="1:38" s="55" customFormat="1" ht="15">
      <c r="A7" s="13"/>
      <c r="B7" s="410"/>
      <c r="C7" s="879"/>
      <c r="D7" s="879"/>
      <c r="E7" s="879"/>
      <c r="F7" s="879"/>
      <c r="G7" s="6"/>
      <c r="H7" s="6"/>
      <c r="I7" s="6"/>
      <c r="J7" s="6"/>
      <c r="K7" s="6"/>
      <c r="L7" s="6"/>
      <c r="M7" s="14"/>
      <c r="N7" s="36" t="str">
        <f>IF(OR(StatusOfCalcFields="Incomplete",StatusOfUtilityFields="Incomplete"),"Calculations on this tab use information from the 'Facility Info' tab. Therefore you must first complete the 'Facility Info' tab before you can display these results.","")</f>
        <v>Calculations on this tab use information from the 'Facility Info' tab. Therefore you must first complete the 'Facility Info' tab before you can display these results.</v>
      </c>
      <c r="O7" s="14"/>
      <c r="P7" s="14"/>
      <c r="Q7" s="14"/>
      <c r="R7" s="14"/>
      <c r="S7" s="14"/>
      <c r="T7" s="14"/>
      <c r="U7" s="14"/>
      <c r="V7" s="14"/>
      <c r="W7" s="14"/>
      <c r="X7" s="14"/>
      <c r="Y7" s="14"/>
      <c r="Z7" s="14"/>
      <c r="AA7" s="14"/>
      <c r="AB7" s="14"/>
      <c r="AC7" s="14"/>
      <c r="AD7" s="14"/>
      <c r="AE7" s="14"/>
      <c r="AF7" s="14"/>
      <c r="AG7" s="14"/>
      <c r="AH7" s="12"/>
      <c r="AI7" s="12"/>
      <c r="AJ7" s="12"/>
      <c r="AK7" s="12"/>
      <c r="AL7" s="12"/>
    </row>
    <row r="8" spans="1:38" ht="15" customHeight="1">
      <c r="A8" s="13"/>
      <c r="C8" s="878" t="s">
        <v>48</v>
      </c>
      <c r="D8" s="878"/>
      <c r="E8" s="878"/>
      <c r="F8" s="883"/>
      <c r="G8" s="748"/>
      <c r="H8"/>
      <c r="I8"/>
      <c r="J8"/>
      <c r="K8"/>
      <c r="L8"/>
      <c r="M8" s="13"/>
      <c r="N8" s="36" t="str">
        <f>IF(G8="","Question 1 (employee count) is incomplete.","")</f>
        <v>Question 1 (employee count) is incomplete.</v>
      </c>
      <c r="O8" s="13"/>
      <c r="P8" s="13"/>
      <c r="Q8" s="13"/>
      <c r="R8" s="13"/>
      <c r="S8" s="13"/>
      <c r="T8" s="13"/>
      <c r="U8" s="13"/>
      <c r="V8" s="13"/>
      <c r="W8" s="13"/>
      <c r="X8" s="13"/>
      <c r="Y8" s="13"/>
      <c r="Z8" s="13"/>
      <c r="AA8" s="13"/>
      <c r="AB8" s="13"/>
      <c r="AC8" s="13"/>
      <c r="AD8" s="13"/>
      <c r="AE8" s="13"/>
      <c r="AF8" s="13"/>
      <c r="AG8" s="13"/>
      <c r="AH8" s="12"/>
      <c r="AI8" s="12"/>
      <c r="AJ8" s="12"/>
      <c r="AK8" s="12"/>
      <c r="AL8" s="12"/>
    </row>
    <row r="9" spans="1:38" ht="15" customHeight="1">
      <c r="A9" s="13"/>
      <c r="C9" s="879"/>
      <c r="D9" s="879"/>
      <c r="E9" s="879"/>
      <c r="F9" s="879"/>
      <c r="G9"/>
      <c r="H9"/>
      <c r="I9"/>
      <c r="J9"/>
      <c r="K9"/>
      <c r="L9"/>
      <c r="M9" s="13"/>
      <c r="N9" s="36"/>
      <c r="O9" s="13"/>
      <c r="P9" s="13"/>
      <c r="Q9" s="13"/>
      <c r="R9" s="13"/>
      <c r="S9" s="13"/>
      <c r="T9" s="13"/>
      <c r="U9" s="13"/>
      <c r="V9" s="13"/>
      <c r="W9" s="13"/>
      <c r="X9" s="13"/>
      <c r="Y9" s="13"/>
      <c r="Z9" s="13"/>
      <c r="AA9" s="13"/>
      <c r="AB9" s="13"/>
      <c r="AC9" s="13"/>
      <c r="AD9" s="13"/>
      <c r="AE9" s="13"/>
      <c r="AF9" s="13"/>
      <c r="AG9" s="13"/>
      <c r="AH9" s="12"/>
      <c r="AI9" s="12"/>
      <c r="AJ9" s="12"/>
      <c r="AK9" s="12"/>
      <c r="AL9" s="12"/>
    </row>
    <row r="10" spans="1:38" ht="15" customHeight="1">
      <c r="A10" s="13"/>
      <c r="C10" s="878" t="s">
        <v>52</v>
      </c>
      <c r="D10" s="878"/>
      <c r="E10" s="878"/>
      <c r="F10" s="883"/>
      <c r="G10" s="748"/>
      <c r="H10"/>
      <c r="I10"/>
      <c r="J10"/>
      <c r="K10"/>
      <c r="L10"/>
      <c r="M10" s="13"/>
      <c r="N10" s="36" t="str">
        <f>IF(G10="","Question 2 (visitor count) is incomplete.","")</f>
        <v>Question 2 (visitor count) is incomplete.</v>
      </c>
      <c r="O10" s="13"/>
      <c r="P10" s="13"/>
      <c r="Q10" s="13"/>
      <c r="R10" s="13"/>
      <c r="S10" s="13"/>
      <c r="T10" s="13"/>
      <c r="U10" s="13"/>
      <c r="V10" s="13"/>
      <c r="W10" s="13"/>
      <c r="X10" s="13"/>
      <c r="Y10" s="13"/>
      <c r="Z10" s="13"/>
      <c r="AA10" s="13"/>
      <c r="AB10" s="13"/>
      <c r="AC10" s="13"/>
      <c r="AD10" s="13"/>
      <c r="AE10" s="13"/>
      <c r="AF10" s="13"/>
      <c r="AG10" s="13"/>
      <c r="AH10" s="12"/>
      <c r="AI10" s="12"/>
      <c r="AJ10" s="12"/>
      <c r="AK10" s="12"/>
      <c r="AL10" s="12"/>
    </row>
    <row r="11" spans="1:38" ht="15">
      <c r="A11" s="13"/>
      <c r="C11" s="879"/>
      <c r="D11" s="879"/>
      <c r="E11" s="879"/>
      <c r="F11" s="879"/>
      <c r="G11" s="400"/>
      <c r="H11"/>
      <c r="I11"/>
      <c r="J11"/>
      <c r="K11"/>
      <c r="L11"/>
      <c r="M11" s="13"/>
      <c r="N11" s="13"/>
      <c r="O11" s="13"/>
      <c r="P11" s="13"/>
      <c r="Q11" s="13"/>
      <c r="R11" s="13"/>
      <c r="S11" s="13"/>
      <c r="T11" s="13"/>
      <c r="U11" s="13"/>
      <c r="V11" s="13"/>
      <c r="W11" s="13"/>
      <c r="X11" s="13"/>
      <c r="Y11" s="13"/>
      <c r="Z11" s="13"/>
      <c r="AA11" s="13"/>
      <c r="AB11" s="13"/>
      <c r="AC11" s="13"/>
      <c r="AD11" s="13"/>
      <c r="AE11" s="13"/>
      <c r="AF11" s="13"/>
      <c r="AG11" s="13"/>
      <c r="AH11" s="12"/>
      <c r="AI11" s="12"/>
      <c r="AJ11" s="12"/>
      <c r="AK11" s="12"/>
      <c r="AL11" s="12"/>
    </row>
    <row r="12" spans="1:38" s="390" customFormat="1" ht="21.75" customHeight="1">
      <c r="A12" s="13"/>
      <c r="B12" s="410"/>
      <c r="C12" s="936" t="s">
        <v>54</v>
      </c>
      <c r="D12" s="936"/>
      <c r="E12" s="936"/>
      <c r="F12" s="936"/>
      <c r="G12" s="802"/>
      <c r="H12" s="387"/>
      <c r="I12" s="387"/>
      <c r="J12" s="387"/>
      <c r="K12" s="431"/>
      <c r="L12" s="387"/>
      <c r="M12" s="50"/>
      <c r="N12" s="36" t="str">
        <f>IF(AND(COUNTA(ToiletInfo)=0,COUNTA(UrinalInfo)=0,COUNTA(FaucetInfo)=0,COUNTA(ShowerInfo)=0),"Based on your current inputs, there are no results to display.","")</f>
        <v>Based on your current inputs, there are no results to display.</v>
      </c>
      <c r="O12" s="50"/>
      <c r="P12" s="50"/>
      <c r="Q12" s="50"/>
      <c r="R12" s="50"/>
      <c r="S12" s="50"/>
      <c r="T12" s="50"/>
      <c r="U12" s="50"/>
      <c r="V12" s="50"/>
      <c r="W12" s="50"/>
      <c r="X12" s="50"/>
      <c r="Y12" s="50"/>
      <c r="Z12" s="50"/>
      <c r="AA12" s="50"/>
      <c r="AB12" s="50"/>
      <c r="AC12" s="50"/>
      <c r="AD12" s="50"/>
      <c r="AE12" s="50"/>
      <c r="AF12" s="50"/>
      <c r="AG12" s="50"/>
      <c r="AH12" s="389"/>
      <c r="AI12" s="389"/>
      <c r="AJ12" s="389"/>
      <c r="AK12" s="389"/>
      <c r="AL12" s="389"/>
    </row>
    <row r="13" spans="1:38" ht="26.25">
      <c r="A13" s="13"/>
      <c r="C13"/>
      <c r="D13" s="17" t="s">
        <v>9</v>
      </c>
      <c r="E13" s="17" t="s">
        <v>10</v>
      </c>
      <c r="F13" s="466" t="s">
        <v>15</v>
      </c>
      <c r="G13" s="8"/>
      <c r="H13"/>
      <c r="I13"/>
      <c r="J13"/>
      <c r="K13"/>
      <c r="L13"/>
      <c r="M13" s="13"/>
      <c r="N13" s="13"/>
      <c r="O13" s="716" t="s">
        <v>345</v>
      </c>
      <c r="P13" s="716" t="s">
        <v>511</v>
      </c>
      <c r="Q13" s="716" t="s">
        <v>346</v>
      </c>
      <c r="R13" s="716" t="s">
        <v>512</v>
      </c>
      <c r="S13" s="716" t="s">
        <v>346</v>
      </c>
      <c r="T13" s="36"/>
      <c r="U13" s="13"/>
      <c r="V13" s="13"/>
      <c r="W13" s="13"/>
      <c r="X13" s="13"/>
      <c r="Y13" s="13"/>
      <c r="Z13" s="13"/>
      <c r="AA13" s="13"/>
      <c r="AB13" s="13"/>
      <c r="AC13" s="13"/>
      <c r="AD13" s="13"/>
      <c r="AE13" s="13"/>
      <c r="AF13" s="13"/>
      <c r="AG13" s="13"/>
      <c r="AH13" s="12"/>
      <c r="AI13" s="12"/>
      <c r="AJ13" s="12"/>
      <c r="AK13" s="12"/>
      <c r="AL13" s="12"/>
    </row>
    <row r="14" spans="1:38" ht="15">
      <c r="A14" s="13"/>
      <c r="C14"/>
      <c r="D14" s="747"/>
      <c r="E14" s="749"/>
      <c r="F14" s="746"/>
      <c r="G14" s="31"/>
      <c r="H14"/>
      <c r="I14"/>
      <c r="J14"/>
      <c r="K14"/>
      <c r="L14"/>
      <c r="M14" s="13"/>
      <c r="N14" s="36">
        <f>IF(AND(COUNTA(D14:F14)&gt;0,COUNTA(D14:F14)&lt;3),"The first row under question 3 (toilets) is incomplete.","")</f>
      </c>
      <c r="O14" s="717">
        <f>IF(F14&gt;WaterSenseToiletFlushVolume,WaterSenseToiletFlushVolume,F14)</f>
        <v>0</v>
      </c>
      <c r="P14" s="268">
        <f>IF(D14="Tank-Type",E14,0)</f>
        <v>0</v>
      </c>
      <c r="Q14" s="268">
        <f>IF(F14&gt;WaterSenseToiletFlushVolume,P14,0)</f>
        <v>0</v>
      </c>
      <c r="R14" s="268">
        <f>IF(D14="Flushometer-Valve",E14,0)</f>
        <v>0</v>
      </c>
      <c r="S14" s="268">
        <f>IF(F14&gt;WaterSenseToiletFlushVolume,R14,0)</f>
        <v>0</v>
      </c>
      <c r="T14" s="36"/>
      <c r="U14" s="13"/>
      <c r="V14" s="13"/>
      <c r="W14" s="13"/>
      <c r="X14" s="13"/>
      <c r="Y14" s="13"/>
      <c r="Z14" s="13"/>
      <c r="AA14" s="13"/>
      <c r="AB14" s="13"/>
      <c r="AC14" s="13"/>
      <c r="AD14" s="13"/>
      <c r="AE14" s="13"/>
      <c r="AF14" s="13"/>
      <c r="AG14" s="13"/>
      <c r="AH14" s="12"/>
      <c r="AI14" s="12"/>
      <c r="AJ14" s="12"/>
      <c r="AK14" s="12"/>
      <c r="AL14" s="12"/>
    </row>
    <row r="15" spans="1:38" ht="15">
      <c r="A15" s="13"/>
      <c r="C15"/>
      <c r="D15" s="747"/>
      <c r="E15" s="749"/>
      <c r="F15" s="746"/>
      <c r="G15" s="31"/>
      <c r="H15"/>
      <c r="I15"/>
      <c r="J15"/>
      <c r="K15"/>
      <c r="L15"/>
      <c r="M15" s="13"/>
      <c r="N15" s="36">
        <f>IF(AND(COUNTA(D15:F15)&gt;0,COUNTA(D15:F15)&lt;3),"The second row under question 3 (toilets) is incomplete.","")</f>
      </c>
      <c r="O15" s="717">
        <f>IF(F15&gt;WaterSenseToiletFlushVolume,WaterSenseToiletFlushVolume,F15)</f>
        <v>0</v>
      </c>
      <c r="P15" s="268">
        <f>IF(D15="Tank-Type",E15,0)</f>
        <v>0</v>
      </c>
      <c r="Q15" s="268">
        <f>IF(F15&gt;WaterSenseToiletFlushVolume,P15,0)</f>
        <v>0</v>
      </c>
      <c r="R15" s="268">
        <f>IF(D15="Flushometer-Valve",E15,0)</f>
        <v>0</v>
      </c>
      <c r="S15" s="268">
        <f>IF(F15&gt;WaterSenseToiletFlushVolume,R15,0)</f>
        <v>0</v>
      </c>
      <c r="T15" s="36"/>
      <c r="U15" s="13"/>
      <c r="V15" s="13"/>
      <c r="W15" s="13"/>
      <c r="X15" s="13"/>
      <c r="Y15" s="13"/>
      <c r="Z15" s="13"/>
      <c r="AA15" s="13"/>
      <c r="AB15" s="13"/>
      <c r="AC15" s="13"/>
      <c r="AD15" s="13"/>
      <c r="AE15" s="13"/>
      <c r="AF15" s="13"/>
      <c r="AG15" s="13"/>
      <c r="AH15" s="12"/>
      <c r="AI15" s="12"/>
      <c r="AJ15" s="12"/>
      <c r="AK15" s="12"/>
      <c r="AL15" s="12"/>
    </row>
    <row r="16" spans="1:38" ht="15">
      <c r="A16" s="13"/>
      <c r="C16"/>
      <c r="D16" s="747"/>
      <c r="E16" s="749"/>
      <c r="F16" s="746"/>
      <c r="G16" s="31"/>
      <c r="H16"/>
      <c r="I16"/>
      <c r="J16"/>
      <c r="K16"/>
      <c r="L16"/>
      <c r="M16" s="13"/>
      <c r="N16" s="36">
        <f>IF(AND(COUNTA(D16:F16)&gt;0,COUNTA(D16:F16)&lt;3),"The third row under question 3 (toilets) is incomplete.","")</f>
      </c>
      <c r="O16" s="717">
        <f>IF(F16&gt;WaterSenseToiletFlushVolume,WaterSenseToiletFlushVolume,F16)</f>
        <v>0</v>
      </c>
      <c r="P16" s="268">
        <f>IF(D16="Tank-Type",E16,0)</f>
        <v>0</v>
      </c>
      <c r="Q16" s="268">
        <f>IF(F16&gt;WaterSenseToiletFlushVolume,P16,0)</f>
        <v>0</v>
      </c>
      <c r="R16" s="268">
        <f>IF(D16="Flushometer-Valve",E16,0)</f>
        <v>0</v>
      </c>
      <c r="S16" s="268">
        <f>IF(F16&gt;WaterSenseToiletFlushVolume,R16,0)</f>
        <v>0</v>
      </c>
      <c r="T16" s="36"/>
      <c r="U16" s="13"/>
      <c r="V16" s="13"/>
      <c r="W16" s="13"/>
      <c r="X16" s="13"/>
      <c r="Y16" s="13"/>
      <c r="Z16" s="13"/>
      <c r="AA16" s="13"/>
      <c r="AB16" s="13"/>
      <c r="AC16" s="13"/>
      <c r="AD16" s="13"/>
      <c r="AE16" s="13"/>
      <c r="AF16" s="13"/>
      <c r="AG16" s="13"/>
      <c r="AH16" s="12"/>
      <c r="AI16" s="12"/>
      <c r="AJ16" s="12"/>
      <c r="AK16" s="12"/>
      <c r="AL16" s="12"/>
    </row>
    <row r="17" spans="1:38" ht="15">
      <c r="A17" s="13"/>
      <c r="C17" s="400"/>
      <c r="D17" s="400"/>
      <c r="E17" s="400"/>
      <c r="F17" s="400"/>
      <c r="G17"/>
      <c r="H17"/>
      <c r="I17"/>
      <c r="J17"/>
      <c r="K17"/>
      <c r="L17"/>
      <c r="M17" s="13"/>
      <c r="N17" s="36"/>
      <c r="O17" s="36"/>
      <c r="P17" s="36"/>
      <c r="Q17" s="36"/>
      <c r="R17" s="36"/>
      <c r="S17" s="36"/>
      <c r="T17" s="36"/>
      <c r="U17" s="13"/>
      <c r="V17" s="13"/>
      <c r="W17" s="13"/>
      <c r="X17" s="13"/>
      <c r="Y17" s="13"/>
      <c r="Z17" s="13"/>
      <c r="AA17" s="13"/>
      <c r="AB17" s="13"/>
      <c r="AC17" s="13"/>
      <c r="AD17" s="13"/>
      <c r="AE17" s="13"/>
      <c r="AF17" s="13"/>
      <c r="AG17" s="13"/>
      <c r="AH17" s="12"/>
      <c r="AI17" s="12"/>
      <c r="AJ17" s="12"/>
      <c r="AK17" s="12"/>
      <c r="AL17" s="12"/>
    </row>
    <row r="18" spans="1:38" s="390" customFormat="1" ht="19.5" customHeight="1">
      <c r="A18" s="13"/>
      <c r="B18" s="410"/>
      <c r="C18" s="936" t="s">
        <v>55</v>
      </c>
      <c r="D18" s="936"/>
      <c r="E18" s="936"/>
      <c r="F18" s="936"/>
      <c r="G18" s="391"/>
      <c r="H18" s="387"/>
      <c r="I18" s="387"/>
      <c r="J18" s="387"/>
      <c r="K18" s="431"/>
      <c r="L18" s="387"/>
      <c r="M18" s="50"/>
      <c r="N18" s="50"/>
      <c r="O18" s="617"/>
      <c r="P18" s="617"/>
      <c r="Q18" s="617"/>
      <c r="R18" s="617"/>
      <c r="S18" s="617"/>
      <c r="T18" s="617"/>
      <c r="U18" s="50"/>
      <c r="V18" s="50"/>
      <c r="W18" s="50"/>
      <c r="X18" s="50"/>
      <c r="Y18" s="50"/>
      <c r="Z18" s="50"/>
      <c r="AA18" s="50"/>
      <c r="AB18" s="50"/>
      <c r="AC18" s="50"/>
      <c r="AD18" s="50"/>
      <c r="AE18" s="50"/>
      <c r="AF18" s="50"/>
      <c r="AG18" s="50"/>
      <c r="AH18" s="389"/>
      <c r="AI18" s="389"/>
      <c r="AJ18" s="389"/>
      <c r="AK18" s="389"/>
      <c r="AL18" s="389"/>
    </row>
    <row r="19" spans="1:38" ht="26.25">
      <c r="A19" s="13"/>
      <c r="C19"/>
      <c r="D19" s="17" t="s">
        <v>11</v>
      </c>
      <c r="E19" s="17" t="s">
        <v>10</v>
      </c>
      <c r="F19" s="84" t="s">
        <v>15</v>
      </c>
      <c r="G19" s="4"/>
      <c r="H19"/>
      <c r="I19"/>
      <c r="J19"/>
      <c r="K19"/>
      <c r="L19"/>
      <c r="M19" s="13"/>
      <c r="N19" s="13"/>
      <c r="O19" s="716" t="s">
        <v>345</v>
      </c>
      <c r="P19" s="716" t="s">
        <v>346</v>
      </c>
      <c r="Q19" s="36"/>
      <c r="R19" s="36"/>
      <c r="S19" s="36"/>
      <c r="T19" s="36"/>
      <c r="U19" s="13"/>
      <c r="V19" s="13"/>
      <c r="W19" s="13"/>
      <c r="X19" s="13"/>
      <c r="Y19" s="13"/>
      <c r="Z19" s="13"/>
      <c r="AA19" s="13"/>
      <c r="AB19" s="13"/>
      <c r="AC19" s="13"/>
      <c r="AD19" s="13"/>
      <c r="AE19" s="13"/>
      <c r="AF19" s="13"/>
      <c r="AG19" s="13"/>
      <c r="AH19" s="12"/>
      <c r="AI19" s="12"/>
      <c r="AJ19" s="12"/>
      <c r="AK19" s="12"/>
      <c r="AL19" s="12"/>
    </row>
    <row r="20" spans="1:38" ht="15">
      <c r="A20" s="13"/>
      <c r="C20"/>
      <c r="D20" s="747"/>
      <c r="E20" s="749"/>
      <c r="F20" s="746"/>
      <c r="G20" s="31"/>
      <c r="H20"/>
      <c r="I20"/>
      <c r="J20"/>
      <c r="K20"/>
      <c r="L20"/>
      <c r="M20" s="13"/>
      <c r="N20" s="36">
        <f>IF(AND(COUNTA(D20:F20)&gt;0,COUNTA(D20:F20)&lt;3),"The first row under question 4 (urinals) is incomplete.","")</f>
      </c>
      <c r="O20" s="717">
        <f>IF(F20&gt;WaterSenseUrinalFlushVolume,WaterSenseUrinalFlushVolume,F20)</f>
        <v>0</v>
      </c>
      <c r="P20" s="268">
        <f>IF(F20&gt;WaterSenseUrinalFlushVolume,E20,0)</f>
        <v>0</v>
      </c>
      <c r="Q20" s="36"/>
      <c r="R20" s="36"/>
      <c r="S20" s="36"/>
      <c r="T20" s="36"/>
      <c r="U20" s="13"/>
      <c r="V20" s="13"/>
      <c r="W20" s="13"/>
      <c r="X20" s="13"/>
      <c r="Y20" s="13"/>
      <c r="Z20" s="13"/>
      <c r="AA20" s="13"/>
      <c r="AB20" s="13"/>
      <c r="AC20" s="13"/>
      <c r="AD20" s="13"/>
      <c r="AE20" s="13"/>
      <c r="AF20" s="13"/>
      <c r="AG20" s="13"/>
      <c r="AH20" s="12"/>
      <c r="AI20" s="12"/>
      <c r="AJ20" s="12"/>
      <c r="AK20" s="12"/>
      <c r="AL20" s="12"/>
    </row>
    <row r="21" spans="1:38" ht="15">
      <c r="A21" s="13"/>
      <c r="C21"/>
      <c r="D21" s="747"/>
      <c r="E21" s="749"/>
      <c r="F21" s="746"/>
      <c r="G21" s="31"/>
      <c r="H21"/>
      <c r="I21"/>
      <c r="J21"/>
      <c r="K21"/>
      <c r="L21"/>
      <c r="M21" s="13"/>
      <c r="N21" s="36">
        <f>IF(AND(COUNTA(D21:F21)&gt;0,COUNTA(D21:F21)&lt;3),"The second row under question 4 (urinals) is incomplete.","")</f>
      </c>
      <c r="O21" s="717">
        <f>IF(F21&gt;WaterSenseUrinalFlushVolume,WaterSenseUrinalFlushVolume,F21)</f>
        <v>0</v>
      </c>
      <c r="P21" s="268">
        <f>IF(F21&gt;WaterSenseUrinalFlushVolume,E21,0)</f>
        <v>0</v>
      </c>
      <c r="Q21" s="36"/>
      <c r="R21" s="36"/>
      <c r="S21" s="36"/>
      <c r="T21" s="36"/>
      <c r="U21" s="13"/>
      <c r="V21" s="13"/>
      <c r="W21" s="13"/>
      <c r="X21" s="13"/>
      <c r="Y21" s="13"/>
      <c r="Z21" s="13"/>
      <c r="AA21" s="13"/>
      <c r="AB21" s="13"/>
      <c r="AC21" s="13"/>
      <c r="AD21" s="13"/>
      <c r="AE21" s="13"/>
      <c r="AF21" s="13"/>
      <c r="AG21" s="13"/>
      <c r="AH21" s="12"/>
      <c r="AI21" s="12"/>
      <c r="AJ21" s="12"/>
      <c r="AK21" s="12"/>
      <c r="AL21" s="12"/>
    </row>
    <row r="22" spans="1:38" ht="15">
      <c r="A22" s="13"/>
      <c r="C22"/>
      <c r="D22" s="747"/>
      <c r="E22" s="749"/>
      <c r="F22" s="746"/>
      <c r="G22" s="31"/>
      <c r="H22"/>
      <c r="I22"/>
      <c r="J22"/>
      <c r="K22"/>
      <c r="L22"/>
      <c r="M22" s="13"/>
      <c r="N22" s="36">
        <f>IF(AND(COUNTA(D22:F22)&gt;0,COUNTA(D22:F22)&lt;3),"The third row under question 4 (urinals) is incomplete.","")</f>
      </c>
      <c r="O22" s="717">
        <f>IF(F22&gt;WaterSenseUrinalFlushVolume,WaterSenseUrinalFlushVolume,F22)</f>
        <v>0</v>
      </c>
      <c r="P22" s="268">
        <f>IF(F22&gt;WaterSenseUrinalFlushVolume,E22,0)</f>
        <v>0</v>
      </c>
      <c r="Q22" s="36"/>
      <c r="R22" s="36"/>
      <c r="S22" s="36"/>
      <c r="T22" s="36"/>
      <c r="U22" s="13"/>
      <c r="V22" s="13"/>
      <c r="W22" s="13"/>
      <c r="X22" s="13"/>
      <c r="Y22" s="13"/>
      <c r="Z22" s="13"/>
      <c r="AA22" s="13"/>
      <c r="AB22" s="13"/>
      <c r="AC22" s="13"/>
      <c r="AD22" s="13"/>
      <c r="AE22" s="13"/>
      <c r="AF22" s="13"/>
      <c r="AG22" s="13"/>
      <c r="AH22" s="12"/>
      <c r="AI22" s="12"/>
      <c r="AJ22" s="12"/>
      <c r="AK22" s="12"/>
      <c r="AL22" s="12"/>
    </row>
    <row r="23" spans="1:38" ht="15">
      <c r="A23" s="13"/>
      <c r="G23" s="7"/>
      <c r="M23" s="13"/>
      <c r="N23" s="36">
        <f>IF(OR(AND(D20="Non-Water",F20&gt;0),AND(D21="Non-Water",F21&gt;0),AND(D22="Non-Water",F22&gt;0)),"For question 4 (urinals), you've indicated at least one non-water urinal with a flow rate greater than zero. The flow rate for non-water urinals must be zero.","")</f>
      </c>
      <c r="O23" s="717"/>
      <c r="P23" s="36"/>
      <c r="Q23" s="36"/>
      <c r="R23" s="36"/>
      <c r="S23" s="36"/>
      <c r="T23" s="36"/>
      <c r="U23" s="13"/>
      <c r="V23" s="13"/>
      <c r="W23" s="13"/>
      <c r="X23" s="13"/>
      <c r="Y23" s="13"/>
      <c r="Z23" s="13"/>
      <c r="AA23" s="13"/>
      <c r="AB23" s="13"/>
      <c r="AC23" s="13"/>
      <c r="AD23" s="13"/>
      <c r="AE23" s="13"/>
      <c r="AF23" s="13"/>
      <c r="AG23" s="13"/>
      <c r="AH23" s="12"/>
      <c r="AI23" s="12"/>
      <c r="AJ23" s="12"/>
      <c r="AK23" s="12"/>
      <c r="AL23" s="12"/>
    </row>
    <row r="24" spans="1:38" s="390" customFormat="1" ht="19.5" customHeight="1">
      <c r="A24" s="13"/>
      <c r="B24" s="410"/>
      <c r="C24" s="936" t="s">
        <v>504</v>
      </c>
      <c r="D24" s="936"/>
      <c r="E24" s="936"/>
      <c r="F24" s="936"/>
      <c r="G24" s="936"/>
      <c r="H24" s="387"/>
      <c r="I24" s="387"/>
      <c r="J24" s="387"/>
      <c r="K24" s="431"/>
      <c r="L24" s="387"/>
      <c r="M24" s="50"/>
      <c r="N24" s="50"/>
      <c r="O24" s="617"/>
      <c r="P24" s="617"/>
      <c r="Q24" s="617"/>
      <c r="R24" s="617"/>
      <c r="S24" s="617"/>
      <c r="T24" s="617"/>
      <c r="U24" s="50"/>
      <c r="V24" s="50"/>
      <c r="W24" s="50"/>
      <c r="X24" s="50"/>
      <c r="Y24" s="50"/>
      <c r="Z24" s="50"/>
      <c r="AA24" s="50"/>
      <c r="AB24" s="50"/>
      <c r="AC24" s="50"/>
      <c r="AD24" s="50"/>
      <c r="AE24" s="50"/>
      <c r="AF24" s="50"/>
      <c r="AG24" s="50"/>
      <c r="AH24" s="389"/>
      <c r="AI24" s="389"/>
      <c r="AJ24" s="389"/>
      <c r="AK24" s="389"/>
      <c r="AL24" s="389"/>
    </row>
    <row r="25" spans="1:38" ht="15">
      <c r="A25" s="13"/>
      <c r="C25"/>
      <c r="D25" s="17" t="s">
        <v>10</v>
      </c>
      <c r="E25" s="84" t="s">
        <v>16</v>
      </c>
      <c r="F25" s="2"/>
      <c r="M25" s="13"/>
      <c r="N25" s="13"/>
      <c r="O25" s="716" t="s">
        <v>345</v>
      </c>
      <c r="P25" s="716" t="s">
        <v>346</v>
      </c>
      <c r="Q25" s="36"/>
      <c r="R25" s="36"/>
      <c r="S25" s="36"/>
      <c r="T25" s="36"/>
      <c r="U25" s="13"/>
      <c r="V25" s="13"/>
      <c r="W25" s="13"/>
      <c r="X25" s="13"/>
      <c r="Y25" s="13"/>
      <c r="Z25" s="13"/>
      <c r="AA25" s="13"/>
      <c r="AB25" s="13"/>
      <c r="AC25" s="13"/>
      <c r="AD25" s="13"/>
      <c r="AE25" s="13"/>
      <c r="AF25" s="13"/>
      <c r="AG25" s="13"/>
      <c r="AH25" s="12"/>
      <c r="AI25" s="12"/>
      <c r="AJ25" s="12"/>
      <c r="AK25" s="12"/>
      <c r="AL25" s="12"/>
    </row>
    <row r="26" spans="1:38" ht="15">
      <c r="A26" s="13"/>
      <c r="C26"/>
      <c r="D26" s="749"/>
      <c r="E26" s="746"/>
      <c r="F26" s="31"/>
      <c r="M26" s="13"/>
      <c r="N26" s="36">
        <f>IF(AND(COUNTA(D26:E26)&gt;0,COUNTA(D26:E26)&lt;2),"The first row under question 5 (faucets) is incomplete.","")</f>
      </c>
      <c r="O26" s="717">
        <f>IF(E26&gt;WaterSenseFaucetFlowRate,WaterSenseFaucetFlowRate,E26)</f>
        <v>0</v>
      </c>
      <c r="P26" s="268">
        <f>IF(E26&gt;WaterSenseFaucetFlowRate,D26,0)</f>
        <v>0</v>
      </c>
      <c r="Q26" s="36"/>
      <c r="R26" s="36"/>
      <c r="S26" s="36"/>
      <c r="T26" s="36"/>
      <c r="U26" s="13"/>
      <c r="V26" s="13"/>
      <c r="W26" s="13"/>
      <c r="X26" s="13"/>
      <c r="Y26" s="13"/>
      <c r="Z26" s="13"/>
      <c r="AA26" s="13"/>
      <c r="AB26" s="13"/>
      <c r="AC26" s="13"/>
      <c r="AD26" s="13"/>
      <c r="AE26" s="13"/>
      <c r="AF26" s="13"/>
      <c r="AG26" s="13"/>
      <c r="AH26" s="12"/>
      <c r="AI26" s="12"/>
      <c r="AJ26" s="12"/>
      <c r="AK26" s="12"/>
      <c r="AL26" s="12"/>
    </row>
    <row r="27" spans="1:38" ht="15">
      <c r="A27" s="13"/>
      <c r="C27"/>
      <c r="D27" s="749"/>
      <c r="E27" s="746"/>
      <c r="F27" s="31"/>
      <c r="M27" s="13"/>
      <c r="N27" s="36">
        <f>IF(AND(COUNTA(D27:E27)&gt;0,COUNTA(D27:E27)&lt;2),"The second row under question 5 (faucets) is incomplete.","")</f>
      </c>
      <c r="O27" s="717">
        <f>IF(E27&gt;WaterSenseFaucetFlowRate,WaterSenseFaucetFlowRate,E27)</f>
        <v>0</v>
      </c>
      <c r="P27" s="268">
        <f>IF(E27&gt;WaterSenseFaucetFlowRate,D27,0)</f>
        <v>0</v>
      </c>
      <c r="Q27" s="36"/>
      <c r="R27" s="36"/>
      <c r="S27" s="36"/>
      <c r="T27" s="36"/>
      <c r="U27" s="13"/>
      <c r="V27" s="13"/>
      <c r="W27" s="13"/>
      <c r="X27" s="13"/>
      <c r="Y27" s="13"/>
      <c r="Z27" s="13"/>
      <c r="AA27" s="13"/>
      <c r="AB27" s="13"/>
      <c r="AC27" s="13"/>
      <c r="AD27" s="13"/>
      <c r="AE27" s="13"/>
      <c r="AF27" s="13"/>
      <c r="AG27" s="13"/>
      <c r="AH27" s="12"/>
      <c r="AI27" s="12"/>
      <c r="AJ27" s="12"/>
      <c r="AK27" s="12"/>
      <c r="AL27" s="12"/>
    </row>
    <row r="28" spans="1:38" ht="15">
      <c r="A28" s="22"/>
      <c r="C28"/>
      <c r="D28" s="749"/>
      <c r="E28" s="746"/>
      <c r="F28" s="31"/>
      <c r="M28" s="13"/>
      <c r="N28" s="36">
        <f>IF(AND(COUNTA(D28:E28)&gt;0,COUNTA(D28:E28)&lt;2),"The third row under question 5 (faucets) is incomplete.","")</f>
      </c>
      <c r="O28" s="717">
        <f>IF(E28&gt;WaterSenseFaucetFlowRate,WaterSenseFaucetFlowRate,E28)</f>
        <v>0</v>
      </c>
      <c r="P28" s="268">
        <f>IF(E28&gt;WaterSenseFaucetFlowRate,D28,0)</f>
        <v>0</v>
      </c>
      <c r="Q28" s="36"/>
      <c r="R28" s="36"/>
      <c r="S28" s="36"/>
      <c r="T28" s="36"/>
      <c r="U28" s="13"/>
      <c r="V28" s="13"/>
      <c r="W28" s="13"/>
      <c r="X28" s="13"/>
      <c r="Y28" s="13"/>
      <c r="Z28" s="13"/>
      <c r="AA28" s="13"/>
      <c r="AB28" s="13"/>
      <c r="AC28" s="13"/>
      <c r="AD28" s="13"/>
      <c r="AE28" s="13"/>
      <c r="AF28" s="13"/>
      <c r="AG28" s="13"/>
      <c r="AH28" s="12"/>
      <c r="AI28" s="12"/>
      <c r="AJ28" s="12"/>
      <c r="AK28" s="12"/>
      <c r="AL28" s="12"/>
    </row>
    <row r="29" spans="1:38" ht="15">
      <c r="A29" s="13"/>
      <c r="C29"/>
      <c r="D29" s="2"/>
      <c r="E29" s="2"/>
      <c r="F29" s="2"/>
      <c r="G29" s="2"/>
      <c r="H29"/>
      <c r="I29"/>
      <c r="J29"/>
      <c r="K29"/>
      <c r="L29"/>
      <c r="M29" s="13"/>
      <c r="N29" s="13"/>
      <c r="O29" s="36"/>
      <c r="P29" s="36"/>
      <c r="Q29" s="36"/>
      <c r="R29" s="36"/>
      <c r="S29" s="36"/>
      <c r="T29" s="36"/>
      <c r="U29" s="13"/>
      <c r="V29" s="13"/>
      <c r="W29" s="13"/>
      <c r="X29" s="13"/>
      <c r="Y29" s="13"/>
      <c r="Z29" s="13"/>
      <c r="AA29" s="13"/>
      <c r="AB29" s="13"/>
      <c r="AC29" s="13"/>
      <c r="AD29" s="13"/>
      <c r="AE29" s="13"/>
      <c r="AF29" s="13"/>
      <c r="AG29" s="13"/>
      <c r="AH29" s="12"/>
      <c r="AI29" s="12"/>
      <c r="AJ29" s="12"/>
      <c r="AK29" s="12"/>
      <c r="AL29" s="12"/>
    </row>
    <row r="30" spans="1:38" s="390" customFormat="1" ht="19.5" customHeight="1">
      <c r="A30" s="13"/>
      <c r="B30" s="410"/>
      <c r="C30" s="939" t="s">
        <v>677</v>
      </c>
      <c r="D30" s="939"/>
      <c r="E30" s="939"/>
      <c r="F30" s="939"/>
      <c r="G30" s="939"/>
      <c r="H30" s="387"/>
      <c r="I30" s="387"/>
      <c r="J30" s="387"/>
      <c r="K30" s="431"/>
      <c r="L30" s="387"/>
      <c r="M30" s="50"/>
      <c r="N30" s="50"/>
      <c r="O30" s="617"/>
      <c r="P30" s="617"/>
      <c r="Q30" s="617"/>
      <c r="R30" s="617"/>
      <c r="S30" s="617"/>
      <c r="T30" s="617"/>
      <c r="U30" s="50"/>
      <c r="V30" s="50"/>
      <c r="W30" s="50"/>
      <c r="X30" s="50"/>
      <c r="Y30" s="50"/>
      <c r="Z30" s="50"/>
      <c r="AA30" s="50"/>
      <c r="AB30" s="50"/>
      <c r="AC30" s="50"/>
      <c r="AD30" s="50"/>
      <c r="AE30" s="50"/>
      <c r="AF30" s="50"/>
      <c r="AG30" s="50"/>
      <c r="AH30" s="389"/>
      <c r="AI30" s="389"/>
      <c r="AJ30" s="389"/>
      <c r="AK30" s="389"/>
      <c r="AL30" s="389"/>
    </row>
    <row r="31" spans="1:38" ht="15">
      <c r="A31" s="13"/>
      <c r="C31"/>
      <c r="D31" s="17" t="s">
        <v>10</v>
      </c>
      <c r="E31" s="17" t="s">
        <v>16</v>
      </c>
      <c r="F31"/>
      <c r="G31"/>
      <c r="H31"/>
      <c r="I31"/>
      <c r="J31"/>
      <c r="K31"/>
      <c r="L31"/>
      <c r="M31" s="13"/>
      <c r="N31" s="13"/>
      <c r="O31" s="716" t="s">
        <v>345</v>
      </c>
      <c r="P31" s="716" t="s">
        <v>346</v>
      </c>
      <c r="Q31" s="36"/>
      <c r="R31" s="36"/>
      <c r="S31" s="36"/>
      <c r="T31" s="36"/>
      <c r="U31" s="13"/>
      <c r="V31" s="13"/>
      <c r="W31" s="13"/>
      <c r="X31" s="13"/>
      <c r="Y31" s="13"/>
      <c r="Z31" s="13"/>
      <c r="AA31" s="13"/>
      <c r="AB31" s="13"/>
      <c r="AC31" s="13"/>
      <c r="AD31" s="13"/>
      <c r="AE31" s="13"/>
      <c r="AF31" s="13"/>
      <c r="AG31" s="13"/>
      <c r="AH31" s="12"/>
      <c r="AI31" s="12"/>
      <c r="AJ31" s="12"/>
      <c r="AK31" s="12"/>
      <c r="AL31" s="12"/>
    </row>
    <row r="32" spans="1:38" ht="15">
      <c r="A32" s="13"/>
      <c r="C32"/>
      <c r="D32" s="749"/>
      <c r="E32" s="746"/>
      <c r="F32" s="31"/>
      <c r="G32"/>
      <c r="H32"/>
      <c r="I32"/>
      <c r="J32"/>
      <c r="K32"/>
      <c r="L32"/>
      <c r="M32" s="13"/>
      <c r="N32" s="36">
        <f>IF(AND(COUNTA(D32:E32)&gt;0,COUNTA(D32:E32)&lt;2),"The first row under question 6 (showerheads) is incomplete.","")</f>
      </c>
      <c r="O32" s="717">
        <f>IF(E32&gt;WaterSenseShowerFlowRate,WaterSenseShowerFlowRate,E32)</f>
        <v>0</v>
      </c>
      <c r="P32" s="268">
        <f>IF(E32&gt;WaterSenseShowerFlowRate,D32,0)</f>
        <v>0</v>
      </c>
      <c r="Q32" s="36"/>
      <c r="R32" s="36"/>
      <c r="S32" s="36"/>
      <c r="T32" s="36"/>
      <c r="U32" s="13"/>
      <c r="V32" s="13"/>
      <c r="W32" s="13"/>
      <c r="X32" s="13"/>
      <c r="Y32" s="13"/>
      <c r="Z32" s="13"/>
      <c r="AA32" s="13"/>
      <c r="AB32" s="13"/>
      <c r="AC32" s="13"/>
      <c r="AD32" s="13"/>
      <c r="AE32" s="13"/>
      <c r="AF32" s="13"/>
      <c r="AG32" s="13"/>
      <c r="AH32" s="12"/>
      <c r="AI32" s="12"/>
      <c r="AJ32" s="12"/>
      <c r="AK32" s="12"/>
      <c r="AL32" s="12"/>
    </row>
    <row r="33" spans="1:38" ht="15">
      <c r="A33" s="13"/>
      <c r="C33"/>
      <c r="D33" s="749"/>
      <c r="E33" s="746"/>
      <c r="F33" s="31"/>
      <c r="G33"/>
      <c r="H33"/>
      <c r="I33"/>
      <c r="J33"/>
      <c r="K33"/>
      <c r="L33"/>
      <c r="M33" s="13"/>
      <c r="N33" s="36">
        <f>IF(AND(COUNTA(D33:E33)&gt;0,COUNTA(D33:E33)&lt;2),"The second row under question 6 (showerheads) is incomplete.","")</f>
      </c>
      <c r="O33" s="717">
        <f>IF(E33&gt;WaterSenseShowerFlowRate,WaterSenseShowerFlowRate,E33)</f>
        <v>0</v>
      </c>
      <c r="P33" s="268">
        <f>IF(E33&gt;WaterSenseShowerFlowRate,D33,0)</f>
        <v>0</v>
      </c>
      <c r="Q33" s="36"/>
      <c r="R33" s="36"/>
      <c r="S33" s="36"/>
      <c r="T33" s="36"/>
      <c r="U33" s="13"/>
      <c r="V33" s="13"/>
      <c r="W33" s="13"/>
      <c r="X33" s="13"/>
      <c r="Y33" s="13"/>
      <c r="Z33" s="13"/>
      <c r="AA33" s="13"/>
      <c r="AB33" s="13"/>
      <c r="AC33" s="13"/>
      <c r="AD33" s="13"/>
      <c r="AE33" s="13"/>
      <c r="AF33" s="13"/>
      <c r="AG33" s="13"/>
      <c r="AH33" s="12"/>
      <c r="AI33" s="12"/>
      <c r="AJ33" s="12"/>
      <c r="AK33" s="12"/>
      <c r="AL33" s="12"/>
    </row>
    <row r="34" spans="1:38" ht="15">
      <c r="A34" s="13"/>
      <c r="C34"/>
      <c r="D34" s="749"/>
      <c r="E34" s="746"/>
      <c r="F34" s="31"/>
      <c r="G34"/>
      <c r="H34"/>
      <c r="I34"/>
      <c r="J34"/>
      <c r="K34"/>
      <c r="L34"/>
      <c r="M34" s="13"/>
      <c r="N34" s="36">
        <f>IF(AND(COUNTA(D34:E34)&gt;0,COUNTA(D34:E34)&lt;2),"The third row under question 6 (showerheads) is incomplete.","")</f>
      </c>
      <c r="O34" s="717">
        <f>IF(E34&gt;WaterSenseShowerFlowRate,WaterSenseShowerFlowRate,E34)</f>
        <v>0</v>
      </c>
      <c r="P34" s="268">
        <f>IF(E34&gt;WaterSenseShowerFlowRate,D34,0)</f>
        <v>0</v>
      </c>
      <c r="Q34" s="36"/>
      <c r="R34" s="36"/>
      <c r="S34" s="36"/>
      <c r="T34" s="36"/>
      <c r="U34" s="13"/>
      <c r="V34" s="13"/>
      <c r="W34" s="13"/>
      <c r="X34" s="13"/>
      <c r="Y34" s="13"/>
      <c r="Z34" s="13"/>
      <c r="AA34" s="13"/>
      <c r="AB34" s="13"/>
      <c r="AC34" s="13"/>
      <c r="AD34" s="13"/>
      <c r="AE34" s="13"/>
      <c r="AF34" s="13"/>
      <c r="AG34" s="13"/>
      <c r="AH34" s="12"/>
      <c r="AI34" s="12"/>
      <c r="AJ34" s="12"/>
      <c r="AK34" s="12"/>
      <c r="AL34" s="12"/>
    </row>
    <row r="35" spans="1:38" ht="31.5" customHeight="1">
      <c r="A35" s="13"/>
      <c r="C35"/>
      <c r="D35" s="2"/>
      <c r="E35" s="2"/>
      <c r="F35" s="2"/>
      <c r="G35" s="2"/>
      <c r="H35"/>
      <c r="I35"/>
      <c r="J35"/>
      <c r="K35"/>
      <c r="L35"/>
      <c r="M35" s="13"/>
      <c r="N35" s="13"/>
      <c r="O35" s="36"/>
      <c r="P35" s="36"/>
      <c r="Q35" s="36"/>
      <c r="R35" s="36"/>
      <c r="S35" s="36"/>
      <c r="T35" s="36"/>
      <c r="U35" s="13"/>
      <c r="V35" s="13"/>
      <c r="W35" s="13"/>
      <c r="X35" s="13"/>
      <c r="Y35" s="13"/>
      <c r="Z35" s="13"/>
      <c r="AA35" s="13"/>
      <c r="AB35" s="13"/>
      <c r="AC35" s="13"/>
      <c r="AD35" s="13"/>
      <c r="AE35" s="13"/>
      <c r="AF35" s="13"/>
      <c r="AG35" s="13"/>
      <c r="AH35" s="12"/>
      <c r="AI35" s="12"/>
      <c r="AJ35" s="12"/>
      <c r="AK35" s="12"/>
      <c r="AL35" s="12"/>
    </row>
    <row r="36" spans="1:38" ht="18.75" hidden="1">
      <c r="A36" s="13"/>
      <c r="C36" s="940" t="s">
        <v>38</v>
      </c>
      <c r="D36" s="940"/>
      <c r="E36" s="35"/>
      <c r="F36" s="20"/>
      <c r="G36" s="20"/>
      <c r="H36" s="3"/>
      <c r="I36" s="3"/>
      <c r="J36"/>
      <c r="K36"/>
      <c r="L36"/>
      <c r="M36" s="13"/>
      <c r="N36" s="13"/>
      <c r="O36" s="36"/>
      <c r="P36" s="36"/>
      <c r="Q36" s="36"/>
      <c r="R36" s="36"/>
      <c r="S36" s="36"/>
      <c r="T36" s="36"/>
      <c r="U36" s="13"/>
      <c r="V36" s="13"/>
      <c r="W36" s="13"/>
      <c r="X36" s="13"/>
      <c r="Y36" s="13"/>
      <c r="Z36" s="13"/>
      <c r="AA36" s="13"/>
      <c r="AB36" s="13"/>
      <c r="AC36" s="13"/>
      <c r="AD36" s="13"/>
      <c r="AE36" s="13"/>
      <c r="AF36" s="13"/>
      <c r="AG36" s="13"/>
      <c r="AH36" s="12"/>
      <c r="AI36" s="12"/>
      <c r="AJ36" s="12"/>
      <c r="AK36" s="12"/>
      <c r="AL36" s="12"/>
    </row>
    <row r="37" spans="1:38" s="390" customFormat="1" ht="34.5" customHeight="1" hidden="1">
      <c r="A37" s="50"/>
      <c r="B37" s="412"/>
      <c r="C37" s="931" t="str">
        <f>"Your existing water use for your public and staff restrooms is approximately "&amp;TEXT(E44,"#,##0")&amp;" gallons of water per year. The following table provides your estimated water use for each fixture type."</f>
        <v>Your existing water use for your public and staff restrooms is approximately Not Estimated gallons of water per year. The following table provides your estimated water use for each fixture type.</v>
      </c>
      <c r="D37" s="931"/>
      <c r="E37" s="931"/>
      <c r="F37" s="931"/>
      <c r="G37" s="931"/>
      <c r="H37" s="931"/>
      <c r="I37" s="931"/>
      <c r="J37" s="931"/>
      <c r="K37" s="423"/>
      <c r="L37" s="423"/>
      <c r="M37" s="413"/>
      <c r="N37" s="413"/>
      <c r="O37" s="720"/>
      <c r="P37" s="720"/>
      <c r="Q37" s="720"/>
      <c r="R37" s="720"/>
      <c r="S37" s="720"/>
      <c r="T37" s="720"/>
      <c r="U37" s="413"/>
      <c r="V37" s="413"/>
      <c r="W37" s="413"/>
      <c r="X37" s="413"/>
      <c r="Y37" s="413"/>
      <c r="Z37" s="413"/>
      <c r="AA37" s="413"/>
      <c r="AB37" s="413"/>
      <c r="AC37" s="413"/>
      <c r="AD37" s="413"/>
      <c r="AE37" s="413"/>
      <c r="AF37" s="413"/>
      <c r="AG37" s="413"/>
      <c r="AH37" s="389"/>
      <c r="AI37" s="389"/>
      <c r="AJ37" s="389"/>
      <c r="AK37" s="389"/>
      <c r="AL37" s="389"/>
    </row>
    <row r="38" spans="1:38" ht="26.25" hidden="1">
      <c r="A38" s="13"/>
      <c r="D38" s="23"/>
      <c r="E38" s="26" t="s">
        <v>58</v>
      </c>
      <c r="F38" s="23"/>
      <c r="G38" s="23"/>
      <c r="H38" s="23"/>
      <c r="I38" s="23"/>
      <c r="J38"/>
      <c r="K38"/>
      <c r="L38"/>
      <c r="M38" s="13"/>
      <c r="N38" s="13"/>
      <c r="O38" s="36"/>
      <c r="P38" s="36"/>
      <c r="Q38" s="36"/>
      <c r="R38" s="36"/>
      <c r="S38" s="36"/>
      <c r="T38" s="36"/>
      <c r="U38" s="13"/>
      <c r="V38" s="13"/>
      <c r="W38" s="13"/>
      <c r="X38" s="13"/>
      <c r="Y38" s="13"/>
      <c r="Z38" s="13"/>
      <c r="AA38" s="13"/>
      <c r="AB38" s="13"/>
      <c r="AC38" s="13"/>
      <c r="AD38" s="13"/>
      <c r="AE38" s="13"/>
      <c r="AF38" s="13"/>
      <c r="AG38" s="13"/>
      <c r="AH38" s="12"/>
      <c r="AI38" s="12"/>
      <c r="AJ38" s="12"/>
      <c r="AK38" s="12"/>
      <c r="AL38" s="12"/>
    </row>
    <row r="39" spans="1:38" ht="15" hidden="1">
      <c r="A39" s="13"/>
      <c r="D39" s="16" t="s">
        <v>498</v>
      </c>
      <c r="E39" s="24" t="str">
        <f>IF(COUNTA(ToiletInfo)&gt;0,ROUNDDOWN($R61*$P61*HotelOperatingDays,-3),"Not Estimated")</f>
        <v>Not Estimated</v>
      </c>
      <c r="F39" s="3"/>
      <c r="G39" s="3"/>
      <c r="H39" s="3"/>
      <c r="I39" s="3"/>
      <c r="J39"/>
      <c r="K39"/>
      <c r="L39"/>
      <c r="M39" s="13"/>
      <c r="N39" s="13"/>
      <c r="O39" s="36"/>
      <c r="P39" s="36"/>
      <c r="Q39" s="36"/>
      <c r="R39" s="36"/>
      <c r="S39" s="36"/>
      <c r="T39" s="36"/>
      <c r="U39" s="13"/>
      <c r="V39" s="13"/>
      <c r="W39" s="13"/>
      <c r="X39" s="13"/>
      <c r="Y39" s="13"/>
      <c r="Z39" s="13"/>
      <c r="AA39" s="13"/>
      <c r="AB39" s="13"/>
      <c r="AC39" s="13"/>
      <c r="AD39" s="13"/>
      <c r="AE39" s="13"/>
      <c r="AF39" s="13"/>
      <c r="AG39" s="13"/>
      <c r="AH39" s="12"/>
      <c r="AI39" s="12"/>
      <c r="AJ39" s="12"/>
      <c r="AK39" s="12"/>
      <c r="AL39" s="12"/>
    </row>
    <row r="40" spans="1:38" ht="15" hidden="1">
      <c r="A40" s="13"/>
      <c r="D40" s="16" t="s">
        <v>499</v>
      </c>
      <c r="E40" s="24" t="str">
        <f>IF(COUNTA(ToiletInfo)&gt;0,ROUNDDOWN($R62*$P62*HotelOperatingDays,-3),"Not Estimated")</f>
        <v>Not Estimated</v>
      </c>
      <c r="F40" s="3"/>
      <c r="G40" s="3"/>
      <c r="H40" s="3"/>
      <c r="I40" s="3"/>
      <c r="J40"/>
      <c r="K40"/>
      <c r="L40"/>
      <c r="M40" s="13"/>
      <c r="N40" s="13"/>
      <c r="O40" s="36"/>
      <c r="P40" s="36"/>
      <c r="Q40" s="36"/>
      <c r="R40" s="36"/>
      <c r="S40" s="36"/>
      <c r="T40" s="36"/>
      <c r="U40" s="13"/>
      <c r="V40" s="13"/>
      <c r="W40" s="13"/>
      <c r="X40" s="13"/>
      <c r="Y40" s="13"/>
      <c r="Z40" s="13"/>
      <c r="AA40" s="13"/>
      <c r="AB40" s="13"/>
      <c r="AC40" s="13"/>
      <c r="AD40" s="13"/>
      <c r="AE40" s="13"/>
      <c r="AF40" s="13"/>
      <c r="AG40" s="13"/>
      <c r="AH40" s="12"/>
      <c r="AI40" s="12"/>
      <c r="AJ40" s="12"/>
      <c r="AK40" s="12"/>
      <c r="AL40" s="12"/>
    </row>
    <row r="41" spans="1:38" ht="15" hidden="1">
      <c r="A41" s="13"/>
      <c r="D41" s="16" t="s">
        <v>49</v>
      </c>
      <c r="E41" s="24" t="str">
        <f>IF(COUNTA(UrinalInfo)&gt;0,ROUNDDOWN($R63*$P63*HotelOperatingDays,-3),"Not Estimated")</f>
        <v>Not Estimated</v>
      </c>
      <c r="F41" s="3"/>
      <c r="G41" s="3"/>
      <c r="H41" s="3"/>
      <c r="I41" s="3"/>
      <c r="J41"/>
      <c r="K41"/>
      <c r="L41"/>
      <c r="M41" s="13"/>
      <c r="N41" s="13"/>
      <c r="O41" s="36"/>
      <c r="P41" s="36"/>
      <c r="Q41" s="36"/>
      <c r="R41" s="36"/>
      <c r="S41" s="36"/>
      <c r="T41" s="36"/>
      <c r="U41" s="13"/>
      <c r="V41" s="13"/>
      <c r="W41" s="13"/>
      <c r="X41" s="13"/>
      <c r="Y41" s="13"/>
      <c r="Z41" s="13"/>
      <c r="AA41" s="13"/>
      <c r="AB41" s="13"/>
      <c r="AC41" s="13"/>
      <c r="AD41" s="13"/>
      <c r="AE41" s="13"/>
      <c r="AF41" s="13"/>
      <c r="AG41" s="13"/>
      <c r="AH41" s="12"/>
      <c r="AI41" s="12"/>
      <c r="AJ41" s="12"/>
      <c r="AK41" s="12"/>
      <c r="AL41" s="12"/>
    </row>
    <row r="42" spans="1:38" ht="15" hidden="1">
      <c r="A42" s="13"/>
      <c r="D42" s="16" t="s">
        <v>25</v>
      </c>
      <c r="E42" s="24" t="str">
        <f>IF(COUNTA(FaucetInfo)&gt;0,ROUNDDOWN($R65*$P65*$G$82*HotelOperatingDays,-3),"Not Estimated")</f>
        <v>Not Estimated</v>
      </c>
      <c r="F42" s="3"/>
      <c r="G42" s="3"/>
      <c r="H42" s="3"/>
      <c r="I42" s="3"/>
      <c r="J42"/>
      <c r="K42"/>
      <c r="L42"/>
      <c r="M42" s="13"/>
      <c r="N42" s="13"/>
      <c r="O42" s="36"/>
      <c r="P42" s="36"/>
      <c r="Q42" s="36"/>
      <c r="R42" s="36"/>
      <c r="S42" s="36"/>
      <c r="T42" s="36"/>
      <c r="U42" s="13"/>
      <c r="V42" s="13"/>
      <c r="W42" s="13"/>
      <c r="X42" s="13"/>
      <c r="Y42" s="13"/>
      <c r="Z42" s="13"/>
      <c r="AA42" s="13"/>
      <c r="AB42" s="13"/>
      <c r="AC42" s="13"/>
      <c r="AD42" s="13"/>
      <c r="AE42" s="13"/>
      <c r="AF42" s="13"/>
      <c r="AG42" s="13"/>
      <c r="AH42" s="12"/>
      <c r="AI42" s="12"/>
      <c r="AJ42" s="12"/>
      <c r="AK42" s="12"/>
      <c r="AL42" s="12"/>
    </row>
    <row r="43" spans="1:38" ht="15" hidden="1">
      <c r="A43" s="13"/>
      <c r="D43" s="16" t="s">
        <v>24</v>
      </c>
      <c r="E43" s="24" t="str">
        <f>IF(COUNTA(ShowerInfo)&gt;0,ROUNDDOWN($R66*$P66*$G$84*HotelOperatingDays,-2),"Not Estimated")</f>
        <v>Not Estimated</v>
      </c>
      <c r="F43" s="3"/>
      <c r="G43" s="3"/>
      <c r="H43" s="3"/>
      <c r="I43" s="3"/>
      <c r="J43"/>
      <c r="K43"/>
      <c r="L43"/>
      <c r="M43" s="13"/>
      <c r="N43" s="13"/>
      <c r="O43" s="36"/>
      <c r="P43" s="36"/>
      <c r="Q43" s="36"/>
      <c r="R43" s="36"/>
      <c r="S43" s="36"/>
      <c r="T43" s="36"/>
      <c r="U43" s="13"/>
      <c r="V43" s="13"/>
      <c r="W43" s="13"/>
      <c r="X43" s="13"/>
      <c r="Y43" s="13"/>
      <c r="Z43" s="13"/>
      <c r="AA43" s="13"/>
      <c r="AB43" s="13"/>
      <c r="AC43" s="13"/>
      <c r="AD43" s="13"/>
      <c r="AE43" s="13"/>
      <c r="AF43" s="13"/>
      <c r="AG43" s="13"/>
      <c r="AH43" s="12"/>
      <c r="AI43" s="12"/>
      <c r="AJ43" s="12"/>
      <c r="AK43" s="12"/>
      <c r="AL43" s="12"/>
    </row>
    <row r="44" spans="1:38" ht="15" hidden="1">
      <c r="A44" s="13"/>
      <c r="D44" s="16" t="s">
        <v>338</v>
      </c>
      <c r="E44" s="461" t="str">
        <f>IF(OR(ISNUMBER(E39),ISNUMBER(E41),ISNUMBER(E42),ISNUMBER(E43)),SUM(E39:E43),"Not Estimated")</f>
        <v>Not Estimated</v>
      </c>
      <c r="F44" s="3"/>
      <c r="G44" s="3"/>
      <c r="H44" s="3"/>
      <c r="I44" s="3"/>
      <c r="J44"/>
      <c r="K44"/>
      <c r="L44"/>
      <c r="M44" s="13"/>
      <c r="N44" s="13"/>
      <c r="O44" s="36"/>
      <c r="P44" s="36"/>
      <c r="Q44" s="36"/>
      <c r="R44" s="36"/>
      <c r="S44" s="36"/>
      <c r="T44" s="36"/>
      <c r="U44" s="13"/>
      <c r="V44" s="13"/>
      <c r="W44" s="13"/>
      <c r="X44" s="13"/>
      <c r="Y44" s="13"/>
      <c r="Z44" s="13"/>
      <c r="AA44" s="13"/>
      <c r="AB44" s="13"/>
      <c r="AC44" s="13"/>
      <c r="AD44" s="13"/>
      <c r="AE44" s="13"/>
      <c r="AF44" s="13"/>
      <c r="AG44" s="13"/>
      <c r="AH44" s="12"/>
      <c r="AI44" s="12"/>
      <c r="AJ44" s="12"/>
      <c r="AK44" s="12"/>
      <c r="AL44" s="12"/>
    </row>
    <row r="45" spans="1:38" ht="15" hidden="1">
      <c r="A45" s="13"/>
      <c r="C45" s="16"/>
      <c r="D45" s="25"/>
      <c r="E45" s="3"/>
      <c r="F45" s="3"/>
      <c r="G45" s="3"/>
      <c r="H45" s="3"/>
      <c r="I45" s="3"/>
      <c r="J45"/>
      <c r="K45"/>
      <c r="L45"/>
      <c r="M45" s="13"/>
      <c r="N45" s="13"/>
      <c r="O45" s="36"/>
      <c r="P45" s="36"/>
      <c r="Q45" s="36"/>
      <c r="R45" s="36"/>
      <c r="S45" s="36"/>
      <c r="T45" s="36"/>
      <c r="U45" s="13"/>
      <c r="V45" s="13"/>
      <c r="W45" s="13"/>
      <c r="X45" s="13"/>
      <c r="Y45" s="13"/>
      <c r="Z45" s="13"/>
      <c r="AA45" s="13"/>
      <c r="AB45" s="13"/>
      <c r="AC45" s="13"/>
      <c r="AD45" s="13"/>
      <c r="AE45" s="13"/>
      <c r="AF45" s="13"/>
      <c r="AG45" s="13"/>
      <c r="AH45" s="12"/>
      <c r="AI45" s="12"/>
      <c r="AJ45" s="12"/>
      <c r="AK45" s="12"/>
      <c r="AL45" s="12"/>
    </row>
    <row r="46" spans="1:38" ht="23.25" customHeight="1" hidden="1">
      <c r="A46" s="13"/>
      <c r="C46" s="924" t="s">
        <v>37</v>
      </c>
      <c r="D46" s="924"/>
      <c r="E46" s="924"/>
      <c r="F46" s="924"/>
      <c r="G46" s="3"/>
      <c r="H46" s="3"/>
      <c r="I46" s="3"/>
      <c r="J46"/>
      <c r="K46"/>
      <c r="L46"/>
      <c r="M46" s="13"/>
      <c r="N46" s="13"/>
      <c r="O46" s="36"/>
      <c r="P46" s="36"/>
      <c r="Q46" s="36"/>
      <c r="R46" s="36"/>
      <c r="S46" s="36"/>
      <c r="T46" s="36"/>
      <c r="U46" s="13"/>
      <c r="V46" s="13"/>
      <c r="W46" s="13"/>
      <c r="X46" s="13"/>
      <c r="Y46" s="13"/>
      <c r="Z46" s="13"/>
      <c r="AA46" s="13"/>
      <c r="AB46" s="13"/>
      <c r="AC46" s="13"/>
      <c r="AD46" s="13"/>
      <c r="AE46" s="13"/>
      <c r="AF46" s="13"/>
      <c r="AG46" s="13"/>
      <c r="AH46" s="12"/>
      <c r="AI46" s="12"/>
      <c r="AJ46" s="12"/>
      <c r="AK46" s="12"/>
      <c r="AL46" s="12"/>
    </row>
    <row r="47" spans="1:38" s="394" customFormat="1" ht="53.25" customHeight="1" hidden="1">
      <c r="A47" s="392"/>
      <c r="C47" s="789" t="s">
        <v>760</v>
      </c>
      <c r="D47" s="933" t="str">
        <f>"By replacing your existing, inefficient fixtures in your public and employee restrooms with WaterSense labeled and/or high-efficiency models, you can save approximately "&amp;TEXT(F54,"#,##0")&amp;" gallons of water and $"&amp;TEXT(J54,"#,##0")&amp;" in water and energy costs annually. The following table provides estimated water, energy, and cost savings, and an estimated simple payback for each potential replacement project."</f>
        <v>By replacing your existing, inefficient fixtures in your public and employee restrooms with WaterSense labeled and/or high-efficiency models, you can save approximately N/A gallons of water and $N/A in water and energy costs annually. The following table provides estimated water, energy, and cost savings, and an estimated simple payback for each potential replacement project.</v>
      </c>
      <c r="E47" s="933"/>
      <c r="F47" s="933"/>
      <c r="G47" s="933"/>
      <c r="H47" s="933"/>
      <c r="I47" s="933"/>
      <c r="J47" s="933"/>
      <c r="K47" s="933"/>
      <c r="L47" s="415"/>
      <c r="M47" s="392"/>
      <c r="N47" s="392"/>
      <c r="O47" s="718"/>
      <c r="P47" s="718"/>
      <c r="Q47" s="718"/>
      <c r="R47" s="718"/>
      <c r="S47" s="718"/>
      <c r="T47" s="718"/>
      <c r="U47" s="392"/>
      <c r="V47" s="392"/>
      <c r="W47" s="392"/>
      <c r="X47" s="392"/>
      <c r="Y47" s="392"/>
      <c r="Z47" s="392"/>
      <c r="AA47" s="392"/>
      <c r="AB47" s="392"/>
      <c r="AC47" s="392"/>
      <c r="AD47" s="392"/>
      <c r="AE47" s="392"/>
      <c r="AF47" s="392"/>
      <c r="AG47" s="392"/>
      <c r="AH47" s="393"/>
      <c r="AI47" s="393"/>
      <c r="AJ47" s="393"/>
      <c r="AK47" s="393"/>
      <c r="AL47" s="393"/>
    </row>
    <row r="48" spans="1:39" ht="39" hidden="1">
      <c r="A48" s="13"/>
      <c r="D48" s="452"/>
      <c r="E48" s="26" t="s">
        <v>294</v>
      </c>
      <c r="F48" s="26" t="s">
        <v>692</v>
      </c>
      <c r="G48" s="26" t="s">
        <v>695</v>
      </c>
      <c r="H48" s="26" t="str">
        <f>"Potential Annual Energy
Savings ("&amp;IF(HotWaterFuelType="Natural Gas","Mcf","kWh")&amp;")"</f>
        <v>Potential Annual Energy
Savings (kWh)</v>
      </c>
      <c r="I48" s="26" t="s">
        <v>693</v>
      </c>
      <c r="J48" s="26" t="s">
        <v>295</v>
      </c>
      <c r="K48" s="26" t="s">
        <v>33</v>
      </c>
      <c r="L48"/>
      <c r="M48" s="392"/>
      <c r="N48" s="13"/>
      <c r="O48" s="36"/>
      <c r="P48" s="36"/>
      <c r="Q48" s="36"/>
      <c r="R48" s="36"/>
      <c r="S48" s="36"/>
      <c r="T48" s="36"/>
      <c r="U48" s="13"/>
      <c r="V48" s="13"/>
      <c r="W48" s="13"/>
      <c r="X48" s="13"/>
      <c r="Y48" s="13"/>
      <c r="Z48" s="13"/>
      <c r="AA48" s="13"/>
      <c r="AB48" s="13"/>
      <c r="AC48" s="13"/>
      <c r="AD48" s="13"/>
      <c r="AE48" s="13"/>
      <c r="AF48" s="13"/>
      <c r="AG48" s="13"/>
      <c r="AH48" s="12"/>
      <c r="AI48" s="12"/>
      <c r="AJ48" s="12"/>
      <c r="AK48" s="12"/>
      <c r="AL48" s="12"/>
      <c r="AM48" s="12"/>
    </row>
    <row r="49" spans="1:33" s="12" customFormat="1" ht="15" hidden="1">
      <c r="A49" s="13"/>
      <c r="B49" s="410"/>
      <c r="D49" s="16" t="s">
        <v>498</v>
      </c>
      <c r="E49" s="290" t="str">
        <f>IF(SUM(P14:P16)&lt;&gt;0,IF($O61&gt;=0,$S61*$O61,"Not Estimated"),"N/A")</f>
        <v>N/A</v>
      </c>
      <c r="F49" s="24" t="str">
        <f>IF($E49&lt;&gt;"N/A",IF($Q61&lt;$P61,ROUNDDOWN(($E39-($R61*$Q61*HotelOperatingDays))*T61,-3),0),"N/A")</f>
        <v>N/A</v>
      </c>
      <c r="G49" s="290" t="str">
        <f>IF(AND($E49&lt;&gt;"N/A",ConvertedWaterRate+ConvertedWastewaterRate&gt;0),ROUND(F49*(ConvertedWaterRate+ConvertedWastewaterRate),-1),"N/A")</f>
        <v>N/A</v>
      </c>
      <c r="H49" s="27" t="s">
        <v>772</v>
      </c>
      <c r="I49" s="27" t="s">
        <v>772</v>
      </c>
      <c r="J49" s="290" t="str">
        <f>G49</f>
        <v>N/A</v>
      </c>
      <c r="K49" s="535" t="str">
        <f aca="true" t="shared" si="0" ref="K49:K54">IF(ISNUMBER($E49),IF(J49&gt;0,E49/J49,0),IF($E49="Not Estimated","Not Estimated","N/A"))</f>
        <v>N/A</v>
      </c>
      <c r="L49"/>
      <c r="M49" s="392"/>
      <c r="N49" s="13"/>
      <c r="O49" s="36"/>
      <c r="P49" s="36"/>
      <c r="Q49" s="36"/>
      <c r="R49" s="36"/>
      <c r="S49" s="36"/>
      <c r="T49" s="36"/>
      <c r="U49" s="13"/>
      <c r="V49" s="13"/>
      <c r="W49" s="13"/>
      <c r="X49" s="13"/>
      <c r="Y49" s="13"/>
      <c r="Z49" s="13"/>
      <c r="AA49" s="13"/>
      <c r="AB49" s="13"/>
      <c r="AC49" s="13"/>
      <c r="AD49" s="13"/>
      <c r="AE49" s="13"/>
      <c r="AF49" s="13"/>
      <c r="AG49" s="13"/>
    </row>
    <row r="50" spans="1:33" s="12" customFormat="1" ht="15" hidden="1">
      <c r="A50" s="13"/>
      <c r="B50" s="410"/>
      <c r="D50" s="16" t="s">
        <v>499</v>
      </c>
      <c r="E50" s="290" t="str">
        <f>IF(SUM(R14:R16)&lt;&gt;0,IF($O62&gt;=0,$S62*$O62,"Not Estimated"),"N/A")</f>
        <v>N/A</v>
      </c>
      <c r="F50" s="24" t="str">
        <f>IF($E50&lt;&gt;"N/A",IF($Q62&lt;$P62,ROUNDDOWN(($E40-($R62*$Q62*HotelOperatingDays))*T62,-3),0),"N/A")</f>
        <v>N/A</v>
      </c>
      <c r="G50" s="290" t="str">
        <f>IF(AND($E50&lt;&gt;"N/A",ConvertedWaterRate+ConvertedWastewaterRate&gt;0),ROUND(F50*(ConvertedWaterRate+ConvertedWastewaterRate),-1),"N/A")</f>
        <v>N/A</v>
      </c>
      <c r="H50" s="27" t="s">
        <v>772</v>
      </c>
      <c r="I50" s="27" t="s">
        <v>772</v>
      </c>
      <c r="J50" s="290" t="str">
        <f>G50</f>
        <v>N/A</v>
      </c>
      <c r="K50" s="535" t="str">
        <f t="shared" si="0"/>
        <v>N/A</v>
      </c>
      <c r="L50"/>
      <c r="M50" s="392"/>
      <c r="N50" s="13"/>
      <c r="O50" s="36"/>
      <c r="P50" s="36"/>
      <c r="Q50" s="36"/>
      <c r="R50" s="36"/>
      <c r="S50" s="36"/>
      <c r="T50" s="36"/>
      <c r="U50" s="13"/>
      <c r="V50" s="13"/>
      <c r="W50" s="13"/>
      <c r="X50" s="13"/>
      <c r="Y50" s="13"/>
      <c r="Z50" s="13"/>
      <c r="AA50" s="13"/>
      <c r="AB50" s="13"/>
      <c r="AC50" s="13"/>
      <c r="AD50" s="13"/>
      <c r="AE50" s="13"/>
      <c r="AF50" s="13"/>
      <c r="AG50" s="13"/>
    </row>
    <row r="51" spans="1:33" s="12" customFormat="1" ht="15" hidden="1">
      <c r="A51" s="13"/>
      <c r="B51" s="410"/>
      <c r="D51" s="16" t="s">
        <v>49</v>
      </c>
      <c r="E51" s="290" t="str">
        <f>IF(COUNTA(UrinalInfo)&gt;0,IF($O63&gt;=0,$S63*$O63,"Not Estimated"),"N/A")</f>
        <v>N/A</v>
      </c>
      <c r="F51" s="24" t="str">
        <f>IF($E51&lt;&gt;"N/A",IF($Q63&lt;$P63,ROUNDDOWN(($E41-($R63*$Q63*HotelOperatingDays))*T63,-3),0),"N/A")</f>
        <v>N/A</v>
      </c>
      <c r="G51" s="290" t="str">
        <f>IF(AND($E51&lt;&gt;"N/A",ConvertedWaterRate+ConvertedWastewaterRate&gt;0),ROUND(F51*(ConvertedWaterRate+ConvertedWastewaterRate),-1),"N/A")</f>
        <v>N/A</v>
      </c>
      <c r="H51" s="27" t="s">
        <v>772</v>
      </c>
      <c r="I51" s="27" t="s">
        <v>772</v>
      </c>
      <c r="J51" s="290" t="str">
        <f>G51</f>
        <v>N/A</v>
      </c>
      <c r="K51" s="535" t="str">
        <f t="shared" si="0"/>
        <v>N/A</v>
      </c>
      <c r="L51"/>
      <c r="M51" s="392"/>
      <c r="N51" s="13"/>
      <c r="O51" s="36"/>
      <c r="P51" s="36"/>
      <c r="Q51" s="36"/>
      <c r="R51" s="36"/>
      <c r="S51" s="36"/>
      <c r="T51" s="36"/>
      <c r="U51" s="13"/>
      <c r="V51" s="13"/>
      <c r="W51" s="13"/>
      <c r="X51" s="13"/>
      <c r="Y51" s="13"/>
      <c r="Z51" s="13"/>
      <c r="AA51" s="13"/>
      <c r="AB51" s="13"/>
      <c r="AC51" s="13"/>
      <c r="AD51" s="13"/>
      <c r="AE51" s="13"/>
      <c r="AF51" s="13"/>
      <c r="AG51" s="13"/>
    </row>
    <row r="52" spans="1:39" ht="15" hidden="1">
      <c r="A52" s="13"/>
      <c r="D52" s="16" t="s">
        <v>25</v>
      </c>
      <c r="E52" s="290" t="str">
        <f>IF(COUNTA(FaucetInfo)&gt;0,IF($O65&gt;=0,$S65*$O65,"Not Estimated"),"N/A")</f>
        <v>N/A</v>
      </c>
      <c r="F52" s="24" t="str">
        <f>IF($E52&lt;&gt;"N/A",IF($Q65&lt;$P65,ROUNDDOWN(($E42-($R65*$Q65*$G$82*HotelOperatingDays))*T65,-3),0),"N/A")</f>
        <v>N/A</v>
      </c>
      <c r="G52" s="290" t="str">
        <f>IF(AND($E52&lt;&gt;"N/A",ConvertedWaterRate+ConvertedWastewaterRate&gt;0),ROUND(F52*(ConvertedWaterRate+ConvertedWastewaterRate),-1),"N/A")</f>
        <v>N/A</v>
      </c>
      <c r="H52" s="24" t="str">
        <f>IF($E52&lt;&gt;"N/A",IF(HotWaterFuelType="Electric",ROUND(F52*$G$85*$G$87,-1),ROUND(F52*$G$85*$G$88,-1)),"N/A")</f>
        <v>N/A</v>
      </c>
      <c r="I52" s="290" t="str">
        <f>IF($E52&lt;&gt;"N/A",ROUND(H52*IF(HotWaterFuelType="Electric",ConvertedElectricityRate,ConvertedNaturalGasRate),-1),"N/A")</f>
        <v>N/A</v>
      </c>
      <c r="J52" s="290" t="str">
        <f>IF($E52&lt;&gt;"N/A",SUM(G52,I52),"N/A")</f>
        <v>N/A</v>
      </c>
      <c r="K52" s="535" t="str">
        <f t="shared" si="0"/>
        <v>N/A</v>
      </c>
      <c r="L52"/>
      <c r="M52" s="392"/>
      <c r="N52" s="13"/>
      <c r="O52" s="36"/>
      <c r="P52" s="36"/>
      <c r="Q52" s="36"/>
      <c r="R52" s="36"/>
      <c r="S52" s="36"/>
      <c r="T52" s="36"/>
      <c r="U52" s="13"/>
      <c r="V52" s="13"/>
      <c r="W52" s="13"/>
      <c r="X52" s="13"/>
      <c r="Y52" s="13"/>
      <c r="Z52" s="13"/>
      <c r="AA52" s="13"/>
      <c r="AB52" s="13"/>
      <c r="AC52" s="13"/>
      <c r="AD52" s="13"/>
      <c r="AE52" s="13"/>
      <c r="AF52" s="13"/>
      <c r="AG52" s="13"/>
      <c r="AH52" s="12"/>
      <c r="AI52" s="12"/>
      <c r="AJ52" s="12"/>
      <c r="AK52" s="12"/>
      <c r="AL52" s="12"/>
      <c r="AM52" s="12"/>
    </row>
    <row r="53" spans="1:39" ht="15" hidden="1">
      <c r="A53" s="13"/>
      <c r="D53" s="16" t="s">
        <v>24</v>
      </c>
      <c r="E53" s="290" t="str">
        <f>IF(COUNTA(ShowerInfo)&gt;0,IF($O66&gt;=0,$S66*$O66,"Not Estimated"),"N/A")</f>
        <v>N/A</v>
      </c>
      <c r="F53" s="24" t="str">
        <f>IF($E53&lt;&gt;"N/A",IF($Q66&lt;$P66,ROUNDDOWN(($E43-($R66*$Q66*$G$84*HotelOperatingDays))*T66,-2),0),"N/A")</f>
        <v>N/A</v>
      </c>
      <c r="G53" s="290" t="str">
        <f>IF(AND($E53&lt;&gt;"N/A",ConvertedWaterRate+ConvertedWastewaterRate&gt;0),ROUND(F53*(ConvertedWaterRate+ConvertedWastewaterRate),-1),"N/A")</f>
        <v>N/A</v>
      </c>
      <c r="H53" s="24" t="str">
        <f>IF($E53&lt;&gt;"N/A",IF(HotWaterFuelType="Electric",ROUND(F53*$G$86*$G$87,-1),ROUND(F53*$G$86*$G$88,-1)),"N/A")</f>
        <v>N/A</v>
      </c>
      <c r="I53" s="290" t="str">
        <f>IF($E53&lt;&gt;"N/A",ROUND(H53*IF(HotWaterFuelType="Electric",ConvertedElectricityRate,ConvertedNaturalGasRate),-1),"N/A")</f>
        <v>N/A</v>
      </c>
      <c r="J53" s="290" t="str">
        <f>IF($E53&lt;&gt;"N/A",SUM(G53,I53),"N/A")</f>
        <v>N/A</v>
      </c>
      <c r="K53" s="535" t="str">
        <f t="shared" si="0"/>
        <v>N/A</v>
      </c>
      <c r="M53" s="392"/>
      <c r="N53" s="13"/>
      <c r="O53" s="36"/>
      <c r="P53" s="36"/>
      <c r="Q53" s="36"/>
      <c r="R53" s="36"/>
      <c r="S53" s="36"/>
      <c r="T53" s="36"/>
      <c r="U53" s="13"/>
      <c r="V53" s="13"/>
      <c r="W53" s="13"/>
      <c r="X53" s="13"/>
      <c r="Y53" s="13"/>
      <c r="Z53" s="13"/>
      <c r="AA53" s="13"/>
      <c r="AB53" s="13"/>
      <c r="AC53" s="13"/>
      <c r="AD53" s="13"/>
      <c r="AE53" s="13"/>
      <c r="AF53" s="13"/>
      <c r="AG53" s="13"/>
      <c r="AH53" s="12"/>
      <c r="AI53" s="12"/>
      <c r="AJ53" s="12"/>
      <c r="AK53" s="12"/>
      <c r="AL53" s="12"/>
      <c r="AM53" s="12"/>
    </row>
    <row r="54" spans="1:39" ht="15" hidden="1">
      <c r="A54" s="13"/>
      <c r="D54" s="425" t="s">
        <v>343</v>
      </c>
      <c r="E54" s="465" t="str">
        <f>IF(OR(COUNTIF(E49:E53,"Not Estimated")&gt;0,AND(ISNUMBER(E49)=FALSE,ISNUMBER(E50)=FALSE,ISNUMBER(E51)=FALSE,ISNUMBER(E52)=FALSE,ISNUMBER(E53)=FALSE)),"Not Estimated",SUM(E49:E53))</f>
        <v>Not Estimated</v>
      </c>
      <c r="F54" s="461" t="str">
        <f>IF(OR(ISNUMBER(F49),ISNUMBER(F50),ISNUMBER(F51),ISNUMBER(F52),ISNUMBER(F53)),SUM(F49:F53),"N/A")</f>
        <v>N/A</v>
      </c>
      <c r="G54" s="462" t="str">
        <f>IF($F54&lt;&gt;"N/A",SUM(G49:G53),"N/A")</f>
        <v>N/A</v>
      </c>
      <c r="H54" s="461" t="str">
        <f>IF($F54&lt;&gt;"N/A",SUM(H49:H53),"N/A")</f>
        <v>N/A</v>
      </c>
      <c r="I54" s="462" t="str">
        <f>IF($F54&lt;&gt;"N/A",SUM(I49:I53),"N/A")</f>
        <v>N/A</v>
      </c>
      <c r="J54" s="462" t="str">
        <f>IF($F54&lt;&gt;"N/A",SUM(J49:J53),"N/A")</f>
        <v>N/A</v>
      </c>
      <c r="K54" s="464" t="str">
        <f t="shared" si="0"/>
        <v>Not Estimated</v>
      </c>
      <c r="M54" s="392"/>
      <c r="N54" s="13"/>
      <c r="O54" s="36"/>
      <c r="P54" s="36"/>
      <c r="Q54" s="36"/>
      <c r="R54" s="36"/>
      <c r="S54" s="36"/>
      <c r="T54" s="36"/>
      <c r="U54" s="13"/>
      <c r="V54" s="13"/>
      <c r="W54" s="13"/>
      <c r="X54" s="13"/>
      <c r="Y54" s="13"/>
      <c r="Z54" s="13"/>
      <c r="AA54" s="13"/>
      <c r="AB54" s="13"/>
      <c r="AC54" s="13"/>
      <c r="AD54" s="13"/>
      <c r="AE54" s="13"/>
      <c r="AF54" s="13"/>
      <c r="AG54" s="13"/>
      <c r="AH54" s="12"/>
      <c r="AI54" s="12"/>
      <c r="AJ54" s="12"/>
      <c r="AK54" s="12"/>
      <c r="AL54" s="12"/>
      <c r="AM54" s="12"/>
    </row>
    <row r="55" spans="1:49" s="394" customFormat="1" ht="33.75" customHeight="1" hidden="1">
      <c r="A55" s="392"/>
      <c r="C55" s="788" t="s">
        <v>760</v>
      </c>
      <c r="D55" s="925" t="s">
        <v>762</v>
      </c>
      <c r="E55" s="925"/>
      <c r="F55" s="925"/>
      <c r="G55" s="925"/>
      <c r="H55" s="925"/>
      <c r="I55" s="925"/>
      <c r="J55" s="925"/>
      <c r="K55" s="925"/>
      <c r="L55" s="760"/>
      <c r="M55" s="392"/>
      <c r="N55" s="392"/>
      <c r="O55" s="718"/>
      <c r="P55" s="718"/>
      <c r="Q55" s="718"/>
      <c r="R55" s="718"/>
      <c r="S55" s="718"/>
      <c r="T55" s="392"/>
      <c r="U55" s="392"/>
      <c r="V55" s="392"/>
      <c r="W55" s="392"/>
      <c r="X55" s="392"/>
      <c r="Y55" s="392"/>
      <c r="Z55" s="392"/>
      <c r="AA55" s="392"/>
      <c r="AB55" s="392"/>
      <c r="AC55" s="392"/>
      <c r="AD55" s="392"/>
      <c r="AE55" s="392"/>
      <c r="AF55" s="392"/>
      <c r="AG55" s="392"/>
      <c r="AH55" s="13"/>
      <c r="AI55" s="13"/>
      <c r="AJ55" s="13"/>
      <c r="AK55" s="13"/>
      <c r="AL55" s="13"/>
      <c r="AM55" s="13"/>
      <c r="AN55" s="13"/>
      <c r="AO55" s="13"/>
      <c r="AP55" s="13"/>
      <c r="AQ55" s="13"/>
      <c r="AR55" s="13"/>
      <c r="AS55" s="13"/>
      <c r="AT55" s="13"/>
      <c r="AU55" s="13"/>
      <c r="AV55" s="13"/>
      <c r="AW55" s="13"/>
    </row>
    <row r="56" spans="1:38" s="394" customFormat="1" ht="33.75" customHeight="1" hidden="1">
      <c r="A56" s="392"/>
      <c r="C56" s="788" t="s">
        <v>760</v>
      </c>
      <c r="D56" s="925" t="s">
        <v>715</v>
      </c>
      <c r="E56" s="925"/>
      <c r="F56" s="925"/>
      <c r="G56" s="925"/>
      <c r="H56" s="923" t="s">
        <v>714</v>
      </c>
      <c r="I56" s="923"/>
      <c r="J56" s="923"/>
      <c r="K56" s="923"/>
      <c r="L56" s="633"/>
      <c r="M56" s="392"/>
      <c r="N56" s="392"/>
      <c r="O56" s="718"/>
      <c r="P56" s="718"/>
      <c r="Q56" s="718"/>
      <c r="R56" s="718"/>
      <c r="S56" s="718"/>
      <c r="T56" s="718"/>
      <c r="U56" s="392"/>
      <c r="V56" s="392"/>
      <c r="W56" s="392"/>
      <c r="X56" s="392"/>
      <c r="Y56" s="392"/>
      <c r="Z56" s="392"/>
      <c r="AA56" s="392"/>
      <c r="AB56" s="392"/>
      <c r="AC56" s="392"/>
      <c r="AD56" s="392"/>
      <c r="AE56" s="392"/>
      <c r="AF56" s="392"/>
      <c r="AG56" s="392"/>
      <c r="AH56" s="393"/>
      <c r="AI56" s="393"/>
      <c r="AJ56" s="393"/>
      <c r="AK56" s="393"/>
      <c r="AL56" s="393"/>
    </row>
    <row r="57" spans="1:38" ht="15" hidden="1">
      <c r="A57" s="13"/>
      <c r="C57" s="16"/>
      <c r="D57" s="25"/>
      <c r="E57" s="28"/>
      <c r="F57" s="25"/>
      <c r="M57" s="13"/>
      <c r="N57" s="13"/>
      <c r="O57" s="36"/>
      <c r="P57" s="36"/>
      <c r="Q57" s="36"/>
      <c r="R57" s="36"/>
      <c r="S57" s="36"/>
      <c r="T57" s="36"/>
      <c r="U57" s="13"/>
      <c r="V57" s="13"/>
      <c r="W57" s="13"/>
      <c r="X57" s="13"/>
      <c r="Y57" s="13"/>
      <c r="Z57" s="13"/>
      <c r="AA57" s="13"/>
      <c r="AB57" s="13"/>
      <c r="AC57" s="13"/>
      <c r="AD57" s="13"/>
      <c r="AE57" s="13"/>
      <c r="AF57" s="13"/>
      <c r="AG57" s="13"/>
      <c r="AH57" s="12"/>
      <c r="AI57" s="12"/>
      <c r="AJ57" s="12"/>
      <c r="AK57" s="12"/>
      <c r="AL57" s="12"/>
    </row>
    <row r="58" spans="1:38" ht="18.75" hidden="1">
      <c r="A58" s="13"/>
      <c r="B58" s="1"/>
      <c r="C58" s="872" t="s">
        <v>765</v>
      </c>
      <c r="D58" s="872"/>
      <c r="E58" s="872"/>
      <c r="F58" s="3"/>
      <c r="H58" s="3"/>
      <c r="I58" s="3"/>
      <c r="M58" s="13"/>
      <c r="N58" s="13"/>
      <c r="O58" s="36"/>
      <c r="P58" s="36"/>
      <c r="Q58" s="36"/>
      <c r="R58" s="36"/>
      <c r="S58" s="36"/>
      <c r="T58" s="36"/>
      <c r="U58" s="13"/>
      <c r="V58" s="13"/>
      <c r="W58" s="13"/>
      <c r="X58" s="13"/>
      <c r="Y58" s="13"/>
      <c r="Z58" s="13"/>
      <c r="AA58" s="13"/>
      <c r="AB58" s="13"/>
      <c r="AC58" s="13"/>
      <c r="AD58" s="13"/>
      <c r="AE58" s="13"/>
      <c r="AF58" s="13"/>
      <c r="AG58" s="13"/>
      <c r="AH58" s="12"/>
      <c r="AI58" s="12"/>
      <c r="AJ58" s="12"/>
      <c r="AK58" s="12"/>
      <c r="AL58" s="12"/>
    </row>
    <row r="59" spans="1:38" s="390" customFormat="1" ht="26.25" customHeight="1" hidden="1">
      <c r="A59" s="50"/>
      <c r="C59" s="936" t="s">
        <v>412</v>
      </c>
      <c r="D59" s="936"/>
      <c r="E59" s="936"/>
      <c r="F59" s="936"/>
      <c r="G59" s="936"/>
      <c r="H59" s="936"/>
      <c r="I59" s="936"/>
      <c r="J59" s="936"/>
      <c r="K59" s="936"/>
      <c r="M59" s="50"/>
      <c r="N59" s="50"/>
      <c r="O59" s="721"/>
      <c r="P59" s="617"/>
      <c r="Q59" s="617"/>
      <c r="R59" s="617"/>
      <c r="S59" s="617"/>
      <c r="T59" s="617"/>
      <c r="U59" s="50"/>
      <c r="V59" s="50"/>
      <c r="W59" s="50"/>
      <c r="X59" s="50"/>
      <c r="Y59" s="50"/>
      <c r="Z59" s="50"/>
      <c r="AA59" s="50"/>
      <c r="AB59" s="50"/>
      <c r="AC59" s="50"/>
      <c r="AD59" s="50"/>
      <c r="AE59" s="50"/>
      <c r="AF59" s="50"/>
      <c r="AG59" s="50"/>
      <c r="AH59" s="389"/>
      <c r="AI59" s="389"/>
      <c r="AJ59" s="389"/>
      <c r="AK59" s="389"/>
      <c r="AL59" s="389"/>
    </row>
    <row r="60" spans="1:38" ht="30" customHeight="1" hidden="1">
      <c r="A60" s="13"/>
      <c r="C60" s="386"/>
      <c r="D60" s="386"/>
      <c r="E60" s="386"/>
      <c r="F60" s="399" t="s">
        <v>468</v>
      </c>
      <c r="G60" s="399" t="s">
        <v>440</v>
      </c>
      <c r="H60" s="399" t="s">
        <v>400</v>
      </c>
      <c r="I60" s="399" t="s">
        <v>763</v>
      </c>
      <c r="J60" s="399" t="s">
        <v>764</v>
      </c>
      <c r="M60" s="13"/>
      <c r="N60" s="13"/>
      <c r="O60" s="716" t="s">
        <v>293</v>
      </c>
      <c r="P60" s="716" t="s">
        <v>404</v>
      </c>
      <c r="Q60" s="716" t="s">
        <v>349</v>
      </c>
      <c r="R60" s="716" t="s">
        <v>457</v>
      </c>
      <c r="S60" s="716" t="s">
        <v>469</v>
      </c>
      <c r="T60" s="716" t="s">
        <v>838</v>
      </c>
      <c r="U60" s="716" t="s">
        <v>513</v>
      </c>
      <c r="V60" s="13"/>
      <c r="W60" s="13"/>
      <c r="X60" s="13"/>
      <c r="Y60" s="13"/>
      <c r="Z60" s="13"/>
      <c r="AA60" s="13"/>
      <c r="AB60" s="13"/>
      <c r="AC60" s="13"/>
      <c r="AD60" s="13"/>
      <c r="AE60" s="13"/>
      <c r="AF60" s="13"/>
      <c r="AG60" s="13"/>
      <c r="AH60" s="12"/>
      <c r="AI60" s="12"/>
      <c r="AJ60" s="12"/>
      <c r="AK60" s="12"/>
      <c r="AL60" s="12"/>
    </row>
    <row r="61" spans="1:38" ht="15" hidden="1">
      <c r="A61" s="13"/>
      <c r="D61" s="921" t="s">
        <v>501</v>
      </c>
      <c r="E61" s="921"/>
      <c r="F61" s="606">
        <f>SUMIF(D14:D16,"Tank-Type",Q14:Q16)</f>
        <v>0</v>
      </c>
      <c r="G61" s="624"/>
      <c r="H61" s="517">
        <v>1.28</v>
      </c>
      <c r="I61" s="608">
        <v>300</v>
      </c>
      <c r="J61" s="608"/>
      <c r="M61" s="13"/>
      <c r="N61" s="13"/>
      <c r="O61" s="719">
        <f>IF(I61&gt;0,IF(I61&gt;J61,I61-J61,0),-1)</f>
        <v>300</v>
      </c>
      <c r="P61" s="717">
        <f>IF(SUM(P14:P16)&gt;0,SUMPRODUCT(P14:P16,F14:F16)/SUM(P14:P16),0)</f>
        <v>0</v>
      </c>
      <c r="Q61" s="717">
        <f>IF(SUM(P14:P16)&gt;0,SUMPRODUCT(P14:P16,O14:O16)/SUM(P14:P16),0)</f>
        <v>0</v>
      </c>
      <c r="R61" s="268">
        <f>(SUM(($G$8*$G$73*$G$75),($G$10*$G$74*$G$76),($G$8*(1-$G$73)*$G$77),($G$10*(1-$G$74)*$G$78)))*U61</f>
        <v>0</v>
      </c>
      <c r="S61" s="268">
        <f>IF(G61&lt;&gt;"",G61,F61)</f>
        <v>0</v>
      </c>
      <c r="T61" s="722">
        <f>IF(F61&gt;0,S61/F61,0)</f>
        <v>0</v>
      </c>
      <c r="U61" s="722">
        <f>IF(SUM(P14:P16,R14:R16)&gt;0,SUM(P14:P16)/SUM(P14:P16,R14:R16),0)</f>
        <v>0</v>
      </c>
      <c r="V61" s="13"/>
      <c r="W61" s="13"/>
      <c r="X61" s="13"/>
      <c r="Y61" s="13"/>
      <c r="Z61" s="13"/>
      <c r="AA61" s="13"/>
      <c r="AB61" s="13"/>
      <c r="AC61" s="13"/>
      <c r="AD61" s="13"/>
      <c r="AE61" s="13"/>
      <c r="AF61" s="13"/>
      <c r="AG61" s="13"/>
      <c r="AH61" s="12"/>
      <c r="AI61" s="12"/>
      <c r="AJ61" s="12"/>
      <c r="AK61" s="12"/>
      <c r="AL61" s="12"/>
    </row>
    <row r="62" spans="1:38" ht="15" hidden="1">
      <c r="A62" s="13"/>
      <c r="D62" s="636" t="s">
        <v>497</v>
      </c>
      <c r="E62" s="635"/>
      <c r="F62" s="639">
        <f>SUMIF(D14:D16,"Flushometer-Valve",S14:S16)</f>
        <v>0</v>
      </c>
      <c r="G62" s="638"/>
      <c r="H62" s="517">
        <v>1.28</v>
      </c>
      <c r="I62" s="637">
        <v>1000</v>
      </c>
      <c r="J62" s="637"/>
      <c r="M62" s="13"/>
      <c r="N62" s="13"/>
      <c r="O62" s="719">
        <f>IF(I62&gt;0,IF(I62&gt;J62,I62-J62,0),-1)</f>
        <v>1000</v>
      </c>
      <c r="P62" s="717">
        <f>IF(SUM(R14:R16)&gt;0,SUMPRODUCT(R14:R16,F14:F16)/SUM(R14:R16),0)</f>
        <v>0</v>
      </c>
      <c r="Q62" s="717">
        <f>IF(SUM(R14:R16)&gt;0,SUMPRODUCT(R14:R16,O14:O16)/SUM(R14:R16),0)</f>
        <v>0</v>
      </c>
      <c r="R62" s="268">
        <f>(SUM(($G$8*$G$73*$G$75),($G$10*$G$74*$G$76),($G$8*(1-$G$73)*$G$77),($G$10*(1-$G$74)*$G$78)))*U62</f>
        <v>0</v>
      </c>
      <c r="S62" s="268">
        <f>IF(G62&lt;&gt;"",G62,F62)</f>
        <v>0</v>
      </c>
      <c r="T62" s="722">
        <f>IF(F62&gt;0,S62/F62,0)</f>
        <v>0</v>
      </c>
      <c r="U62" s="722">
        <f>IF(SUM(P14:P16,R14:R16)&gt;0,SUM(R14:R16)/SUM(P14:P16,R14:R16),0)</f>
        <v>0</v>
      </c>
      <c r="V62" s="13"/>
      <c r="W62" s="13"/>
      <c r="X62" s="13"/>
      <c r="Y62" s="13"/>
      <c r="Z62" s="13"/>
      <c r="AA62" s="13"/>
      <c r="AB62" s="13"/>
      <c r="AC62" s="13"/>
      <c r="AD62" s="13"/>
      <c r="AE62" s="13"/>
      <c r="AF62" s="13"/>
      <c r="AG62" s="13"/>
      <c r="AH62" s="12"/>
      <c r="AI62" s="12"/>
      <c r="AJ62" s="12"/>
      <c r="AK62" s="12"/>
      <c r="AL62" s="12"/>
    </row>
    <row r="63" spans="1:38" ht="15" hidden="1">
      <c r="A63" s="13"/>
      <c r="D63" s="944" t="s">
        <v>487</v>
      </c>
      <c r="E63" s="945"/>
      <c r="F63" s="941">
        <f>SUM(P20:P22)</f>
        <v>0</v>
      </c>
      <c r="G63" s="952"/>
      <c r="H63" s="948">
        <v>0.5</v>
      </c>
      <c r="I63" s="946">
        <v>500</v>
      </c>
      <c r="J63" s="946"/>
      <c r="M63" s="13"/>
      <c r="N63" s="13"/>
      <c r="O63" s="719">
        <f>IF(I63&gt;0,IF(I63&gt;J63,I63-J63,0),-1)</f>
        <v>500</v>
      </c>
      <c r="P63" s="717">
        <f>IF(SUM(E20:E22)&gt;0,SUMPRODUCT(E20:E22,F20:F22)/SUM(E20:E22),0)</f>
        <v>0</v>
      </c>
      <c r="Q63" s="717">
        <f>IF(SUM(E20:E22)&gt;0,SUMPRODUCT(E20:E22,O20:O22)/SUM(E20:E22),0)</f>
        <v>0</v>
      </c>
      <c r="R63" s="268">
        <f>SUM(($G$8*(1-$G$73)*$G$79),($G$10*(1-$G$74)*$G$80))</f>
        <v>0</v>
      </c>
      <c r="S63" s="268">
        <f>IF(G63&lt;&gt;"",G63,F63)</f>
        <v>0</v>
      </c>
      <c r="T63" s="722">
        <f>IF(F63&gt;0,S63/F63,0)</f>
        <v>0</v>
      </c>
      <c r="U63" s="36"/>
      <c r="V63" s="13"/>
      <c r="W63" s="13"/>
      <c r="X63" s="13"/>
      <c r="Y63" s="13"/>
      <c r="Z63" s="13"/>
      <c r="AA63" s="13"/>
      <c r="AB63" s="13"/>
      <c r="AC63" s="13"/>
      <c r="AD63" s="13"/>
      <c r="AE63" s="13"/>
      <c r="AF63" s="13"/>
      <c r="AG63" s="13"/>
      <c r="AH63" s="12"/>
      <c r="AI63" s="12"/>
      <c r="AJ63" s="12"/>
      <c r="AK63" s="12"/>
      <c r="AL63" s="12"/>
    </row>
    <row r="64" spans="1:38" ht="17.25" hidden="1">
      <c r="A64" s="13"/>
      <c r="D64" s="626" t="s">
        <v>494</v>
      </c>
      <c r="E64" s="628"/>
      <c r="F64" s="942"/>
      <c r="G64" s="953"/>
      <c r="H64" s="949"/>
      <c r="I64" s="947"/>
      <c r="J64" s="947"/>
      <c r="M64" s="13"/>
      <c r="N64" s="13"/>
      <c r="O64" s="719"/>
      <c r="P64" s="717"/>
      <c r="Q64" s="717"/>
      <c r="R64" s="268"/>
      <c r="S64" s="268"/>
      <c r="T64" s="722"/>
      <c r="U64" s="36"/>
      <c r="V64" s="13"/>
      <c r="W64" s="13"/>
      <c r="X64" s="13"/>
      <c r="Y64" s="13"/>
      <c r="Z64" s="13"/>
      <c r="AA64" s="13"/>
      <c r="AB64" s="13"/>
      <c r="AC64" s="13"/>
      <c r="AD64" s="13"/>
      <c r="AE64" s="13"/>
      <c r="AF64" s="13"/>
      <c r="AG64" s="13"/>
      <c r="AH64" s="12"/>
      <c r="AI64" s="12"/>
      <c r="AJ64" s="12"/>
      <c r="AK64" s="12"/>
      <c r="AL64" s="12"/>
    </row>
    <row r="65" spans="1:38" ht="15" hidden="1">
      <c r="A65" s="13"/>
      <c r="D65" s="878" t="s">
        <v>496</v>
      </c>
      <c r="E65" s="878"/>
      <c r="F65" s="606">
        <f>SUM(P26:P28)</f>
        <v>0</v>
      </c>
      <c r="G65" s="624"/>
      <c r="H65" s="607">
        <v>0.5</v>
      </c>
      <c r="I65" s="608">
        <v>10</v>
      </c>
      <c r="J65" s="608"/>
      <c r="M65" s="13"/>
      <c r="N65" s="13"/>
      <c r="O65" s="719">
        <f>IF(I65&gt;0,IF(I65&gt;J65,I65-J65,0),-1)</f>
        <v>10</v>
      </c>
      <c r="P65" s="717">
        <f>IF(SUM(D26:D28)&gt;0,SUMPRODUCT(D26:D28,E26:E28)/SUM(D26:D28),0)</f>
        <v>0</v>
      </c>
      <c r="Q65" s="717">
        <f>IF(SUM(D26:D28)&gt;0,SUMPRODUCT(D26:D28,O26:O28)/SUM(D26:D28),0)</f>
        <v>0</v>
      </c>
      <c r="R65" s="268">
        <f>SUM(R61:R63)*G81</f>
        <v>0</v>
      </c>
      <c r="S65" s="268">
        <f>IF(G65&lt;&gt;"",G65,F65)</f>
        <v>0</v>
      </c>
      <c r="T65" s="722">
        <f>IF(F65&gt;0,S65/F65,0)</f>
        <v>0</v>
      </c>
      <c r="U65" s="36"/>
      <c r="V65" s="13"/>
      <c r="W65" s="13"/>
      <c r="X65" s="13"/>
      <c r="Y65" s="13"/>
      <c r="Z65" s="13"/>
      <c r="AA65" s="13"/>
      <c r="AB65" s="13"/>
      <c r="AC65" s="13"/>
      <c r="AD65" s="13"/>
      <c r="AE65" s="13"/>
      <c r="AF65" s="13"/>
      <c r="AG65" s="13"/>
      <c r="AH65" s="12"/>
      <c r="AI65" s="12"/>
      <c r="AJ65" s="12"/>
      <c r="AK65" s="12"/>
      <c r="AL65" s="12"/>
    </row>
    <row r="66" spans="1:38" ht="15" hidden="1">
      <c r="A66" s="13"/>
      <c r="D66" s="921" t="s">
        <v>459</v>
      </c>
      <c r="E66" s="921"/>
      <c r="F66" s="606">
        <f>SUM(P32:P34)</f>
        <v>0</v>
      </c>
      <c r="G66" s="624"/>
      <c r="H66" s="607">
        <v>2</v>
      </c>
      <c r="I66" s="608">
        <v>20</v>
      </c>
      <c r="J66" s="608"/>
      <c r="M66" s="13"/>
      <c r="N66" s="13"/>
      <c r="O66" s="719">
        <f>IF(I66&gt;0,IF(I66&gt;J66,I66-J66,0),-1)</f>
        <v>20</v>
      </c>
      <c r="P66" s="717">
        <f>IF(SUM(D32:D34)&gt;0,SUMPRODUCT(D32:D34,E32:E34)/SUM(D32:D34),0)</f>
        <v>0</v>
      </c>
      <c r="Q66" s="717">
        <f>IF(SUM(D32:D34)&gt;0,SUMPRODUCT(D32:D34,O32:O34)/SUM(D32:D34),0)</f>
        <v>0</v>
      </c>
      <c r="R66" s="268">
        <f>$G$8*$G$83</f>
        <v>0</v>
      </c>
      <c r="S66" s="268">
        <f>IF(G66&lt;&gt;"",G66,F66)</f>
        <v>0</v>
      </c>
      <c r="T66" s="722">
        <f>IF(F66&gt;0,S66/F66,0)</f>
        <v>0</v>
      </c>
      <c r="U66" s="36"/>
      <c r="V66" s="13"/>
      <c r="W66" s="13"/>
      <c r="X66" s="13"/>
      <c r="Y66" s="13"/>
      <c r="Z66" s="13"/>
      <c r="AA66" s="13"/>
      <c r="AB66" s="13"/>
      <c r="AC66" s="13"/>
      <c r="AD66" s="13"/>
      <c r="AE66" s="13"/>
      <c r="AF66" s="13"/>
      <c r="AG66" s="13"/>
      <c r="AH66" s="12"/>
      <c r="AI66" s="12"/>
      <c r="AJ66" s="12"/>
      <c r="AK66" s="12"/>
      <c r="AL66" s="12"/>
    </row>
    <row r="67" spans="1:38" ht="15" hidden="1">
      <c r="A67" s="13"/>
      <c r="D67" s="635"/>
      <c r="E67" s="635"/>
      <c r="F67" s="635"/>
      <c r="G67" s="635"/>
      <c r="H67" s="635"/>
      <c r="I67" s="635"/>
      <c r="J67" s="635"/>
      <c r="K67" s="635"/>
      <c r="M67" s="13"/>
      <c r="N67" s="13"/>
      <c r="O67" s="524"/>
      <c r="P67" s="460"/>
      <c r="Q67" s="460"/>
      <c r="R67" s="289"/>
      <c r="S67" s="289"/>
      <c r="T67" s="13"/>
      <c r="U67" s="13"/>
      <c r="V67" s="13"/>
      <c r="W67" s="13"/>
      <c r="X67" s="13"/>
      <c r="Y67" s="13"/>
      <c r="Z67" s="13"/>
      <c r="AA67" s="13"/>
      <c r="AB67" s="13"/>
      <c r="AC67" s="13"/>
      <c r="AD67" s="13"/>
      <c r="AE67" s="13"/>
      <c r="AF67" s="13"/>
      <c r="AG67" s="13"/>
      <c r="AH67" s="12"/>
      <c r="AI67" s="12"/>
      <c r="AJ67" s="12"/>
      <c r="AK67" s="12"/>
      <c r="AL67" s="12"/>
    </row>
    <row r="68" spans="1:38" ht="15" hidden="1">
      <c r="A68" s="13"/>
      <c r="D68" s="943" t="s">
        <v>495</v>
      </c>
      <c r="E68" s="943"/>
      <c r="F68" s="943"/>
      <c r="G68" s="943"/>
      <c r="H68" s="943"/>
      <c r="I68" s="943"/>
      <c r="J68" s="943"/>
      <c r="K68" s="943"/>
      <c r="M68" s="13"/>
      <c r="N68" s="13"/>
      <c r="O68" s="524"/>
      <c r="P68" s="460"/>
      <c r="Q68" s="460"/>
      <c r="R68" s="289"/>
      <c r="S68" s="289"/>
      <c r="T68" s="13"/>
      <c r="U68" s="13"/>
      <c r="V68" s="13"/>
      <c r="W68" s="13"/>
      <c r="X68" s="13"/>
      <c r="Y68" s="13"/>
      <c r="Z68" s="13"/>
      <c r="AA68" s="13"/>
      <c r="AB68" s="13"/>
      <c r="AC68" s="13"/>
      <c r="AD68" s="13"/>
      <c r="AE68" s="13"/>
      <c r="AF68" s="13"/>
      <c r="AG68" s="13"/>
      <c r="AH68" s="12"/>
      <c r="AI68" s="12"/>
      <c r="AJ68" s="12"/>
      <c r="AK68" s="12"/>
      <c r="AL68" s="12"/>
    </row>
    <row r="69" spans="1:38" ht="15" hidden="1">
      <c r="A69" s="13"/>
      <c r="C69" s="3"/>
      <c r="D69" s="610" t="s">
        <v>493</v>
      </c>
      <c r="E69" s="3"/>
      <c r="F69" s="3"/>
      <c r="G69" s="3"/>
      <c r="H69" s="3"/>
      <c r="I69" s="3"/>
      <c r="M69" s="13"/>
      <c r="N69" s="13"/>
      <c r="O69" s="13"/>
      <c r="P69" s="13"/>
      <c r="Q69" s="13"/>
      <c r="R69" s="13"/>
      <c r="S69" s="13"/>
      <c r="T69" s="13"/>
      <c r="U69" s="13"/>
      <c r="V69" s="13"/>
      <c r="W69" s="13"/>
      <c r="X69" s="13"/>
      <c r="Y69" s="13"/>
      <c r="Z69" s="13"/>
      <c r="AA69" s="13"/>
      <c r="AB69" s="13"/>
      <c r="AC69" s="13"/>
      <c r="AD69" s="13"/>
      <c r="AE69" s="13"/>
      <c r="AF69" s="13"/>
      <c r="AG69" s="13"/>
      <c r="AH69" s="12"/>
      <c r="AI69" s="12"/>
      <c r="AJ69" s="12"/>
      <c r="AK69" s="12"/>
      <c r="AL69" s="12"/>
    </row>
    <row r="70" spans="1:38" ht="15" hidden="1">
      <c r="A70" s="13"/>
      <c r="C70" s="3"/>
      <c r="D70" s="3"/>
      <c r="E70" s="3"/>
      <c r="F70" s="3"/>
      <c r="G70" s="3"/>
      <c r="H70" s="3"/>
      <c r="I70" s="3"/>
      <c r="M70" s="13"/>
      <c r="N70" s="13"/>
      <c r="O70" s="13"/>
      <c r="P70" s="13"/>
      <c r="Q70" s="13"/>
      <c r="R70" s="13"/>
      <c r="S70" s="13"/>
      <c r="T70" s="13"/>
      <c r="U70" s="13"/>
      <c r="V70" s="13"/>
      <c r="W70" s="13"/>
      <c r="X70" s="13"/>
      <c r="Y70" s="13"/>
      <c r="Z70" s="13"/>
      <c r="AA70" s="13"/>
      <c r="AB70" s="13"/>
      <c r="AC70" s="13"/>
      <c r="AD70" s="13"/>
      <c r="AE70" s="13"/>
      <c r="AF70" s="13"/>
      <c r="AG70" s="13"/>
      <c r="AH70" s="12"/>
      <c r="AI70" s="12"/>
      <c r="AJ70" s="12"/>
      <c r="AK70" s="12"/>
      <c r="AL70" s="12"/>
    </row>
    <row r="71" spans="1:38" ht="18.75" hidden="1">
      <c r="A71" s="13"/>
      <c r="C71" s="872" t="s">
        <v>767</v>
      </c>
      <c r="D71" s="872"/>
      <c r="E71" s="872"/>
      <c r="F71" s="402"/>
      <c r="M71" s="13"/>
      <c r="N71" s="13"/>
      <c r="O71" s="13"/>
      <c r="P71" s="13"/>
      <c r="Q71" s="13"/>
      <c r="R71" s="13"/>
      <c r="S71" s="13"/>
      <c r="T71" s="13"/>
      <c r="U71" s="13"/>
      <c r="V71" s="13"/>
      <c r="W71" s="13"/>
      <c r="X71" s="13"/>
      <c r="Y71" s="13"/>
      <c r="Z71" s="13"/>
      <c r="AA71" s="13"/>
      <c r="AB71" s="13"/>
      <c r="AC71" s="13"/>
      <c r="AD71" s="13"/>
      <c r="AE71" s="13"/>
      <c r="AF71" s="13"/>
      <c r="AG71" s="13"/>
      <c r="AH71" s="12"/>
      <c r="AI71" s="12"/>
      <c r="AJ71" s="12"/>
      <c r="AK71" s="12"/>
      <c r="AL71" s="12"/>
    </row>
    <row r="72" spans="1:33" s="12" customFormat="1" ht="27" customHeight="1" hidden="1">
      <c r="A72" s="13"/>
      <c r="B72" s="410"/>
      <c r="C72" s="934" t="s">
        <v>801</v>
      </c>
      <c r="D72" s="934"/>
      <c r="E72" s="934"/>
      <c r="F72" s="934"/>
      <c r="G72" s="934"/>
      <c r="H72" s="934"/>
      <c r="I72" s="934"/>
      <c r="J72" s="934"/>
      <c r="K72" s="3"/>
      <c r="L72" s="3"/>
      <c r="M72" s="13"/>
      <c r="N72" s="13"/>
      <c r="O72" s="13"/>
      <c r="P72" s="13"/>
      <c r="Q72" s="13"/>
      <c r="R72" s="13"/>
      <c r="S72" s="13"/>
      <c r="T72" s="13"/>
      <c r="U72" s="13"/>
      <c r="V72" s="13"/>
      <c r="W72" s="13"/>
      <c r="X72" s="13"/>
      <c r="Y72" s="13"/>
      <c r="Z72" s="13"/>
      <c r="AA72" s="13"/>
      <c r="AB72" s="13"/>
      <c r="AC72" s="13"/>
      <c r="AD72" s="13"/>
      <c r="AE72" s="13"/>
      <c r="AF72" s="13"/>
      <c r="AG72" s="13"/>
    </row>
    <row r="73" spans="1:38" ht="15" hidden="1">
      <c r="A73" s="13"/>
      <c r="D73" s="927" t="s">
        <v>347</v>
      </c>
      <c r="E73" s="927"/>
      <c r="F73" s="938"/>
      <c r="G73" s="519">
        <v>0.5</v>
      </c>
      <c r="I73" s="3"/>
      <c r="M73" s="13"/>
      <c r="N73" s="13"/>
      <c r="O73" s="13"/>
      <c r="P73" s="13"/>
      <c r="Q73" s="13"/>
      <c r="R73" s="13"/>
      <c r="S73" s="13"/>
      <c r="T73" s="13"/>
      <c r="U73" s="13"/>
      <c r="V73" s="13"/>
      <c r="W73" s="13"/>
      <c r="X73" s="13"/>
      <c r="Y73" s="13"/>
      <c r="Z73" s="13"/>
      <c r="AA73" s="13"/>
      <c r="AB73" s="13"/>
      <c r="AC73" s="13"/>
      <c r="AD73" s="13"/>
      <c r="AE73" s="13"/>
      <c r="AF73" s="13"/>
      <c r="AG73" s="13"/>
      <c r="AH73" s="12"/>
      <c r="AI73" s="12"/>
      <c r="AJ73" s="12"/>
      <c r="AK73" s="12"/>
      <c r="AL73" s="12"/>
    </row>
    <row r="74" spans="1:38" ht="15" hidden="1">
      <c r="A74" s="13"/>
      <c r="D74" s="927" t="s">
        <v>348</v>
      </c>
      <c r="E74" s="927"/>
      <c r="F74" s="938"/>
      <c r="G74" s="519">
        <v>0.5</v>
      </c>
      <c r="H74" s="3"/>
      <c r="I74" s="3"/>
      <c r="M74" s="13"/>
      <c r="N74" s="13"/>
      <c r="O74" s="13"/>
      <c r="P74" s="13"/>
      <c r="Q74" s="13"/>
      <c r="R74" s="13"/>
      <c r="S74" s="13"/>
      <c r="T74" s="13"/>
      <c r="U74" s="13"/>
      <c r="V74" s="13"/>
      <c r="W74" s="13"/>
      <c r="X74" s="13"/>
      <c r="Y74" s="13"/>
      <c r="Z74" s="13"/>
      <c r="AA74" s="13"/>
      <c r="AB74" s="13"/>
      <c r="AC74" s="13"/>
      <c r="AD74" s="13"/>
      <c r="AE74" s="13"/>
      <c r="AF74" s="13"/>
      <c r="AG74" s="13"/>
      <c r="AH74" s="12"/>
      <c r="AI74" s="12"/>
      <c r="AJ74" s="12"/>
      <c r="AK74" s="12"/>
      <c r="AL74" s="12"/>
    </row>
    <row r="75" spans="1:38" ht="15" hidden="1">
      <c r="A75" s="13"/>
      <c r="D75" s="927" t="s">
        <v>405</v>
      </c>
      <c r="E75" s="927"/>
      <c r="F75" s="938"/>
      <c r="G75" s="520">
        <v>3</v>
      </c>
      <c r="I75" s="3"/>
      <c r="M75" s="13"/>
      <c r="N75" s="13"/>
      <c r="O75" s="13"/>
      <c r="P75" s="13"/>
      <c r="Q75" s="13"/>
      <c r="R75" s="13"/>
      <c r="S75" s="13"/>
      <c r="T75" s="13"/>
      <c r="U75" s="13"/>
      <c r="V75" s="13"/>
      <c r="W75" s="13"/>
      <c r="X75" s="13"/>
      <c r="Y75" s="13"/>
      <c r="Z75" s="13"/>
      <c r="AA75" s="13"/>
      <c r="AB75" s="13"/>
      <c r="AC75" s="13"/>
      <c r="AD75" s="13"/>
      <c r="AE75" s="13"/>
      <c r="AF75" s="13"/>
      <c r="AG75" s="13"/>
      <c r="AH75" s="12"/>
      <c r="AI75" s="12"/>
      <c r="AJ75" s="12"/>
      <c r="AK75" s="12"/>
      <c r="AL75" s="12"/>
    </row>
    <row r="76" spans="1:38" ht="15" hidden="1">
      <c r="A76" s="13"/>
      <c r="D76" s="927" t="s">
        <v>406</v>
      </c>
      <c r="E76" s="927"/>
      <c r="F76" s="938"/>
      <c r="G76" s="520">
        <v>0.5</v>
      </c>
      <c r="I76" s="3"/>
      <c r="M76" s="13"/>
      <c r="N76" s="13"/>
      <c r="O76" s="13"/>
      <c r="P76" s="13"/>
      <c r="Q76" s="13"/>
      <c r="R76" s="13"/>
      <c r="S76" s="13"/>
      <c r="T76" s="13"/>
      <c r="U76" s="13"/>
      <c r="V76" s="13"/>
      <c r="W76" s="13"/>
      <c r="X76" s="13"/>
      <c r="Y76" s="13"/>
      <c r="Z76" s="13"/>
      <c r="AA76" s="13"/>
      <c r="AB76" s="13"/>
      <c r="AC76" s="13"/>
      <c r="AD76" s="13"/>
      <c r="AE76" s="13"/>
      <c r="AF76" s="13"/>
      <c r="AG76" s="13"/>
      <c r="AH76" s="12"/>
      <c r="AI76" s="12"/>
      <c r="AJ76" s="12"/>
      <c r="AK76" s="12"/>
      <c r="AL76" s="12"/>
    </row>
    <row r="77" spans="1:38" ht="15" hidden="1">
      <c r="A77" s="13"/>
      <c r="D77" s="927" t="s">
        <v>407</v>
      </c>
      <c r="E77" s="927"/>
      <c r="F77" s="938"/>
      <c r="G77" s="520">
        <v>1</v>
      </c>
      <c r="I77" s="3"/>
      <c r="M77" s="13"/>
      <c r="N77" s="13"/>
      <c r="O77" s="13"/>
      <c r="P77" s="13"/>
      <c r="Q77" s="13"/>
      <c r="R77" s="13"/>
      <c r="S77" s="13"/>
      <c r="T77" s="13"/>
      <c r="U77" s="13"/>
      <c r="V77" s="13"/>
      <c r="W77" s="13"/>
      <c r="X77" s="13"/>
      <c r="Y77" s="13"/>
      <c r="Z77" s="13"/>
      <c r="AA77" s="13"/>
      <c r="AB77" s="13"/>
      <c r="AC77" s="13"/>
      <c r="AD77" s="13"/>
      <c r="AE77" s="13"/>
      <c r="AF77" s="13"/>
      <c r="AG77" s="13"/>
      <c r="AH77" s="12"/>
      <c r="AI77" s="12"/>
      <c r="AJ77" s="12"/>
      <c r="AK77" s="12"/>
      <c r="AL77" s="12"/>
    </row>
    <row r="78" spans="1:38" ht="15" hidden="1">
      <c r="A78" s="13"/>
      <c r="D78" s="927" t="s">
        <v>408</v>
      </c>
      <c r="E78" s="927"/>
      <c r="F78" s="938"/>
      <c r="G78" s="520">
        <v>0.1</v>
      </c>
      <c r="I78" s="3"/>
      <c r="M78" s="13"/>
      <c r="N78" s="13"/>
      <c r="O78" s="13"/>
      <c r="P78" s="13"/>
      <c r="Q78" s="13"/>
      <c r="R78" s="13"/>
      <c r="S78" s="13"/>
      <c r="T78" s="13"/>
      <c r="U78" s="13"/>
      <c r="V78" s="13"/>
      <c r="W78" s="13"/>
      <c r="X78" s="13"/>
      <c r="Y78" s="13"/>
      <c r="Z78" s="13"/>
      <c r="AA78" s="13"/>
      <c r="AB78" s="13"/>
      <c r="AC78" s="13"/>
      <c r="AD78" s="13"/>
      <c r="AE78" s="13"/>
      <c r="AF78" s="13"/>
      <c r="AG78" s="13"/>
      <c r="AH78" s="12"/>
      <c r="AI78" s="12"/>
      <c r="AJ78" s="12"/>
      <c r="AK78" s="12"/>
      <c r="AL78" s="12"/>
    </row>
    <row r="79" spans="1:38" ht="15" hidden="1">
      <c r="A79" s="13"/>
      <c r="D79" s="938" t="s">
        <v>409</v>
      </c>
      <c r="E79" s="938"/>
      <c r="F79" s="938"/>
      <c r="G79" s="520">
        <v>2</v>
      </c>
      <c r="I79" s="3"/>
      <c r="M79" s="13"/>
      <c r="N79" s="13"/>
      <c r="O79" s="13"/>
      <c r="P79" s="13"/>
      <c r="Q79" s="13"/>
      <c r="R79" s="13"/>
      <c r="S79" s="13"/>
      <c r="T79" s="13"/>
      <c r="U79" s="13"/>
      <c r="V79" s="13"/>
      <c r="W79" s="13"/>
      <c r="X79" s="13"/>
      <c r="Y79" s="13"/>
      <c r="Z79" s="13"/>
      <c r="AA79" s="13"/>
      <c r="AB79" s="13"/>
      <c r="AC79" s="13"/>
      <c r="AD79" s="13"/>
      <c r="AE79" s="13"/>
      <c r="AF79" s="13"/>
      <c r="AG79" s="13"/>
      <c r="AH79" s="12"/>
      <c r="AI79" s="12"/>
      <c r="AJ79" s="12"/>
      <c r="AK79" s="12"/>
      <c r="AL79" s="12"/>
    </row>
    <row r="80" spans="1:38" ht="15" hidden="1">
      <c r="A80" s="13"/>
      <c r="D80" s="938" t="s">
        <v>678</v>
      </c>
      <c r="E80" s="938"/>
      <c r="F80" s="938"/>
      <c r="G80" s="520">
        <v>0.4</v>
      </c>
      <c r="I80" s="3"/>
      <c r="M80" s="13"/>
      <c r="N80" s="13"/>
      <c r="O80" s="13"/>
      <c r="P80" s="13"/>
      <c r="Q80" s="13"/>
      <c r="R80" s="13"/>
      <c r="S80" s="13"/>
      <c r="T80" s="13"/>
      <c r="U80" s="13"/>
      <c r="V80" s="13"/>
      <c r="W80" s="13"/>
      <c r="X80" s="13"/>
      <c r="Y80" s="13"/>
      <c r="Z80" s="13"/>
      <c r="AA80" s="13"/>
      <c r="AB80" s="13"/>
      <c r="AC80" s="13"/>
      <c r="AD80" s="13"/>
      <c r="AE80" s="13"/>
      <c r="AF80" s="13"/>
      <c r="AG80" s="13"/>
      <c r="AH80" s="12"/>
      <c r="AI80" s="12"/>
      <c r="AJ80" s="12"/>
      <c r="AK80" s="12"/>
      <c r="AL80" s="12"/>
    </row>
    <row r="81" spans="1:38" ht="15" hidden="1">
      <c r="A81" s="13"/>
      <c r="D81" s="927" t="s">
        <v>57</v>
      </c>
      <c r="E81" s="927"/>
      <c r="F81" s="938"/>
      <c r="G81" s="520">
        <v>1</v>
      </c>
      <c r="H81" s="3"/>
      <c r="I81" s="3"/>
      <c r="M81" s="13"/>
      <c r="N81" s="13"/>
      <c r="O81" s="13"/>
      <c r="P81" s="13"/>
      <c r="Q81" s="13"/>
      <c r="R81" s="13"/>
      <c r="S81" s="13"/>
      <c r="T81" s="13"/>
      <c r="U81" s="13"/>
      <c r="V81" s="13"/>
      <c r="W81" s="13"/>
      <c r="X81" s="13"/>
      <c r="Y81" s="13"/>
      <c r="Z81" s="13"/>
      <c r="AA81" s="13"/>
      <c r="AB81" s="13"/>
      <c r="AC81" s="13"/>
      <c r="AD81" s="13"/>
      <c r="AE81" s="13"/>
      <c r="AF81" s="13"/>
      <c r="AG81" s="13"/>
      <c r="AH81" s="12"/>
      <c r="AI81" s="12"/>
      <c r="AJ81" s="12"/>
      <c r="AK81" s="12"/>
      <c r="AL81" s="12"/>
    </row>
    <row r="82" spans="1:38" ht="15" hidden="1">
      <c r="A82" s="13"/>
      <c r="D82" s="927" t="s">
        <v>53</v>
      </c>
      <c r="E82" s="927"/>
      <c r="F82" s="938"/>
      <c r="G82" s="520">
        <v>0.5</v>
      </c>
      <c r="H82" s="3"/>
      <c r="I82" s="3"/>
      <c r="M82" s="13"/>
      <c r="N82" s="13"/>
      <c r="O82" s="13"/>
      <c r="P82" s="13"/>
      <c r="Q82" s="13"/>
      <c r="R82" s="13"/>
      <c r="S82" s="13"/>
      <c r="T82" s="13"/>
      <c r="U82" s="13"/>
      <c r="V82" s="13"/>
      <c r="W82" s="13"/>
      <c r="X82" s="13"/>
      <c r="Y82" s="13"/>
      <c r="Z82" s="13"/>
      <c r="AA82" s="13"/>
      <c r="AB82" s="13"/>
      <c r="AC82" s="13"/>
      <c r="AD82" s="13"/>
      <c r="AE82" s="13"/>
      <c r="AF82" s="13"/>
      <c r="AG82" s="13"/>
      <c r="AH82" s="12"/>
      <c r="AI82" s="12"/>
      <c r="AJ82" s="12"/>
      <c r="AK82" s="12"/>
      <c r="AL82" s="12"/>
    </row>
    <row r="83" spans="1:38" ht="15" hidden="1">
      <c r="A83" s="13"/>
      <c r="D83" s="927" t="s">
        <v>50</v>
      </c>
      <c r="E83" s="927"/>
      <c r="F83" s="938"/>
      <c r="G83" s="520">
        <v>0.1</v>
      </c>
      <c r="H83" s="3"/>
      <c r="I83" s="3"/>
      <c r="M83" s="13"/>
      <c r="N83" s="13"/>
      <c r="O83" s="13"/>
      <c r="P83" s="13"/>
      <c r="Q83" s="13"/>
      <c r="R83" s="13"/>
      <c r="S83" s="13"/>
      <c r="T83" s="13"/>
      <c r="U83" s="13"/>
      <c r="V83" s="13"/>
      <c r="W83" s="13"/>
      <c r="X83" s="13"/>
      <c r="Y83" s="13"/>
      <c r="Z83" s="13"/>
      <c r="AA83" s="13"/>
      <c r="AB83" s="13"/>
      <c r="AC83" s="13"/>
      <c r="AD83" s="13"/>
      <c r="AE83" s="13"/>
      <c r="AF83" s="13"/>
      <c r="AG83" s="13"/>
      <c r="AH83" s="12"/>
      <c r="AI83" s="12"/>
      <c r="AJ83" s="12"/>
      <c r="AK83" s="12"/>
      <c r="AL83" s="12"/>
    </row>
    <row r="84" spans="1:38" ht="15" hidden="1">
      <c r="A84" s="13"/>
      <c r="D84" s="927" t="s">
        <v>28</v>
      </c>
      <c r="E84" s="927"/>
      <c r="F84" s="938"/>
      <c r="G84" s="520">
        <v>5</v>
      </c>
      <c r="H84" s="3"/>
      <c r="I84" s="3"/>
      <c r="M84" s="13"/>
      <c r="N84" s="13"/>
      <c r="O84" s="13"/>
      <c r="P84" s="13"/>
      <c r="Q84" s="13"/>
      <c r="R84" s="13"/>
      <c r="S84" s="13"/>
      <c r="T84" s="13"/>
      <c r="U84" s="13"/>
      <c r="V84" s="13"/>
      <c r="W84" s="13"/>
      <c r="X84" s="13"/>
      <c r="Y84" s="13"/>
      <c r="Z84" s="13"/>
      <c r="AA84" s="13"/>
      <c r="AB84" s="13"/>
      <c r="AC84" s="13"/>
      <c r="AD84" s="13"/>
      <c r="AE84" s="13"/>
      <c r="AF84" s="13"/>
      <c r="AG84" s="13"/>
      <c r="AH84" s="12"/>
      <c r="AI84" s="12"/>
      <c r="AJ84" s="12"/>
      <c r="AK84" s="12"/>
      <c r="AL84" s="12"/>
    </row>
    <row r="85" spans="1:38" ht="15" hidden="1">
      <c r="A85" s="13"/>
      <c r="D85" s="927" t="s">
        <v>31</v>
      </c>
      <c r="E85" s="927"/>
      <c r="F85" s="938"/>
      <c r="G85" s="534">
        <v>0.727</v>
      </c>
      <c r="H85" s="3"/>
      <c r="I85" s="3"/>
      <c r="M85" s="13"/>
      <c r="N85" s="13"/>
      <c r="O85" s="13"/>
      <c r="P85" s="13"/>
      <c r="Q85" s="13"/>
      <c r="R85" s="13"/>
      <c r="S85" s="13"/>
      <c r="T85" s="13"/>
      <c r="U85" s="13"/>
      <c r="V85" s="13"/>
      <c r="W85" s="13"/>
      <c r="X85" s="13"/>
      <c r="Y85" s="13"/>
      <c r="Z85" s="13"/>
      <c r="AA85" s="13"/>
      <c r="AB85" s="13"/>
      <c r="AC85" s="13"/>
      <c r="AD85" s="13"/>
      <c r="AE85" s="13"/>
      <c r="AF85" s="13"/>
      <c r="AG85" s="13"/>
      <c r="AH85" s="12"/>
      <c r="AI85" s="12"/>
      <c r="AJ85" s="12"/>
      <c r="AK85" s="12"/>
      <c r="AL85" s="12"/>
    </row>
    <row r="86" spans="1:38" ht="15" hidden="1">
      <c r="A86" s="13"/>
      <c r="D86" s="927" t="s">
        <v>30</v>
      </c>
      <c r="E86" s="927"/>
      <c r="F86" s="938"/>
      <c r="G86" s="534">
        <v>0.731</v>
      </c>
      <c r="H86" s="3"/>
      <c r="I86" s="3"/>
      <c r="M86" s="13"/>
      <c r="N86" s="13"/>
      <c r="O86" s="13"/>
      <c r="P86" s="13"/>
      <c r="Q86" s="13"/>
      <c r="R86" s="13"/>
      <c r="S86" s="13"/>
      <c r="T86" s="13"/>
      <c r="U86" s="13"/>
      <c r="V86" s="13"/>
      <c r="W86" s="13"/>
      <c r="X86" s="13"/>
      <c r="Y86" s="13"/>
      <c r="Z86" s="13"/>
      <c r="AA86" s="13"/>
      <c r="AB86" s="13"/>
      <c r="AC86" s="13"/>
      <c r="AD86" s="13"/>
      <c r="AE86" s="13"/>
      <c r="AF86" s="13"/>
      <c r="AG86" s="13"/>
      <c r="AH86" s="12"/>
      <c r="AI86" s="12"/>
      <c r="AJ86" s="12"/>
      <c r="AK86" s="12"/>
      <c r="AL86" s="12"/>
    </row>
    <row r="87" spans="1:38" ht="15" hidden="1">
      <c r="A87" s="13"/>
      <c r="D87" s="927" t="s">
        <v>35</v>
      </c>
      <c r="E87" s="927"/>
      <c r="F87" s="938"/>
      <c r="G87" s="522">
        <v>0.17664</v>
      </c>
      <c r="H87" s="3"/>
      <c r="I87" s="3"/>
      <c r="M87" s="13"/>
      <c r="N87" s="13"/>
      <c r="O87" s="13"/>
      <c r="P87" s="13"/>
      <c r="Q87" s="13"/>
      <c r="R87" s="13"/>
      <c r="S87" s="13"/>
      <c r="T87" s="13"/>
      <c r="U87" s="13"/>
      <c r="V87" s="13"/>
      <c r="W87" s="13"/>
      <c r="X87" s="13"/>
      <c r="Y87" s="13"/>
      <c r="Z87" s="13"/>
      <c r="AA87" s="13"/>
      <c r="AB87" s="13"/>
      <c r="AC87" s="13"/>
      <c r="AD87" s="13"/>
      <c r="AE87" s="13"/>
      <c r="AF87" s="13"/>
      <c r="AG87" s="13"/>
      <c r="AH87" s="12"/>
      <c r="AI87" s="12"/>
      <c r="AJ87" s="12"/>
      <c r="AK87" s="12"/>
      <c r="AL87" s="12"/>
    </row>
    <row r="88" spans="1:38" ht="15" hidden="1">
      <c r="A88" s="13"/>
      <c r="D88" s="927" t="s">
        <v>32</v>
      </c>
      <c r="E88" s="927"/>
      <c r="F88" s="938"/>
      <c r="G88" s="520">
        <v>0.0008774</v>
      </c>
      <c r="H88" s="3"/>
      <c r="I88" s="3"/>
      <c r="M88" s="13"/>
      <c r="N88" s="13"/>
      <c r="O88" s="13"/>
      <c r="P88" s="13"/>
      <c r="Q88" s="13"/>
      <c r="R88" s="13"/>
      <c r="S88" s="13"/>
      <c r="T88" s="13"/>
      <c r="U88" s="13"/>
      <c r="V88" s="13"/>
      <c r="W88" s="13"/>
      <c r="X88" s="13"/>
      <c r="Y88" s="13"/>
      <c r="Z88" s="13"/>
      <c r="AA88" s="13"/>
      <c r="AB88" s="13"/>
      <c r="AC88" s="13"/>
      <c r="AD88" s="13"/>
      <c r="AE88" s="13"/>
      <c r="AF88" s="13"/>
      <c r="AG88" s="13"/>
      <c r="AH88" s="12"/>
      <c r="AI88" s="12"/>
      <c r="AJ88" s="12"/>
      <c r="AK88" s="12"/>
      <c r="AL88" s="12"/>
    </row>
    <row r="89" spans="1:38" ht="15" hidden="1">
      <c r="A89" s="13"/>
      <c r="D89" s="447"/>
      <c r="E89" s="447"/>
      <c r="F89" s="447"/>
      <c r="G89" s="447"/>
      <c r="H89" s="3"/>
      <c r="I89" s="3"/>
      <c r="M89" s="13"/>
      <c r="N89" s="13"/>
      <c r="O89" s="13"/>
      <c r="P89" s="13"/>
      <c r="Q89" s="13"/>
      <c r="R89" s="13"/>
      <c r="S89" s="13"/>
      <c r="T89" s="13"/>
      <c r="U89" s="13"/>
      <c r="V89" s="13"/>
      <c r="W89" s="13"/>
      <c r="X89" s="13"/>
      <c r="Y89" s="13"/>
      <c r="Z89" s="13"/>
      <c r="AA89" s="13"/>
      <c r="AB89" s="13"/>
      <c r="AC89" s="13"/>
      <c r="AD89" s="13"/>
      <c r="AE89" s="13"/>
      <c r="AF89" s="13"/>
      <c r="AG89" s="13"/>
      <c r="AH89" s="12"/>
      <c r="AI89" s="12"/>
      <c r="AJ89" s="12"/>
      <c r="AK89" s="12"/>
      <c r="AL89" s="12"/>
    </row>
    <row r="90" spans="1:38" ht="15" hidden="1">
      <c r="A90" s="13"/>
      <c r="C90" s="424"/>
      <c r="D90" s="424"/>
      <c r="E90" s="424"/>
      <c r="F90" s="428"/>
      <c r="M90" s="13"/>
      <c r="N90" s="13"/>
      <c r="O90" s="13"/>
      <c r="P90" s="13"/>
      <c r="Q90" s="13"/>
      <c r="R90" s="13"/>
      <c r="S90" s="13"/>
      <c r="T90" s="13"/>
      <c r="U90" s="13"/>
      <c r="V90" s="13"/>
      <c r="W90" s="13"/>
      <c r="X90" s="13"/>
      <c r="Y90" s="13"/>
      <c r="Z90" s="13"/>
      <c r="AA90" s="13"/>
      <c r="AB90" s="13"/>
      <c r="AC90" s="13"/>
      <c r="AD90" s="13"/>
      <c r="AE90" s="13"/>
      <c r="AF90" s="13"/>
      <c r="AG90" s="13"/>
      <c r="AH90" s="12"/>
      <c r="AI90" s="12"/>
      <c r="AJ90" s="12"/>
      <c r="AK90" s="12"/>
      <c r="AL90" s="12"/>
    </row>
    <row r="91" spans="1:38" ht="15">
      <c r="A91" s="13"/>
      <c r="B91" s="654" t="s">
        <v>877</v>
      </c>
      <c r="C91" s="13"/>
      <c r="D91" s="13"/>
      <c r="E91" s="13"/>
      <c r="F91" s="13"/>
      <c r="G91" s="13"/>
      <c r="H91" s="13"/>
      <c r="I91" s="13"/>
      <c r="J91" s="13"/>
      <c r="K91" s="13"/>
      <c r="L91" s="13"/>
      <c r="M91" s="13"/>
      <c r="N91" s="13"/>
      <c r="O91" s="13"/>
      <c r="P91" s="13"/>
      <c r="Q91" s="13"/>
      <c r="R91" s="13"/>
      <c r="S91" s="13"/>
      <c r="T91" s="13"/>
      <c r="U91" s="13"/>
      <c r="V91" s="13"/>
      <c r="W91" s="13"/>
      <c r="X91" s="13"/>
      <c r="Y91" s="13"/>
      <c r="Z91" s="13"/>
      <c r="AA91" s="13"/>
      <c r="AB91" s="13"/>
      <c r="AC91" s="13"/>
      <c r="AD91" s="13"/>
      <c r="AE91" s="13"/>
      <c r="AF91" s="13"/>
      <c r="AG91" s="13"/>
      <c r="AH91" s="12"/>
      <c r="AI91" s="12"/>
      <c r="AJ91" s="12"/>
      <c r="AK91" s="12"/>
      <c r="AL91" s="12"/>
    </row>
    <row r="92" spans="1:38" ht="15">
      <c r="A92" s="13"/>
      <c r="B92" s="409"/>
      <c r="C92" s="13"/>
      <c r="D92" s="13"/>
      <c r="E92" s="13"/>
      <c r="F92" s="13"/>
      <c r="G92" s="13"/>
      <c r="H92" s="13"/>
      <c r="I92" s="13"/>
      <c r="J92" s="13"/>
      <c r="K92" s="13"/>
      <c r="L92" s="13"/>
      <c r="M92" s="13"/>
      <c r="N92" s="13"/>
      <c r="O92" s="13"/>
      <c r="P92" s="13"/>
      <c r="Q92" s="13"/>
      <c r="R92" s="13"/>
      <c r="S92" s="13"/>
      <c r="T92" s="13"/>
      <c r="U92" s="13"/>
      <c r="V92" s="13"/>
      <c r="W92" s="13"/>
      <c r="X92" s="13"/>
      <c r="Y92" s="13"/>
      <c r="Z92" s="13"/>
      <c r="AA92" s="13"/>
      <c r="AB92" s="13"/>
      <c r="AC92" s="13"/>
      <c r="AD92" s="13"/>
      <c r="AE92" s="13"/>
      <c r="AF92" s="13"/>
      <c r="AG92" s="13"/>
      <c r="AH92" s="12"/>
      <c r="AI92" s="12"/>
      <c r="AJ92" s="12"/>
      <c r="AK92" s="12"/>
      <c r="AL92" s="12"/>
    </row>
    <row r="93" spans="1:38" ht="15">
      <c r="A93" s="13"/>
      <c r="B93" s="409"/>
      <c r="C93" s="13"/>
      <c r="D93" s="13"/>
      <c r="E93" s="13"/>
      <c r="F93" s="13"/>
      <c r="G93" s="13"/>
      <c r="H93" s="13"/>
      <c r="I93" s="13"/>
      <c r="J93" s="13"/>
      <c r="K93" s="13"/>
      <c r="L93" s="13"/>
      <c r="M93" s="13"/>
      <c r="N93" s="13"/>
      <c r="O93" s="13"/>
      <c r="P93" s="13"/>
      <c r="Q93" s="13"/>
      <c r="R93" s="13"/>
      <c r="S93" s="13"/>
      <c r="T93" s="13"/>
      <c r="U93" s="13"/>
      <c r="V93" s="13"/>
      <c r="W93" s="13"/>
      <c r="X93" s="13"/>
      <c r="Y93" s="13"/>
      <c r="Z93" s="13"/>
      <c r="AA93" s="13"/>
      <c r="AB93" s="13"/>
      <c r="AC93" s="13"/>
      <c r="AD93" s="13"/>
      <c r="AE93" s="13"/>
      <c r="AF93" s="13"/>
      <c r="AG93" s="13"/>
      <c r="AH93" s="12"/>
      <c r="AI93" s="12"/>
      <c r="AJ93" s="12"/>
      <c r="AK93" s="12"/>
      <c r="AL93" s="12"/>
    </row>
    <row r="94" spans="1:38" ht="15">
      <c r="A94" s="13"/>
      <c r="B94" s="409"/>
      <c r="C94" s="13"/>
      <c r="D94" s="13"/>
      <c r="E94" s="13"/>
      <c r="F94" s="13"/>
      <c r="G94" s="13"/>
      <c r="H94" s="13"/>
      <c r="I94" s="13"/>
      <c r="J94" s="13"/>
      <c r="K94" s="13"/>
      <c r="L94" s="13"/>
      <c r="M94" s="13"/>
      <c r="N94" s="13"/>
      <c r="O94" s="13"/>
      <c r="P94" s="13"/>
      <c r="Q94" s="13"/>
      <c r="R94" s="13"/>
      <c r="S94" s="13"/>
      <c r="T94" s="13"/>
      <c r="U94" s="13"/>
      <c r="V94" s="13"/>
      <c r="W94" s="13"/>
      <c r="X94" s="13"/>
      <c r="Y94" s="13"/>
      <c r="Z94" s="13"/>
      <c r="AA94" s="13"/>
      <c r="AB94" s="13"/>
      <c r="AC94" s="13"/>
      <c r="AD94" s="13"/>
      <c r="AE94" s="13"/>
      <c r="AF94" s="13"/>
      <c r="AG94" s="13"/>
      <c r="AH94" s="12"/>
      <c r="AI94" s="12"/>
      <c r="AJ94" s="12"/>
      <c r="AK94" s="12"/>
      <c r="AL94" s="12"/>
    </row>
    <row r="95" spans="1:38" ht="15">
      <c r="A95" s="13"/>
      <c r="B95" s="409"/>
      <c r="C95" s="13"/>
      <c r="D95" s="13"/>
      <c r="E95" s="13"/>
      <c r="F95" s="13"/>
      <c r="G95" s="13"/>
      <c r="H95" s="13"/>
      <c r="I95" s="13"/>
      <c r="J95" s="13"/>
      <c r="K95" s="13"/>
      <c r="L95" s="13"/>
      <c r="M95" s="13"/>
      <c r="N95" s="13"/>
      <c r="O95" s="13"/>
      <c r="P95" s="13"/>
      <c r="Q95" s="13"/>
      <c r="R95" s="13"/>
      <c r="S95" s="13"/>
      <c r="T95" s="13"/>
      <c r="U95" s="13"/>
      <c r="V95" s="13"/>
      <c r="W95" s="13"/>
      <c r="X95" s="13"/>
      <c r="Y95" s="13"/>
      <c r="Z95" s="13"/>
      <c r="AA95" s="13"/>
      <c r="AB95" s="13"/>
      <c r="AC95" s="13"/>
      <c r="AD95" s="13"/>
      <c r="AE95" s="13"/>
      <c r="AF95" s="13"/>
      <c r="AG95" s="13"/>
      <c r="AH95" s="12"/>
      <c r="AI95" s="12"/>
      <c r="AJ95" s="12"/>
      <c r="AK95" s="12"/>
      <c r="AL95" s="12"/>
    </row>
    <row r="96" spans="1:38" ht="15">
      <c r="A96" s="13"/>
      <c r="B96" s="409"/>
      <c r="C96" s="13"/>
      <c r="D96" s="13"/>
      <c r="E96" s="13"/>
      <c r="F96" s="13"/>
      <c r="G96" s="13"/>
      <c r="H96" s="13"/>
      <c r="I96" s="13"/>
      <c r="J96" s="13"/>
      <c r="K96" s="13"/>
      <c r="L96" s="13"/>
      <c r="M96" s="13"/>
      <c r="N96" s="13"/>
      <c r="O96" s="13"/>
      <c r="P96" s="13"/>
      <c r="Q96" s="13"/>
      <c r="R96" s="13"/>
      <c r="S96" s="13"/>
      <c r="T96" s="13"/>
      <c r="U96" s="13"/>
      <c r="V96" s="13"/>
      <c r="W96" s="13"/>
      <c r="X96" s="13"/>
      <c r="Y96" s="13"/>
      <c r="Z96" s="13"/>
      <c r="AA96" s="13"/>
      <c r="AB96" s="13"/>
      <c r="AC96" s="13"/>
      <c r="AD96" s="13"/>
      <c r="AE96" s="13"/>
      <c r="AF96" s="13"/>
      <c r="AG96" s="13"/>
      <c r="AH96" s="12"/>
      <c r="AI96" s="12"/>
      <c r="AJ96" s="12"/>
      <c r="AK96" s="12"/>
      <c r="AL96" s="12"/>
    </row>
    <row r="97" spans="1:38" ht="15">
      <c r="A97" s="13"/>
      <c r="B97" s="409"/>
      <c r="C97" s="13"/>
      <c r="D97" s="13"/>
      <c r="E97" s="13"/>
      <c r="F97" s="13"/>
      <c r="G97" s="13"/>
      <c r="H97" s="13"/>
      <c r="I97" s="13"/>
      <c r="J97" s="13"/>
      <c r="K97" s="13"/>
      <c r="L97" s="13"/>
      <c r="M97" s="13"/>
      <c r="N97" s="13"/>
      <c r="O97" s="13"/>
      <c r="P97" s="13"/>
      <c r="Q97" s="13"/>
      <c r="R97" s="13"/>
      <c r="S97" s="13"/>
      <c r="T97" s="13"/>
      <c r="U97" s="13"/>
      <c r="V97" s="13"/>
      <c r="W97" s="13"/>
      <c r="X97" s="13"/>
      <c r="Y97" s="13"/>
      <c r="Z97" s="13"/>
      <c r="AA97" s="13"/>
      <c r="AB97" s="13"/>
      <c r="AC97" s="13"/>
      <c r="AD97" s="13"/>
      <c r="AE97" s="13"/>
      <c r="AF97" s="13"/>
      <c r="AG97" s="13"/>
      <c r="AH97" s="12"/>
      <c r="AI97" s="12"/>
      <c r="AJ97" s="12"/>
      <c r="AK97" s="12"/>
      <c r="AL97" s="12"/>
    </row>
    <row r="98" spans="1:38" ht="15">
      <c r="A98" s="13"/>
      <c r="B98" s="409"/>
      <c r="C98" s="13"/>
      <c r="D98" s="13"/>
      <c r="E98" s="13"/>
      <c r="F98" s="13"/>
      <c r="G98" s="13"/>
      <c r="H98" s="13"/>
      <c r="I98" s="13"/>
      <c r="J98" s="13"/>
      <c r="K98" s="13"/>
      <c r="L98" s="13"/>
      <c r="M98" s="13"/>
      <c r="N98" s="13"/>
      <c r="O98" s="13"/>
      <c r="P98" s="13"/>
      <c r="Q98" s="13"/>
      <c r="R98" s="13"/>
      <c r="S98" s="13"/>
      <c r="T98" s="13"/>
      <c r="U98" s="13"/>
      <c r="V98" s="13"/>
      <c r="W98" s="13"/>
      <c r="X98" s="13"/>
      <c r="Y98" s="13"/>
      <c r="Z98" s="13"/>
      <c r="AA98" s="13"/>
      <c r="AB98" s="13"/>
      <c r="AC98" s="13"/>
      <c r="AD98" s="13"/>
      <c r="AE98" s="13"/>
      <c r="AF98" s="13"/>
      <c r="AG98" s="13"/>
      <c r="AH98" s="12"/>
      <c r="AI98" s="12"/>
      <c r="AJ98" s="12"/>
      <c r="AK98" s="12"/>
      <c r="AL98" s="12"/>
    </row>
    <row r="99" spans="1:38" ht="15">
      <c r="A99" s="13"/>
      <c r="B99" s="409"/>
      <c r="C99" s="13"/>
      <c r="D99" s="13"/>
      <c r="E99" s="13"/>
      <c r="F99" s="13"/>
      <c r="G99" s="13"/>
      <c r="H99" s="13"/>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13"/>
      <c r="AH99" s="12"/>
      <c r="AI99" s="12"/>
      <c r="AJ99" s="12"/>
      <c r="AK99" s="12"/>
      <c r="AL99" s="12"/>
    </row>
    <row r="100" spans="1:38" ht="15">
      <c r="A100" s="13"/>
      <c r="B100" s="409"/>
      <c r="C100" s="13"/>
      <c r="D100" s="13"/>
      <c r="E100" s="13"/>
      <c r="F100" s="13"/>
      <c r="G100" s="13"/>
      <c r="H100" s="13"/>
      <c r="I100" s="13"/>
      <c r="J100" s="13"/>
      <c r="K100" s="13"/>
      <c r="L100" s="13"/>
      <c r="M100" s="13"/>
      <c r="N100" s="13"/>
      <c r="O100" s="13"/>
      <c r="P100" s="13"/>
      <c r="Q100" s="13"/>
      <c r="R100" s="13"/>
      <c r="S100" s="13"/>
      <c r="T100" s="13"/>
      <c r="U100" s="13"/>
      <c r="V100" s="13"/>
      <c r="W100" s="13"/>
      <c r="X100" s="13"/>
      <c r="Y100" s="13"/>
      <c r="Z100" s="13"/>
      <c r="AA100" s="13"/>
      <c r="AB100" s="13"/>
      <c r="AC100" s="13"/>
      <c r="AD100" s="13"/>
      <c r="AE100" s="13"/>
      <c r="AF100" s="13"/>
      <c r="AG100" s="13"/>
      <c r="AH100" s="12"/>
      <c r="AI100" s="12"/>
      <c r="AJ100" s="12"/>
      <c r="AK100" s="12"/>
      <c r="AL100" s="12"/>
    </row>
    <row r="101" spans="1:38" ht="15">
      <c r="A101" s="13"/>
      <c r="B101" s="409"/>
      <c r="C101" s="13"/>
      <c r="D101" s="13"/>
      <c r="E101" s="13"/>
      <c r="F101" s="13"/>
      <c r="G101" s="13"/>
      <c r="H101" s="13"/>
      <c r="I101" s="13"/>
      <c r="J101" s="13"/>
      <c r="K101" s="13"/>
      <c r="L101" s="13"/>
      <c r="M101" s="13"/>
      <c r="N101" s="13"/>
      <c r="O101" s="13"/>
      <c r="P101" s="13"/>
      <c r="Q101" s="13"/>
      <c r="R101" s="13"/>
      <c r="S101" s="13"/>
      <c r="T101" s="13"/>
      <c r="U101" s="13"/>
      <c r="V101" s="13"/>
      <c r="W101" s="13"/>
      <c r="X101" s="13"/>
      <c r="Y101" s="13"/>
      <c r="Z101" s="13"/>
      <c r="AA101" s="13"/>
      <c r="AB101" s="13"/>
      <c r="AC101" s="13"/>
      <c r="AD101" s="13"/>
      <c r="AE101" s="13"/>
      <c r="AF101" s="13"/>
      <c r="AG101" s="13"/>
      <c r="AH101" s="12"/>
      <c r="AI101" s="12"/>
      <c r="AJ101" s="12"/>
      <c r="AK101" s="12"/>
      <c r="AL101" s="12"/>
    </row>
    <row r="102" spans="1:38" ht="15">
      <c r="A102" s="13"/>
      <c r="B102" s="409"/>
      <c r="C102" s="13"/>
      <c r="D102" s="13"/>
      <c r="E102" s="13"/>
      <c r="F102" s="13"/>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2"/>
      <c r="AI102" s="12"/>
      <c r="AJ102" s="12"/>
      <c r="AK102" s="12"/>
      <c r="AL102" s="12"/>
    </row>
    <row r="103" spans="1:38" ht="15">
      <c r="A103" s="13"/>
      <c r="B103" s="409"/>
      <c r="C103" s="13"/>
      <c r="D103" s="13"/>
      <c r="E103" s="13"/>
      <c r="F103" s="13"/>
      <c r="G103" s="13"/>
      <c r="H103" s="13"/>
      <c r="I103" s="13"/>
      <c r="J103" s="13"/>
      <c r="K103" s="13"/>
      <c r="L103" s="13"/>
      <c r="M103" s="13"/>
      <c r="N103" s="13"/>
      <c r="O103" s="13"/>
      <c r="P103" s="13"/>
      <c r="Q103" s="13"/>
      <c r="R103" s="13"/>
      <c r="S103" s="13"/>
      <c r="T103" s="13"/>
      <c r="U103" s="13"/>
      <c r="V103" s="13"/>
      <c r="W103" s="13"/>
      <c r="X103" s="13"/>
      <c r="Y103" s="13"/>
      <c r="Z103" s="13"/>
      <c r="AA103" s="13"/>
      <c r="AB103" s="13"/>
      <c r="AC103" s="13"/>
      <c r="AD103" s="13"/>
      <c r="AE103" s="13"/>
      <c r="AF103" s="13"/>
      <c r="AG103" s="13"/>
      <c r="AH103" s="12"/>
      <c r="AI103" s="12"/>
      <c r="AJ103" s="12"/>
      <c r="AK103" s="12"/>
      <c r="AL103" s="12"/>
    </row>
    <row r="104" spans="1:38" ht="15">
      <c r="A104" s="13"/>
      <c r="B104" s="409"/>
      <c r="C104" s="13"/>
      <c r="D104" s="13"/>
      <c r="E104" s="13"/>
      <c r="F104" s="13"/>
      <c r="G104" s="13"/>
      <c r="H104" s="13"/>
      <c r="I104" s="13"/>
      <c r="J104" s="13"/>
      <c r="K104" s="13"/>
      <c r="L104" s="13"/>
      <c r="M104" s="13"/>
      <c r="N104" s="13"/>
      <c r="O104" s="13"/>
      <c r="P104" s="13"/>
      <c r="Q104" s="13"/>
      <c r="R104" s="13"/>
      <c r="S104" s="13"/>
      <c r="T104" s="13"/>
      <c r="U104" s="13"/>
      <c r="V104" s="13"/>
      <c r="W104" s="13"/>
      <c r="X104" s="13"/>
      <c r="Y104" s="13"/>
      <c r="Z104" s="13"/>
      <c r="AA104" s="13"/>
      <c r="AB104" s="13"/>
      <c r="AC104" s="13"/>
      <c r="AD104" s="13"/>
      <c r="AE104" s="13"/>
      <c r="AF104" s="13"/>
      <c r="AG104" s="13"/>
      <c r="AH104" s="12"/>
      <c r="AI104" s="12"/>
      <c r="AJ104" s="12"/>
      <c r="AK104" s="12"/>
      <c r="AL104" s="12"/>
    </row>
    <row r="105" spans="1:38" ht="15">
      <c r="A105" s="13"/>
      <c r="B105" s="409"/>
      <c r="C105" s="13"/>
      <c r="D105" s="13"/>
      <c r="E105" s="13"/>
      <c r="F105" s="13"/>
      <c r="G105" s="13"/>
      <c r="H105" s="13"/>
      <c r="I105" s="13"/>
      <c r="J105" s="13"/>
      <c r="K105" s="13"/>
      <c r="L105" s="13"/>
      <c r="M105" s="13"/>
      <c r="N105" s="13"/>
      <c r="O105" s="13"/>
      <c r="P105" s="13"/>
      <c r="Q105" s="13"/>
      <c r="R105" s="13"/>
      <c r="S105" s="13"/>
      <c r="T105" s="13"/>
      <c r="U105" s="13"/>
      <c r="V105" s="13"/>
      <c r="W105" s="13"/>
      <c r="X105" s="13"/>
      <c r="Y105" s="13"/>
      <c r="Z105" s="13"/>
      <c r="AA105" s="13"/>
      <c r="AB105" s="13"/>
      <c r="AC105" s="13"/>
      <c r="AD105" s="13"/>
      <c r="AE105" s="13"/>
      <c r="AF105" s="13"/>
      <c r="AG105" s="13"/>
      <c r="AH105" s="12"/>
      <c r="AI105" s="12"/>
      <c r="AJ105" s="12"/>
      <c r="AK105" s="12"/>
      <c r="AL105" s="12"/>
    </row>
    <row r="106" spans="1:38" ht="15">
      <c r="A106" s="13"/>
      <c r="B106" s="409"/>
      <c r="C106" s="13"/>
      <c r="D106" s="13"/>
      <c r="E106" s="13"/>
      <c r="F106" s="13"/>
      <c r="G106" s="13"/>
      <c r="H106" s="13"/>
      <c r="I106" s="13"/>
      <c r="J106" s="13"/>
      <c r="K106" s="13"/>
      <c r="L106" s="13"/>
      <c r="M106" s="13"/>
      <c r="N106" s="13"/>
      <c r="O106" s="13"/>
      <c r="P106" s="13"/>
      <c r="Q106" s="13"/>
      <c r="R106" s="13"/>
      <c r="S106" s="13"/>
      <c r="T106" s="13"/>
      <c r="U106" s="13"/>
      <c r="V106" s="13"/>
      <c r="W106" s="13"/>
      <c r="X106" s="13"/>
      <c r="Y106" s="13"/>
      <c r="Z106" s="13"/>
      <c r="AA106" s="13"/>
      <c r="AB106" s="13"/>
      <c r="AC106" s="13"/>
      <c r="AD106" s="13"/>
      <c r="AE106" s="13"/>
      <c r="AF106" s="13"/>
      <c r="AG106" s="13"/>
      <c r="AH106" s="12"/>
      <c r="AI106" s="12"/>
      <c r="AJ106" s="12"/>
      <c r="AK106" s="12"/>
      <c r="AL106" s="12"/>
    </row>
    <row r="107" spans="1:38" ht="15">
      <c r="A107" s="13"/>
      <c r="B107" s="409"/>
      <c r="C107" s="13"/>
      <c r="D107" s="13"/>
      <c r="E107" s="13"/>
      <c r="F107" s="13"/>
      <c r="G107" s="13"/>
      <c r="H107" s="13"/>
      <c r="I107" s="13"/>
      <c r="J107" s="13"/>
      <c r="K107" s="13"/>
      <c r="L107" s="13"/>
      <c r="M107" s="13"/>
      <c r="N107" s="13"/>
      <c r="O107" s="13"/>
      <c r="P107" s="13"/>
      <c r="Q107" s="13"/>
      <c r="R107" s="13"/>
      <c r="S107" s="13"/>
      <c r="T107" s="13"/>
      <c r="U107" s="13"/>
      <c r="V107" s="13"/>
      <c r="W107" s="13"/>
      <c r="X107" s="13"/>
      <c r="Y107" s="13"/>
      <c r="Z107" s="13"/>
      <c r="AA107" s="13"/>
      <c r="AB107" s="13"/>
      <c r="AC107" s="13"/>
      <c r="AD107" s="13"/>
      <c r="AE107" s="13"/>
      <c r="AF107" s="13"/>
      <c r="AG107" s="13"/>
      <c r="AH107" s="12"/>
      <c r="AI107" s="12"/>
      <c r="AJ107" s="12"/>
      <c r="AK107" s="12"/>
      <c r="AL107" s="12"/>
    </row>
    <row r="108" spans="1:38" ht="15">
      <c r="A108" s="13"/>
      <c r="B108" s="409"/>
      <c r="C108" s="13"/>
      <c r="D108" s="13"/>
      <c r="E108" s="13"/>
      <c r="F108" s="13"/>
      <c r="G108" s="13"/>
      <c r="H108" s="13"/>
      <c r="I108" s="13"/>
      <c r="J108" s="13"/>
      <c r="K108" s="13"/>
      <c r="L108" s="13"/>
      <c r="M108" s="13"/>
      <c r="N108" s="13"/>
      <c r="O108" s="13"/>
      <c r="P108" s="13"/>
      <c r="Q108" s="13"/>
      <c r="R108" s="13"/>
      <c r="S108" s="13"/>
      <c r="T108" s="13"/>
      <c r="U108" s="13"/>
      <c r="V108" s="13"/>
      <c r="W108" s="13"/>
      <c r="X108" s="13"/>
      <c r="Y108" s="13"/>
      <c r="Z108" s="13"/>
      <c r="AA108" s="13"/>
      <c r="AB108" s="13"/>
      <c r="AC108" s="13"/>
      <c r="AD108" s="13"/>
      <c r="AE108" s="13"/>
      <c r="AF108" s="13"/>
      <c r="AG108" s="13"/>
      <c r="AH108" s="12"/>
      <c r="AI108" s="12"/>
      <c r="AJ108" s="12"/>
      <c r="AK108" s="12"/>
      <c r="AL108" s="12"/>
    </row>
    <row r="109" spans="1:38" ht="15">
      <c r="A109" s="13"/>
      <c r="B109" s="409"/>
      <c r="C109" s="13"/>
      <c r="D109" s="13"/>
      <c r="E109" s="13"/>
      <c r="F109" s="13"/>
      <c r="G109" s="13"/>
      <c r="H109" s="13"/>
      <c r="I109" s="13"/>
      <c r="J109" s="13"/>
      <c r="K109" s="13"/>
      <c r="L109" s="13"/>
      <c r="M109" s="13"/>
      <c r="N109" s="13"/>
      <c r="O109" s="13"/>
      <c r="P109" s="13"/>
      <c r="Q109" s="13"/>
      <c r="R109" s="13"/>
      <c r="S109" s="13"/>
      <c r="T109" s="13"/>
      <c r="U109" s="13"/>
      <c r="V109" s="13"/>
      <c r="W109" s="13"/>
      <c r="X109" s="13"/>
      <c r="Y109" s="13"/>
      <c r="Z109" s="13"/>
      <c r="AA109" s="13"/>
      <c r="AB109" s="13"/>
      <c r="AC109" s="13"/>
      <c r="AD109" s="13"/>
      <c r="AE109" s="13"/>
      <c r="AF109" s="13"/>
      <c r="AG109" s="13"/>
      <c r="AH109" s="12"/>
      <c r="AI109" s="12"/>
      <c r="AJ109" s="12"/>
      <c r="AK109" s="12"/>
      <c r="AL109" s="12"/>
    </row>
    <row r="110" spans="3:38" ht="15">
      <c r="C110" s="12"/>
      <c r="D110" s="12"/>
      <c r="E110" s="12"/>
      <c r="F110" s="12"/>
      <c r="G110" s="12"/>
      <c r="H110" s="12"/>
      <c r="I110" s="12"/>
      <c r="J110" s="12"/>
      <c r="K110" s="12"/>
      <c r="L110" s="12"/>
      <c r="AH110" s="12"/>
      <c r="AI110" s="12"/>
      <c r="AJ110" s="12"/>
      <c r="AK110" s="12"/>
      <c r="AL110" s="12"/>
    </row>
    <row r="111" spans="3:38" ht="15">
      <c r="C111" s="12"/>
      <c r="D111" s="12"/>
      <c r="E111" s="12"/>
      <c r="F111" s="12"/>
      <c r="G111" s="12"/>
      <c r="H111" s="12"/>
      <c r="I111" s="12"/>
      <c r="J111" s="12"/>
      <c r="K111" s="12"/>
      <c r="L111" s="12"/>
      <c r="AH111" s="12"/>
      <c r="AI111" s="12"/>
      <c r="AJ111" s="12"/>
      <c r="AK111" s="12"/>
      <c r="AL111" s="12"/>
    </row>
    <row r="112" spans="3:38" ht="15">
      <c r="C112" s="12"/>
      <c r="D112" s="12"/>
      <c r="E112" s="12"/>
      <c r="F112" s="12"/>
      <c r="G112" s="12"/>
      <c r="H112" s="12"/>
      <c r="I112" s="12"/>
      <c r="J112" s="12"/>
      <c r="K112" s="12"/>
      <c r="L112" s="12"/>
      <c r="AH112" s="12"/>
      <c r="AI112" s="12"/>
      <c r="AJ112" s="12"/>
      <c r="AK112" s="12"/>
      <c r="AL112" s="12"/>
    </row>
    <row r="113" spans="3:38" ht="15">
      <c r="C113" s="12"/>
      <c r="D113" s="12"/>
      <c r="E113" s="12"/>
      <c r="F113" s="12"/>
      <c r="G113" s="12"/>
      <c r="H113" s="12"/>
      <c r="I113" s="12"/>
      <c r="J113" s="12"/>
      <c r="K113" s="12"/>
      <c r="L113" s="12"/>
      <c r="AH113" s="12"/>
      <c r="AI113" s="12"/>
      <c r="AJ113" s="12"/>
      <c r="AK113" s="12"/>
      <c r="AL113" s="12"/>
    </row>
    <row r="114" spans="3:38" ht="15">
      <c r="C114" s="12"/>
      <c r="D114" s="12"/>
      <c r="E114" s="12"/>
      <c r="F114" s="12"/>
      <c r="G114" s="12"/>
      <c r="H114" s="12"/>
      <c r="I114" s="12"/>
      <c r="J114" s="12"/>
      <c r="K114" s="12"/>
      <c r="L114" s="12"/>
      <c r="AH114" s="12"/>
      <c r="AI114" s="12"/>
      <c r="AJ114" s="12"/>
      <c r="AK114" s="12"/>
      <c r="AL114" s="12"/>
    </row>
    <row r="115" spans="3:38" ht="15">
      <c r="C115" s="12"/>
      <c r="D115" s="12"/>
      <c r="E115" s="12"/>
      <c r="F115" s="12"/>
      <c r="G115" s="12"/>
      <c r="H115" s="12"/>
      <c r="I115" s="12"/>
      <c r="J115" s="12"/>
      <c r="K115" s="12"/>
      <c r="L115" s="12"/>
      <c r="AH115" s="12"/>
      <c r="AI115" s="12"/>
      <c r="AJ115" s="12"/>
      <c r="AK115" s="12"/>
      <c r="AL115" s="12"/>
    </row>
    <row r="116" spans="3:38" ht="15">
      <c r="C116" s="12"/>
      <c r="D116" s="12"/>
      <c r="E116" s="12"/>
      <c r="F116" s="12"/>
      <c r="G116" s="12"/>
      <c r="H116" s="12"/>
      <c r="I116" s="12"/>
      <c r="J116" s="12"/>
      <c r="K116" s="12"/>
      <c r="L116" s="12"/>
      <c r="AH116" s="12"/>
      <c r="AI116" s="12"/>
      <c r="AJ116" s="12"/>
      <c r="AK116" s="12"/>
      <c r="AL116" s="12"/>
    </row>
    <row r="117" spans="3:38" ht="15">
      <c r="C117" s="12"/>
      <c r="D117" s="12"/>
      <c r="E117" s="12"/>
      <c r="F117" s="12"/>
      <c r="G117" s="12"/>
      <c r="H117" s="12"/>
      <c r="I117" s="12"/>
      <c r="J117" s="12"/>
      <c r="K117" s="12"/>
      <c r="L117" s="12"/>
      <c r="AH117" s="12"/>
      <c r="AI117" s="12"/>
      <c r="AJ117" s="12"/>
      <c r="AK117" s="12"/>
      <c r="AL117" s="12"/>
    </row>
    <row r="118" spans="3:38" ht="15">
      <c r="C118" s="12"/>
      <c r="D118" s="12"/>
      <c r="E118" s="12"/>
      <c r="F118" s="12"/>
      <c r="G118" s="12"/>
      <c r="H118" s="12"/>
      <c r="I118" s="12"/>
      <c r="J118" s="12"/>
      <c r="K118" s="12"/>
      <c r="L118" s="12"/>
      <c r="AH118" s="12"/>
      <c r="AI118" s="12"/>
      <c r="AJ118" s="12"/>
      <c r="AK118" s="12"/>
      <c r="AL118" s="12"/>
    </row>
    <row r="119" spans="3:38" ht="15">
      <c r="C119" s="12"/>
      <c r="D119" s="12"/>
      <c r="E119" s="12"/>
      <c r="F119" s="12"/>
      <c r="G119" s="12"/>
      <c r="H119" s="12"/>
      <c r="I119" s="12"/>
      <c r="J119" s="12"/>
      <c r="K119" s="12"/>
      <c r="L119" s="12"/>
      <c r="AH119" s="12"/>
      <c r="AI119" s="12"/>
      <c r="AJ119" s="12"/>
      <c r="AK119" s="12"/>
      <c r="AL119" s="12"/>
    </row>
    <row r="120" spans="3:38" ht="15">
      <c r="C120" s="12"/>
      <c r="D120" s="12"/>
      <c r="E120" s="12"/>
      <c r="F120" s="12"/>
      <c r="G120" s="12"/>
      <c r="H120" s="12"/>
      <c r="I120" s="12"/>
      <c r="J120" s="12"/>
      <c r="K120" s="12"/>
      <c r="L120" s="12"/>
      <c r="AH120" s="12"/>
      <c r="AI120" s="12"/>
      <c r="AJ120" s="12"/>
      <c r="AK120" s="12"/>
      <c r="AL120" s="12"/>
    </row>
    <row r="121" spans="3:38" ht="15">
      <c r="C121" s="12"/>
      <c r="D121" s="12"/>
      <c r="E121" s="12"/>
      <c r="F121" s="12"/>
      <c r="G121" s="12"/>
      <c r="H121" s="12"/>
      <c r="I121" s="12"/>
      <c r="J121" s="12"/>
      <c r="K121" s="12"/>
      <c r="L121" s="12"/>
      <c r="AH121" s="12"/>
      <c r="AI121" s="12"/>
      <c r="AJ121" s="12"/>
      <c r="AK121" s="12"/>
      <c r="AL121" s="12"/>
    </row>
    <row r="122" spans="3:38" ht="15">
      <c r="C122" s="12"/>
      <c r="D122" s="12"/>
      <c r="E122" s="12"/>
      <c r="F122" s="12"/>
      <c r="G122" s="12"/>
      <c r="H122" s="12"/>
      <c r="I122" s="12"/>
      <c r="J122" s="12"/>
      <c r="K122" s="12"/>
      <c r="L122" s="12"/>
      <c r="AH122" s="12"/>
      <c r="AI122" s="12"/>
      <c r="AJ122" s="12"/>
      <c r="AK122" s="12"/>
      <c r="AL122" s="12"/>
    </row>
    <row r="123" spans="3:38" ht="15">
      <c r="C123" s="12"/>
      <c r="D123" s="12"/>
      <c r="E123" s="12"/>
      <c r="F123" s="12"/>
      <c r="G123" s="12"/>
      <c r="H123" s="12"/>
      <c r="I123" s="12"/>
      <c r="J123" s="12"/>
      <c r="K123" s="12"/>
      <c r="L123" s="12"/>
      <c r="AH123" s="12"/>
      <c r="AI123" s="12"/>
      <c r="AJ123" s="12"/>
      <c r="AK123" s="12"/>
      <c r="AL123" s="12"/>
    </row>
    <row r="124" spans="3:38" ht="15">
      <c r="C124" s="12"/>
      <c r="D124" s="12"/>
      <c r="E124" s="12"/>
      <c r="F124" s="12"/>
      <c r="G124" s="12"/>
      <c r="H124" s="12"/>
      <c r="I124" s="12"/>
      <c r="J124" s="12"/>
      <c r="K124" s="12"/>
      <c r="L124" s="12"/>
      <c r="AH124" s="12"/>
      <c r="AI124" s="12"/>
      <c r="AJ124" s="12"/>
      <c r="AK124" s="12"/>
      <c r="AL124" s="12"/>
    </row>
    <row r="125" spans="3:38" ht="15">
      <c r="C125" s="12"/>
      <c r="D125" s="12"/>
      <c r="E125" s="12"/>
      <c r="F125" s="12"/>
      <c r="G125" s="12"/>
      <c r="H125" s="12"/>
      <c r="I125" s="12"/>
      <c r="J125" s="12"/>
      <c r="K125" s="12"/>
      <c r="L125" s="12"/>
      <c r="AH125" s="12"/>
      <c r="AI125" s="12"/>
      <c r="AJ125" s="12"/>
      <c r="AK125" s="12"/>
      <c r="AL125" s="12"/>
    </row>
    <row r="126" spans="3:38" ht="15">
      <c r="C126" s="12"/>
      <c r="D126" s="12"/>
      <c r="E126" s="12"/>
      <c r="F126" s="12"/>
      <c r="G126" s="12"/>
      <c r="H126" s="12"/>
      <c r="I126" s="12"/>
      <c r="J126" s="12"/>
      <c r="K126" s="12"/>
      <c r="L126" s="12"/>
      <c r="AH126" s="12"/>
      <c r="AI126" s="12"/>
      <c r="AJ126" s="12"/>
      <c r="AK126" s="12"/>
      <c r="AL126" s="12"/>
    </row>
    <row r="127" spans="3:38" ht="15">
      <c r="C127" s="12"/>
      <c r="D127" s="12"/>
      <c r="E127" s="12"/>
      <c r="F127" s="12"/>
      <c r="G127" s="12"/>
      <c r="H127" s="12"/>
      <c r="I127" s="12"/>
      <c r="J127" s="12"/>
      <c r="K127" s="12"/>
      <c r="L127" s="12"/>
      <c r="AH127" s="12"/>
      <c r="AI127" s="12"/>
      <c r="AJ127" s="12"/>
      <c r="AK127" s="12"/>
      <c r="AL127" s="12"/>
    </row>
    <row r="128" spans="3:38" ht="15">
      <c r="C128" s="12"/>
      <c r="D128" s="12"/>
      <c r="E128" s="12"/>
      <c r="F128" s="12"/>
      <c r="G128" s="12"/>
      <c r="H128" s="12"/>
      <c r="I128" s="12"/>
      <c r="J128" s="12"/>
      <c r="K128" s="12"/>
      <c r="L128" s="12"/>
      <c r="AH128" s="12"/>
      <c r="AI128" s="12"/>
      <c r="AJ128" s="12"/>
      <c r="AK128" s="12"/>
      <c r="AL128" s="12"/>
    </row>
    <row r="129" spans="3:38" ht="15">
      <c r="C129" s="12"/>
      <c r="D129" s="12"/>
      <c r="E129" s="12"/>
      <c r="F129" s="12"/>
      <c r="G129" s="12"/>
      <c r="H129" s="12"/>
      <c r="I129" s="12"/>
      <c r="J129" s="12"/>
      <c r="K129" s="12"/>
      <c r="L129" s="12"/>
      <c r="AH129" s="12"/>
      <c r="AI129" s="12"/>
      <c r="AJ129" s="12"/>
      <c r="AK129" s="12"/>
      <c r="AL129" s="12"/>
    </row>
    <row r="130" spans="3:38" ht="15">
      <c r="C130" s="12"/>
      <c r="D130" s="12"/>
      <c r="E130" s="12"/>
      <c r="F130" s="12"/>
      <c r="G130" s="12"/>
      <c r="H130" s="12"/>
      <c r="I130" s="12"/>
      <c r="J130" s="12"/>
      <c r="K130" s="12"/>
      <c r="L130" s="12"/>
      <c r="AH130" s="12"/>
      <c r="AI130" s="12"/>
      <c r="AJ130" s="12"/>
      <c r="AK130" s="12"/>
      <c r="AL130" s="12"/>
    </row>
    <row r="131" spans="3:38" ht="15">
      <c r="C131" s="12"/>
      <c r="D131" s="12"/>
      <c r="E131" s="12"/>
      <c r="F131" s="12"/>
      <c r="G131" s="12"/>
      <c r="H131" s="12"/>
      <c r="I131" s="12"/>
      <c r="J131" s="12"/>
      <c r="K131" s="12"/>
      <c r="L131" s="12"/>
      <c r="AH131" s="12"/>
      <c r="AI131" s="12"/>
      <c r="AJ131" s="12"/>
      <c r="AK131" s="12"/>
      <c r="AL131" s="12"/>
    </row>
    <row r="132" spans="3:38" ht="15">
      <c r="C132" s="12"/>
      <c r="D132" s="12"/>
      <c r="E132" s="12"/>
      <c r="F132" s="12"/>
      <c r="G132" s="12"/>
      <c r="H132" s="12"/>
      <c r="I132" s="12"/>
      <c r="J132" s="12"/>
      <c r="K132" s="12"/>
      <c r="L132" s="12"/>
      <c r="AH132" s="12"/>
      <c r="AI132" s="12"/>
      <c r="AJ132" s="12"/>
      <c r="AK132" s="12"/>
      <c r="AL132" s="12"/>
    </row>
    <row r="133" spans="3:38" ht="15">
      <c r="C133" s="12"/>
      <c r="D133" s="12"/>
      <c r="E133" s="12"/>
      <c r="F133" s="12"/>
      <c r="G133" s="12"/>
      <c r="H133" s="12"/>
      <c r="I133" s="12"/>
      <c r="J133" s="12"/>
      <c r="K133" s="12"/>
      <c r="L133" s="12"/>
      <c r="AH133" s="12"/>
      <c r="AI133" s="12"/>
      <c r="AJ133" s="12"/>
      <c r="AK133" s="12"/>
      <c r="AL133" s="12"/>
    </row>
    <row r="134" spans="3:38" ht="15">
      <c r="C134" s="12"/>
      <c r="D134" s="12"/>
      <c r="E134" s="12"/>
      <c r="F134" s="12"/>
      <c r="G134" s="12"/>
      <c r="H134" s="12"/>
      <c r="I134" s="12"/>
      <c r="J134" s="12"/>
      <c r="K134" s="12"/>
      <c r="L134" s="12"/>
      <c r="AH134" s="12"/>
      <c r="AI134" s="12"/>
      <c r="AJ134" s="12"/>
      <c r="AK134" s="12"/>
      <c r="AL134" s="12"/>
    </row>
    <row r="135" spans="3:38" ht="15">
      <c r="C135" s="12"/>
      <c r="D135" s="12"/>
      <c r="E135" s="12"/>
      <c r="F135" s="12"/>
      <c r="G135" s="12"/>
      <c r="H135" s="12"/>
      <c r="I135" s="12"/>
      <c r="J135" s="12"/>
      <c r="K135" s="12"/>
      <c r="L135" s="12"/>
      <c r="AH135" s="12"/>
      <c r="AI135" s="12"/>
      <c r="AJ135" s="12"/>
      <c r="AK135" s="12"/>
      <c r="AL135" s="12"/>
    </row>
    <row r="136" spans="3:38" ht="15">
      <c r="C136" s="12"/>
      <c r="D136" s="12"/>
      <c r="E136" s="12"/>
      <c r="F136" s="12"/>
      <c r="G136" s="12"/>
      <c r="H136" s="12"/>
      <c r="I136" s="12"/>
      <c r="J136" s="12"/>
      <c r="K136" s="12"/>
      <c r="L136" s="12"/>
      <c r="AH136" s="12"/>
      <c r="AI136" s="12"/>
      <c r="AJ136" s="12"/>
      <c r="AK136" s="12"/>
      <c r="AL136" s="12"/>
    </row>
    <row r="137" spans="3:38" ht="15">
      <c r="C137" s="12"/>
      <c r="D137" s="12"/>
      <c r="E137" s="12"/>
      <c r="F137" s="12"/>
      <c r="G137" s="12"/>
      <c r="H137" s="12"/>
      <c r="I137" s="12"/>
      <c r="J137" s="12"/>
      <c r="K137" s="12"/>
      <c r="L137" s="12"/>
      <c r="AH137" s="12"/>
      <c r="AI137" s="12"/>
      <c r="AJ137" s="12"/>
      <c r="AK137" s="12"/>
      <c r="AL137" s="12"/>
    </row>
    <row r="138" spans="3:38" ht="15">
      <c r="C138" s="12"/>
      <c r="D138" s="12"/>
      <c r="E138" s="12"/>
      <c r="F138" s="12"/>
      <c r="G138" s="12"/>
      <c r="H138" s="12"/>
      <c r="I138" s="12"/>
      <c r="J138" s="12"/>
      <c r="K138" s="12"/>
      <c r="L138" s="12"/>
      <c r="AH138" s="12"/>
      <c r="AI138" s="12"/>
      <c r="AJ138" s="12"/>
      <c r="AK138" s="12"/>
      <c r="AL138" s="12"/>
    </row>
    <row r="139" spans="3:38" ht="15">
      <c r="C139" s="12"/>
      <c r="D139" s="12"/>
      <c r="E139" s="12"/>
      <c r="F139" s="12"/>
      <c r="G139" s="12"/>
      <c r="H139" s="12"/>
      <c r="I139" s="12"/>
      <c r="J139" s="12"/>
      <c r="K139" s="12"/>
      <c r="L139" s="12"/>
      <c r="AH139" s="12"/>
      <c r="AI139" s="12"/>
      <c r="AJ139" s="12"/>
      <c r="AK139" s="12"/>
      <c r="AL139" s="12"/>
    </row>
    <row r="140" spans="3:38" ht="15">
      <c r="C140" s="12"/>
      <c r="D140" s="12"/>
      <c r="E140" s="12"/>
      <c r="F140" s="12"/>
      <c r="G140" s="12"/>
      <c r="H140" s="12"/>
      <c r="I140" s="12"/>
      <c r="J140" s="12"/>
      <c r="K140" s="12"/>
      <c r="L140" s="12"/>
      <c r="AH140" s="12"/>
      <c r="AI140" s="12"/>
      <c r="AJ140" s="12"/>
      <c r="AK140" s="12"/>
      <c r="AL140" s="12"/>
    </row>
    <row r="141" spans="3:38" ht="15">
      <c r="C141" s="12"/>
      <c r="D141" s="12"/>
      <c r="E141" s="12"/>
      <c r="F141" s="12"/>
      <c r="G141" s="12"/>
      <c r="H141" s="12"/>
      <c r="I141" s="12"/>
      <c r="J141" s="12"/>
      <c r="K141" s="12"/>
      <c r="L141" s="12"/>
      <c r="AH141" s="12"/>
      <c r="AI141" s="12"/>
      <c r="AJ141" s="12"/>
      <c r="AK141" s="12"/>
      <c r="AL141" s="12"/>
    </row>
  </sheetData>
  <sheetProtection sheet="1" formatRows="0"/>
  <mergeCells count="51">
    <mergeCell ref="D47:K47"/>
    <mergeCell ref="H63:H64"/>
    <mergeCell ref="B3:K3"/>
    <mergeCell ref="G63:G64"/>
    <mergeCell ref="C7:F7"/>
    <mergeCell ref="J63:J64"/>
    <mergeCell ref="B4:K4"/>
    <mergeCell ref="B5:K5"/>
    <mergeCell ref="C18:F18"/>
    <mergeCell ref="C10:F10"/>
    <mergeCell ref="D68:K68"/>
    <mergeCell ref="C72:J72"/>
    <mergeCell ref="D73:F73"/>
    <mergeCell ref="D63:E63"/>
    <mergeCell ref="D61:E61"/>
    <mergeCell ref="C71:E71"/>
    <mergeCell ref="I63:I64"/>
    <mergeCell ref="D87:F87"/>
    <mergeCell ref="D83:F83"/>
    <mergeCell ref="D80:F80"/>
    <mergeCell ref="D81:F81"/>
    <mergeCell ref="D79:F79"/>
    <mergeCell ref="D76:F76"/>
    <mergeCell ref="D85:F85"/>
    <mergeCell ref="D78:F78"/>
    <mergeCell ref="D88:F88"/>
    <mergeCell ref="C36:D36"/>
    <mergeCell ref="D84:F84"/>
    <mergeCell ref="D82:F82"/>
    <mergeCell ref="C46:F46"/>
    <mergeCell ref="D86:F86"/>
    <mergeCell ref="D65:E65"/>
    <mergeCell ref="D66:E66"/>
    <mergeCell ref="D77:F77"/>
    <mergeCell ref="F63:F64"/>
    <mergeCell ref="D75:F75"/>
    <mergeCell ref="C24:G24"/>
    <mergeCell ref="C58:E58"/>
    <mergeCell ref="C37:J37"/>
    <mergeCell ref="D74:F74"/>
    <mergeCell ref="D56:G56"/>
    <mergeCell ref="D55:K55"/>
    <mergeCell ref="H56:K56"/>
    <mergeCell ref="C59:K59"/>
    <mergeCell ref="C30:G30"/>
    <mergeCell ref="B2:E2"/>
    <mergeCell ref="C11:F11"/>
    <mergeCell ref="C12:F12"/>
    <mergeCell ref="C6:E6"/>
    <mergeCell ref="C8:F8"/>
    <mergeCell ref="C9:F9"/>
  </mergeCells>
  <dataValidations count="41">
    <dataValidation type="whole" allowBlank="1" showInputMessage="1" showErrorMessage="1" error="This number cannot exceed the &quot;Potential Replacements&quot;." sqref="G67:G68">
      <formula1>0</formula1>
      <formula2>F67</formula2>
    </dataValidation>
    <dataValidation type="decimal" allowBlank="1" showInputMessage="1" showErrorMessage="1" error="The rebate per toilet must be a positive value less than or equal the fixture cost." sqref="J61:J62">
      <formula1>0</formula1>
      <formula2>I61</formula2>
    </dataValidation>
    <dataValidation type="decimal" allowBlank="1" showInputMessage="1" showErrorMessage="1" error="The rebate per urinal must be a positive value less than or equal the fixture cost." sqref="J63:J64">
      <formula1>0</formula1>
      <formula2>I63</formula2>
    </dataValidation>
    <dataValidation type="decimal" allowBlank="1" showInputMessage="1" showErrorMessage="1" error="The rebate per faucet must be a positive value less than or equal the fixture cost." sqref="J65">
      <formula1>0</formula1>
      <formula2>I65</formula2>
    </dataValidation>
    <dataValidation type="decimal" allowBlank="1" showInputMessage="1" showErrorMessage="1" error="The rebate per showerhead must be a positive value less than or equal the fixture cost." sqref="J66:J68">
      <formula1>0</formula1>
      <formula2>I66</formula2>
    </dataValidation>
    <dataValidation type="whole" allowBlank="1" showInputMessage="1" showErrorMessage="1" error="=M50" sqref="F68">
      <formula1>0</formula1>
      <formula2>L68</formula2>
    </dataValidation>
    <dataValidation type="whole" allowBlank="1" showInputMessage="1" showErrorMessage="1" error="This number must be a whole number greater than 0. This number cannot exceed the &quot;Potential Replacements&quot;." sqref="G61:G66">
      <formula1>0</formula1>
      <formula2>F61</formula2>
    </dataValidation>
    <dataValidation type="whole" operator="greaterThan" allowBlank="1" showInputMessage="1" showErrorMessage="1" error="The number of toilets installed in public and employee-only areas must be a whole number greater than 0." sqref="E14:E16">
      <formula1>0</formula1>
    </dataValidation>
    <dataValidation type="list" allowBlank="1" showInputMessage="1" showErrorMessage="1" sqref="E26:E28">
      <formula1>"0.5, 0.75, 1.0, 1.25, 1.5, 1.6, 1.7, 1.8, 1.9, 2.0, 2.1, 2.2, 2.5, 2.75, 3.0"</formula1>
    </dataValidation>
    <dataValidation type="whole" operator="greaterThan" allowBlank="1" showInputMessage="1" showErrorMessage="1" error="The number of faucets installed in public and employee-only areas must be a whole number greater than 0." sqref="D26:D28">
      <formula1>0</formula1>
    </dataValidation>
    <dataValidation type="decimal" operator="lessThanOrEqual" allowBlank="1" showInputMessage="1" showErrorMessage="1" error="Flush volumes for WaterSense-labeled urinals cannot exceed 0.5 gpf." sqref="H63">
      <formula1>0.5</formula1>
    </dataValidation>
    <dataValidation type="decimal" allowBlank="1" showInputMessage="1" showErrorMessage="1" error="Flow rates for water-efficient faucet aerators or faucet replacements in public restrooms must be between 0.5 gpm and 1.5 gpm." sqref="H65">
      <formula1>0.5</formula1>
      <formula2>1.5</formula2>
    </dataValidation>
    <dataValidation type="decimal" allowBlank="1" showInputMessage="1" showErrorMessage="1" error="Flow rates for WaterSense-labeled showerheads must be between 1.25 and 2.0 gpm." sqref="G69 H66:H68">
      <formula1>1</formula1>
      <formula2>2</formula2>
    </dataValidation>
    <dataValidation type="decimal" allowBlank="1" showInputMessage="1" showErrorMessage="1" sqref="G73:G74 G85:G86">
      <formula1>0</formula1>
      <formula2>1</formula2>
    </dataValidation>
    <dataValidation type="decimal" operator="greaterThan" allowBlank="1" showInputMessage="1" showErrorMessage="1" sqref="I67">
      <formula1>0</formula1>
    </dataValidation>
    <dataValidation type="list" allowBlank="1" showInputMessage="1" showErrorMessage="1" sqref="D14:D16">
      <formula1>"Tank-Type, Flushometer-Valve"</formula1>
    </dataValidation>
    <dataValidation type="list" allowBlank="1" showInputMessage="1" showErrorMessage="1" sqref="I29:I34">
      <formula1>"1.25,1.5,1.75,2.0,2.5,3.0,5.0"</formula1>
    </dataValidation>
    <dataValidation type="list" allowBlank="1" showInputMessage="1" showErrorMessage="1" sqref="D20:D22">
      <formula1>"Flushing, Non-Water"</formula1>
    </dataValidation>
    <dataValidation type="list" allowBlank="1" showInputMessage="1" showErrorMessage="1" sqref="F20:F22">
      <formula1>"0,0.125,0.25,0.5,1.0,1.5,2.0,2.5,3.0,3.5"</formula1>
    </dataValidation>
    <dataValidation type="list" allowBlank="1" showInputMessage="1" showErrorMessage="1" sqref="E32:E34">
      <formula1>"1.25, 1.5, 1.6, 1.7, 1.75, 1.8, 1.9, 2.0, 2.1, 2.2, 2.25, 2.3, 2.4, 2.5, 2.75, 3.0, 3.25, 3.5, 4.0"</formula1>
    </dataValidation>
    <dataValidation type="decimal" operator="greaterThan" allowBlank="1" showInputMessage="1" showErrorMessage="1" error="Your number of full-time equivalent employees must be a number greater than 0." sqref="G8">
      <formula1>0</formula1>
    </dataValidation>
    <dataValidation type="decimal" operator="greaterThanOrEqual" allowBlank="1" showInputMessage="1" showErrorMessage="1" error="Your number of non-overnight visitors must be a number greater than or equal to 0." sqref="G10">
      <formula1>0</formula1>
    </dataValidation>
    <dataValidation type="whole" operator="greaterThan" allowBlank="1" showInputMessage="1" showErrorMessage="1" error="The number of urinals installed in public and employee-only areas must be a whole number greater than 0." sqref="E20:E22">
      <formula1>0</formula1>
    </dataValidation>
    <dataValidation type="whole" operator="greaterThan" allowBlank="1" showInputMessage="1" showErrorMessage="1" error="The number of showerheads installed in public and employee-only areas must be a whole number greater than 0." sqref="D32:D34">
      <formula1>0</formula1>
    </dataValidation>
    <dataValidation type="decimal" operator="greaterThan" allowBlank="1" showInputMessage="1" showErrorMessage="1" prompt="The default cost of this fixture assumes that only the faucet aerator would be replaced. For complete faucet replacement, see the manufacturer's website for pricing." error="The total cost per fixture must be greater than or equal to $0." sqref="I65">
      <formula1>0</formula1>
    </dataValidation>
    <dataValidation type="decimal" operator="greaterThan" allowBlank="1" showInputMessage="1" showErrorMessage="1" error="The number of female employee toilet flushes per day must be a value greater than 0." sqref="G75">
      <formula1>0</formula1>
    </dataValidation>
    <dataValidation type="decimal" operator="greaterThan" allowBlank="1" showInputMessage="1" showErrorMessage="1" error="The number of male employee toilet flushes per day must be a value greater than 0." sqref="G77">
      <formula1>0</formula1>
    </dataValidation>
    <dataValidation type="decimal" operator="greaterThan" allowBlank="1" showInputMessage="1" showErrorMessage="1" error="The number of female guest toilet flushes per day must be a value greater than 0." sqref="G76">
      <formula1>0</formula1>
    </dataValidation>
    <dataValidation type="decimal" operator="greaterThan" allowBlank="1" showInputMessage="1" showErrorMessage="1" error="The number of male guest toilet flushes per day must be a value greater than 0." sqref="G78">
      <formula1>0</formula1>
    </dataValidation>
    <dataValidation type="decimal" operator="greaterThan" allowBlank="1" showInputMessage="1" showErrorMessage="1" error="The number of male guest urinal flushes per day must be a value greater than 0." sqref="G80">
      <formula1>0</formula1>
    </dataValidation>
    <dataValidation type="decimal" operator="greaterThan" allowBlank="1" showInputMessage="1" showErrorMessage="1" error="The number of male employee urinal flushes per day must be a value greater than 0." sqref="G79">
      <formula1>0</formula1>
    </dataValidation>
    <dataValidation type="decimal" operator="greaterThan" allowBlank="1" showInputMessage="1" showErrorMessage="1" error="The number of faucet uses per bathroom visit must be a value greater than 0." sqref="G81">
      <formula1>0</formula1>
    </dataValidation>
    <dataValidation type="decimal" operator="greaterThan" allowBlank="1" showInputMessage="1" showErrorMessage="1" error="The duration of each faucet use must be a value greater than 0." sqref="G82">
      <formula1>0</formula1>
    </dataValidation>
    <dataValidation type="decimal" operator="greaterThanOrEqual" allowBlank="1" showInputMessage="1" showErrorMessage="1" error="The number of showers per employee per day must must be a value greater than or equal to 0." sqref="G83">
      <formula1>0</formula1>
    </dataValidation>
    <dataValidation type="decimal" operator="greaterThan" allowBlank="1" showInputMessage="1" showErrorMessage="1" error="The duration of each shower use must be a value greater than 0." sqref="G84">
      <formula1>0</formula1>
    </dataValidation>
    <dataValidation type="decimal" operator="greaterThan" allowBlank="1" showInputMessage="1" showErrorMessage="1" error="The kWh of electricity required to heat one gallon of water must be a value greater than 0." sqref="G87">
      <formula1>0</formula1>
    </dataValidation>
    <dataValidation type="decimal" operator="greaterThan" allowBlank="1" showInputMessage="1" showErrorMessage="1" error="The Mcf of natural gas required to heat one gallon of water must be a value greater than 0." sqref="G88">
      <formula1>0</formula1>
    </dataValidation>
    <dataValidation type="decimal" operator="greaterThan" allowBlank="1" showInputMessage="1" showErrorMessage="1" error="The total cost per fixture must be greater than or equal to $0." sqref="I61 I63:I64 I66">
      <formula1>0</formula1>
    </dataValidation>
    <dataValidation type="decimal" operator="greaterThanOrEqual" allowBlank="1" showInputMessage="1" showErrorMessage="1" sqref="I62">
      <formula1>0</formula1>
    </dataValidation>
    <dataValidation type="list" allowBlank="1" showInputMessage="1" showErrorMessage="1" promptTitle="Flush Volume" prompt="If you have dual-flush toilets, enter the effective flush volume. If not indicated on the toilet itself or in product documentation, assume the effective flush volume of a dual flush toilet = [(2 x low flush volume) + (1 x high flush volume)] / 3." sqref="F14:F16">
      <formula1>"0.65, 0.8, 1.0, 1.1, 1.2, 1.28, 1.4, 1.6, 3.5, 5.0"</formula1>
    </dataValidation>
    <dataValidation type="decimal" allowBlank="1" showInputMessage="1" showErrorMessage="1" promptTitle="Flush Volume" prompt="If you are considering installing dual-flush toilets, enter the effective flush volume. If not indicated in product literature, assume the effective flush volume of a dual flush toilet = [(2 x low flush volume) + (1 x high flush volume)] / 3." error="Flush volumes for WaterSense-labeled toilets must be between 0.65 and 1.28 gpf." sqref="H61:H62">
      <formula1>0.65</formula1>
      <formula2>1.28</formula2>
    </dataValidation>
  </dataValidations>
  <hyperlinks>
    <hyperlink ref="D61:E61" r:id="rId1" display="WaterSense Labeled Toilet"/>
    <hyperlink ref="D66:E66" r:id="rId2" display="WaterSense Labeled Showerhead"/>
    <hyperlink ref="D63:E63" r:id="rId3" display="WaterSense Labeled Flushing Urinal"/>
    <hyperlink ref="H56" r:id="rId4" display="Sanitary Fixture BMPs"/>
    <hyperlink ref="H56:I56" r:id="rId5" display="Sanitary Fixture BMPs"/>
    <hyperlink ref="H56:K56" r:id="rId6" display="WaterSense at Work Section 3: Sanitary Fixtures and Equipment"/>
  </hyperlinks>
  <printOptions horizontalCentered="1"/>
  <pageMargins left="0.25" right="0.25" top="0.75" bottom="0.5" header="0.25" footer="0.25"/>
  <pageSetup fitToHeight="0" fitToWidth="1" horizontalDpi="1200" verticalDpi="1200" orientation="landscape" scale="76" r:id="rId9"/>
  <headerFooter alignWithMargins="0">
    <oddHeader>&amp;C&amp;18&amp;F</oddHeader>
    <oddFooter>&amp;C&amp;P of &amp;N</oddFooter>
  </headerFooter>
  <drawing r:id="rId8"/>
  <legacyDrawing r:id="rId7"/>
</worksheet>
</file>

<file path=xl/worksheets/sheet8.xml><?xml version="1.0" encoding="utf-8"?>
<worksheet xmlns="http://schemas.openxmlformats.org/spreadsheetml/2006/main" xmlns:r="http://schemas.openxmlformats.org/officeDocument/2006/relationships">
  <sheetPr codeName="Guest_Ice_Laundry">
    <pageSetUpPr fitToPage="1"/>
  </sheetPr>
  <dimension ref="A1:BS95"/>
  <sheetViews>
    <sheetView zoomScalePageLayoutView="0" workbookViewId="0" topLeftCell="A1">
      <pane xSplit="1" ySplit="2" topLeftCell="B3" activePane="bottomRight" state="frozen"/>
      <selection pane="topLeft" activeCell="C35" sqref="C35:J35"/>
      <selection pane="topRight" activeCell="C35" sqref="C35:J35"/>
      <selection pane="bottomLeft" activeCell="C35" sqref="C35:J35"/>
      <selection pane="bottomRight" activeCell="G8" sqref="G8"/>
    </sheetView>
  </sheetViews>
  <sheetFormatPr defaultColWidth="9.140625" defaultRowHeight="15"/>
  <cols>
    <col min="1" max="1" width="4.7109375" style="12" customWidth="1"/>
    <col min="2" max="2" width="5.00390625" style="0" customWidth="1"/>
    <col min="3" max="3" width="6.7109375" style="0" customWidth="1"/>
    <col min="4" max="4" width="24.57421875" style="0" customWidth="1"/>
    <col min="5" max="5" width="17.28125" style="0" customWidth="1"/>
    <col min="6" max="6" width="26.140625" style="0" customWidth="1"/>
    <col min="7" max="7" width="17.421875" style="0" customWidth="1"/>
    <col min="8" max="8" width="19.140625" style="0" customWidth="1"/>
    <col min="9" max="9" width="19.57421875" style="0" customWidth="1"/>
    <col min="10" max="10" width="15.57421875" style="0" customWidth="1"/>
    <col min="11" max="11" width="14.28125" style="0" customWidth="1"/>
    <col min="12" max="12" width="15.28125" style="0" customWidth="1"/>
    <col min="13" max="13" width="8.7109375" style="0" customWidth="1"/>
    <col min="14" max="14" width="4.7109375" style="12" customWidth="1"/>
    <col min="15" max="15" width="9.7109375" style="12" customWidth="1"/>
    <col min="16" max="19" width="9.7109375" style="297" customWidth="1"/>
    <col min="20" max="33" width="9.7109375" style="12" customWidth="1"/>
    <col min="34" max="16384" width="9.140625" style="1" customWidth="1"/>
  </cols>
  <sheetData>
    <row r="1" spans="1:35" s="12" customFormat="1" ht="42" customHeight="1">
      <c r="A1" s="13"/>
      <c r="B1" s="13"/>
      <c r="C1" s="13"/>
      <c r="D1" s="797" t="s">
        <v>783</v>
      </c>
      <c r="E1" s="13"/>
      <c r="F1" s="13"/>
      <c r="G1" s="13"/>
      <c r="H1" s="13"/>
      <c r="I1" s="13"/>
      <c r="J1" s="13"/>
      <c r="K1" s="13"/>
      <c r="L1" s="13"/>
      <c r="M1" s="13"/>
      <c r="N1" s="13"/>
      <c r="O1" s="13"/>
      <c r="P1" s="295"/>
      <c r="Q1" s="295"/>
      <c r="R1" s="295"/>
      <c r="S1" s="295"/>
      <c r="T1" s="13"/>
      <c r="U1" s="13"/>
      <c r="V1" s="13"/>
      <c r="W1" s="13"/>
      <c r="X1" s="13"/>
      <c r="Y1" s="13"/>
      <c r="Z1" s="13"/>
      <c r="AA1" s="13"/>
      <c r="AB1" s="13"/>
      <c r="AC1" s="13"/>
      <c r="AD1" s="13"/>
      <c r="AE1" s="13"/>
      <c r="AF1" s="13"/>
      <c r="AG1" s="13"/>
      <c r="AH1" s="13"/>
      <c r="AI1" s="13"/>
    </row>
    <row r="2" spans="1:35" ht="18.75">
      <c r="A2" s="13"/>
      <c r="B2" s="956" t="s">
        <v>416</v>
      </c>
      <c r="C2" s="956"/>
      <c r="D2" s="956"/>
      <c r="E2" s="956"/>
      <c r="F2" s="396"/>
      <c r="G2" s="39"/>
      <c r="H2" s="39"/>
      <c r="I2" s="39"/>
      <c r="J2" s="39"/>
      <c r="K2" s="39"/>
      <c r="L2" s="39"/>
      <c r="M2" s="39"/>
      <c r="N2" s="13"/>
      <c r="O2" s="13"/>
      <c r="P2" s="295"/>
      <c r="Q2" s="295"/>
      <c r="R2" s="295"/>
      <c r="S2" s="295"/>
      <c r="T2" s="13"/>
      <c r="U2" s="13"/>
      <c r="V2" s="13"/>
      <c r="W2" s="13"/>
      <c r="X2" s="13"/>
      <c r="Y2" s="13"/>
      <c r="Z2" s="13"/>
      <c r="AA2" s="13"/>
      <c r="AB2" s="13"/>
      <c r="AC2" s="13"/>
      <c r="AD2" s="13"/>
      <c r="AE2" s="13"/>
      <c r="AF2" s="13"/>
      <c r="AG2" s="13"/>
      <c r="AH2" s="13"/>
      <c r="AI2" s="13"/>
    </row>
    <row r="3" spans="1:35" s="390" customFormat="1" ht="69.75" customHeight="1">
      <c r="A3" s="50"/>
      <c r="B3" s="954" t="s">
        <v>878</v>
      </c>
      <c r="C3" s="955"/>
      <c r="D3" s="955"/>
      <c r="E3" s="955"/>
      <c r="F3" s="955"/>
      <c r="G3" s="955"/>
      <c r="H3" s="955"/>
      <c r="I3" s="955"/>
      <c r="J3" s="955"/>
      <c r="K3" s="955"/>
      <c r="L3" s="955"/>
      <c r="M3" s="776"/>
      <c r="N3" s="50"/>
      <c r="O3" s="50"/>
      <c r="P3" s="620"/>
      <c r="Q3" s="620"/>
      <c r="R3" s="620"/>
      <c r="S3" s="620"/>
      <c r="T3" s="50"/>
      <c r="U3" s="50"/>
      <c r="V3" s="50"/>
      <c r="W3" s="50"/>
      <c r="X3" s="50"/>
      <c r="Y3" s="50"/>
      <c r="Z3" s="50"/>
      <c r="AA3" s="50"/>
      <c r="AB3" s="50"/>
      <c r="AC3" s="50"/>
      <c r="AD3" s="50"/>
      <c r="AE3" s="50"/>
      <c r="AF3" s="50"/>
      <c r="AG3" s="50"/>
      <c r="AH3" s="50"/>
      <c r="AI3" s="50"/>
    </row>
    <row r="4" spans="1:35" s="390" customFormat="1" ht="52.5" customHeight="1">
      <c r="A4" s="50"/>
      <c r="B4" s="954" t="s">
        <v>820</v>
      </c>
      <c r="C4" s="955"/>
      <c r="D4" s="955"/>
      <c r="E4" s="955"/>
      <c r="F4" s="955"/>
      <c r="G4" s="955"/>
      <c r="H4" s="955"/>
      <c r="I4" s="955"/>
      <c r="J4" s="955"/>
      <c r="K4" s="955"/>
      <c r="L4" s="955"/>
      <c r="M4" s="776"/>
      <c r="N4" s="50"/>
      <c r="O4" s="50"/>
      <c r="P4" s="620"/>
      <c r="Q4" s="620"/>
      <c r="R4" s="620"/>
      <c r="S4" s="620"/>
      <c r="T4" s="50"/>
      <c r="U4" s="50"/>
      <c r="V4" s="50"/>
      <c r="W4" s="50"/>
      <c r="X4" s="50"/>
      <c r="Y4" s="50"/>
      <c r="Z4" s="50"/>
      <c r="AA4" s="50"/>
      <c r="AB4" s="50"/>
      <c r="AC4" s="50"/>
      <c r="AD4" s="50"/>
      <c r="AE4" s="50"/>
      <c r="AF4" s="50"/>
      <c r="AG4" s="50"/>
      <c r="AH4" s="50"/>
      <c r="AI4" s="50"/>
    </row>
    <row r="5" spans="1:35" s="390" customFormat="1" ht="31.5" customHeight="1">
      <c r="A5" s="50"/>
      <c r="B5" s="954" t="s">
        <v>818</v>
      </c>
      <c r="C5" s="955"/>
      <c r="D5" s="955"/>
      <c r="E5" s="955"/>
      <c r="F5" s="955"/>
      <c r="G5" s="955"/>
      <c r="H5" s="955"/>
      <c r="I5" s="955"/>
      <c r="J5" s="955"/>
      <c r="K5" s="955"/>
      <c r="L5" s="955"/>
      <c r="M5" s="776"/>
      <c r="N5" s="50"/>
      <c r="O5" s="50"/>
      <c r="P5" s="620"/>
      <c r="Q5" s="620"/>
      <c r="R5" s="620"/>
      <c r="S5" s="620"/>
      <c r="T5" s="50"/>
      <c r="U5" s="50"/>
      <c r="V5" s="50"/>
      <c r="W5" s="50"/>
      <c r="X5" s="50"/>
      <c r="Y5" s="50"/>
      <c r="Z5" s="50"/>
      <c r="AA5" s="50"/>
      <c r="AB5" s="50"/>
      <c r="AC5" s="50"/>
      <c r="AD5" s="50"/>
      <c r="AE5" s="50"/>
      <c r="AF5" s="50"/>
      <c r="AG5" s="50"/>
      <c r="AH5" s="50"/>
      <c r="AI5" s="50"/>
    </row>
    <row r="6" spans="1:35" ht="18.75">
      <c r="A6" s="13"/>
      <c r="B6" s="39"/>
      <c r="C6" s="956" t="s">
        <v>18</v>
      </c>
      <c r="D6" s="956"/>
      <c r="E6" s="427"/>
      <c r="F6" s="39"/>
      <c r="G6" s="39"/>
      <c r="H6" s="39"/>
      <c r="I6" s="39"/>
      <c r="J6" s="39"/>
      <c r="K6" s="39"/>
      <c r="L6" s="39"/>
      <c r="M6" s="39"/>
      <c r="N6" s="13"/>
      <c r="O6" s="13"/>
      <c r="P6" s="36"/>
      <c r="Q6" s="295"/>
      <c r="R6" s="295"/>
      <c r="S6" s="295"/>
      <c r="T6" s="13"/>
      <c r="U6" s="13"/>
      <c r="V6" s="13"/>
      <c r="W6" s="13"/>
      <c r="X6" s="13"/>
      <c r="Y6" s="13"/>
      <c r="Z6" s="13"/>
      <c r="AA6" s="13"/>
      <c r="AB6" s="13"/>
      <c r="AC6" s="13"/>
      <c r="AD6" s="13"/>
      <c r="AE6" s="13"/>
      <c r="AF6" s="13"/>
      <c r="AG6" s="13"/>
      <c r="AH6" s="13"/>
      <c r="AI6" s="13"/>
    </row>
    <row r="7" spans="1:35" ht="15">
      <c r="A7" s="13"/>
      <c r="B7" s="39"/>
      <c r="C7" s="39"/>
      <c r="D7" s="39"/>
      <c r="E7" s="39"/>
      <c r="F7" s="39"/>
      <c r="G7" s="39"/>
      <c r="H7" s="39"/>
      <c r="I7" s="39"/>
      <c r="J7" s="39"/>
      <c r="K7" s="39"/>
      <c r="L7" s="39"/>
      <c r="M7" s="39"/>
      <c r="N7" s="36"/>
      <c r="O7" s="36" t="str">
        <f>IF(AND(GuestUseIceMakers&lt;&gt;"Yes",GuestUseClothesWashers&lt;&gt;"Yes"),"Based on your current inputs, there are no results to display.","")</f>
        <v>Based on your current inputs, there are no results to display.</v>
      </c>
      <c r="P7" s="268"/>
      <c r="Q7" s="268"/>
      <c r="R7" s="268"/>
      <c r="S7" s="268"/>
      <c r="T7" s="36"/>
      <c r="U7" s="36"/>
      <c r="V7" s="36"/>
      <c r="W7" s="36"/>
      <c r="X7" s="36"/>
      <c r="Y7" s="36"/>
      <c r="Z7" s="36"/>
      <c r="AA7" s="36"/>
      <c r="AB7" s="36"/>
      <c r="AC7" s="36"/>
      <c r="AD7" s="36"/>
      <c r="AE7" s="36"/>
      <c r="AF7" s="36"/>
      <c r="AG7" s="36"/>
      <c r="AH7" s="13"/>
      <c r="AI7" s="13"/>
    </row>
    <row r="8" spans="1:35" ht="15">
      <c r="A8" s="13"/>
      <c r="B8" s="39"/>
      <c r="C8" s="878" t="s">
        <v>354</v>
      </c>
      <c r="D8" s="878"/>
      <c r="E8" s="878"/>
      <c r="F8" s="883"/>
      <c r="G8" s="744"/>
      <c r="H8" s="40"/>
      <c r="I8" s="39"/>
      <c r="J8" s="39"/>
      <c r="K8" s="39"/>
      <c r="L8" s="39"/>
      <c r="M8" s="39"/>
      <c r="N8" s="36"/>
      <c r="O8" s="36" t="str">
        <f>IF(GuestUseIceMakers="","You must answer question 1.","")</f>
        <v>You must answer question 1.</v>
      </c>
      <c r="P8" s="268"/>
      <c r="Q8" s="268"/>
      <c r="R8" s="268"/>
      <c r="S8" s="268"/>
      <c r="T8" s="36"/>
      <c r="U8" s="36"/>
      <c r="V8" s="36"/>
      <c r="W8" s="36"/>
      <c r="X8" s="36"/>
      <c r="Y8" s="36"/>
      <c r="Z8" s="36"/>
      <c r="AA8" s="36"/>
      <c r="AB8" s="36"/>
      <c r="AC8" s="36"/>
      <c r="AD8" s="36"/>
      <c r="AE8" s="36"/>
      <c r="AF8" s="36"/>
      <c r="AG8" s="36"/>
      <c r="AH8" s="13"/>
      <c r="AI8" s="13"/>
    </row>
    <row r="9" spans="1:35" ht="15">
      <c r="A9" s="13"/>
      <c r="B9" s="39"/>
      <c r="C9" s="39"/>
      <c r="D9" s="879"/>
      <c r="E9" s="879"/>
      <c r="F9" s="879"/>
      <c r="G9" s="305"/>
      <c r="H9" s="40"/>
      <c r="I9" s="39"/>
      <c r="J9" s="39"/>
      <c r="K9" s="39"/>
      <c r="L9" s="39"/>
      <c r="M9" s="39"/>
      <c r="N9" s="36"/>
      <c r="O9" s="36" t="str">
        <f>IF(OR(StatusOfCalcFields="Incomplete",StatusOfUtilityFields="Incomplete"),"Calculations on this tab use information from the 'Facility Info' tab. Therefore you must first complete the 'Facility Info' tab before you can display these results.","")</f>
        <v>Calculations on this tab use information from the 'Facility Info' tab. Therefore you must first complete the 'Facility Info' tab before you can display these results.</v>
      </c>
      <c r="P9" s="268"/>
      <c r="Q9" s="268"/>
      <c r="R9" s="268"/>
      <c r="S9" s="268"/>
      <c r="T9" s="36"/>
      <c r="U9" s="36"/>
      <c r="V9" s="36"/>
      <c r="W9" s="36"/>
      <c r="X9" s="36"/>
      <c r="Y9" s="36"/>
      <c r="Z9" s="36"/>
      <c r="AA9" s="36"/>
      <c r="AB9" s="36"/>
      <c r="AC9" s="36"/>
      <c r="AD9" s="36"/>
      <c r="AE9" s="36"/>
      <c r="AF9" s="36"/>
      <c r="AG9" s="36"/>
      <c r="AH9" s="13"/>
      <c r="AI9" s="13"/>
    </row>
    <row r="10" spans="1:35" s="390" customFormat="1" ht="18.75" customHeight="1" hidden="1">
      <c r="A10" s="50"/>
      <c r="B10" s="614"/>
      <c r="C10" s="939" t="s">
        <v>357</v>
      </c>
      <c r="D10" s="939"/>
      <c r="E10" s="939"/>
      <c r="F10" s="939"/>
      <c r="G10" s="939"/>
      <c r="H10" s="450"/>
      <c r="I10" s="614"/>
      <c r="J10" s="614"/>
      <c r="K10" s="614"/>
      <c r="L10" s="614"/>
      <c r="M10" s="614"/>
      <c r="N10" s="617"/>
      <c r="O10" s="617"/>
      <c r="P10" s="618"/>
      <c r="Q10" s="618"/>
      <c r="R10" s="618"/>
      <c r="S10" s="618"/>
      <c r="T10" s="617"/>
      <c r="U10" s="617"/>
      <c r="V10" s="617"/>
      <c r="W10" s="617"/>
      <c r="X10" s="617"/>
      <c r="Y10" s="617"/>
      <c r="Z10" s="617"/>
      <c r="AA10" s="617"/>
      <c r="AB10" s="617"/>
      <c r="AC10" s="617"/>
      <c r="AD10" s="617"/>
      <c r="AE10" s="617"/>
      <c r="AF10" s="617"/>
      <c r="AG10" s="617"/>
      <c r="AH10" s="50"/>
      <c r="AI10" s="50"/>
    </row>
    <row r="11" spans="1:36" s="12" customFormat="1" ht="15" hidden="1">
      <c r="A11" s="13"/>
      <c r="B11" s="39"/>
      <c r="C11" s="39"/>
      <c r="D11" s="17" t="s">
        <v>355</v>
      </c>
      <c r="E11" s="17" t="s">
        <v>194</v>
      </c>
      <c r="F11" s="17" t="s">
        <v>14</v>
      </c>
      <c r="G11" s="18" t="s">
        <v>10</v>
      </c>
      <c r="H11" s="17" t="s">
        <v>679</v>
      </c>
      <c r="I11" s="39"/>
      <c r="J11" s="39"/>
      <c r="K11" s="39"/>
      <c r="L11" s="39"/>
      <c r="M11" s="39"/>
      <c r="N11" s="36"/>
      <c r="O11" s="617"/>
      <c r="P11" s="716" t="s">
        <v>195</v>
      </c>
      <c r="Q11" s="716" t="s">
        <v>196</v>
      </c>
      <c r="R11" s="716" t="s">
        <v>197</v>
      </c>
      <c r="S11" s="716" t="s">
        <v>205</v>
      </c>
      <c r="T11" s="723"/>
      <c r="U11" s="723"/>
      <c r="V11" s="266"/>
      <c r="W11" s="266"/>
      <c r="X11" s="262"/>
      <c r="Y11" s="36"/>
      <c r="Z11" s="36"/>
      <c r="AA11" s="36"/>
      <c r="AB11" s="36"/>
      <c r="AC11" s="36"/>
      <c r="AD11" s="36"/>
      <c r="AE11" s="36"/>
      <c r="AF11" s="36"/>
      <c r="AG11" s="36"/>
      <c r="AH11" s="13"/>
      <c r="AI11" s="13"/>
      <c r="AJ11" s="286"/>
    </row>
    <row r="12" spans="1:36" s="12" customFormat="1" ht="15" hidden="1">
      <c r="A12" s="13"/>
      <c r="B12" s="39"/>
      <c r="C12" s="39"/>
      <c r="D12" s="744"/>
      <c r="E12" s="744"/>
      <c r="F12" s="744"/>
      <c r="G12" s="751"/>
      <c r="H12" s="751"/>
      <c r="I12" s="39"/>
      <c r="J12" s="39"/>
      <c r="K12" s="39"/>
      <c r="M12" s="39"/>
      <c r="N12" s="36"/>
      <c r="O12" s="36">
        <f>IF(AND(GuestUseIceMakers="Yes",COUNTA(D12:H12)&lt;5),"The first row in question 1a (ice makers) is incomplete.","")</f>
      </c>
      <c r="P12" s="268">
        <f>IF(ISERROR(VLOOKUP($D12,'Ice Machine Calcs'!$B$29:$B$31,1,FALSE)),0,VLOOKUP($D12,'Ice Machine Calcs'!$B$29:$H$31,IF($E12="Batch",3,6),FALSE)*($G12-$H12)+VLOOKUP($D12,'Ice Machine Calcs'!$B$29:$H$31,IF($E12="Batch",4,7),FALSE)*$H12)</f>
        <v>0</v>
      </c>
      <c r="Q12" s="268">
        <f>IF(ISERROR(VLOOKUP($D12,'Ice Machine Calcs'!$B$29:$B$31,1,FALSE)),0,VLOOKUP($D12,'Ice Machine Calcs'!$B$29:$I$31,IF($E12="Batch",5,8),FALSE)*($G12-$H12))</f>
        <v>0</v>
      </c>
      <c r="R12" s="268">
        <f>IF(ISERROR(VLOOKUP($D12,'Ice Machine Calcs'!$B$23:$B$25,1,FALSE)),0,VLOOKUP($D12,'Ice Machine Calcs'!$B$23:$I$25,IF($E12="Batch",5,8),FALSE)*($G12-$H12))</f>
        <v>0</v>
      </c>
      <c r="S12" s="268">
        <f>IF($F12="Single-Pass Water Cooling",VLOOKUP($E12&amp;"_"&amp;$D12,'Ice Machine Calcs'!$C$14:$G$19,5,FALSE)*$G$55,0)</f>
        <v>0</v>
      </c>
      <c r="T12" s="724"/>
      <c r="U12" s="724"/>
      <c r="V12" s="264"/>
      <c r="W12" s="264"/>
      <c r="X12" s="264"/>
      <c r="Y12" s="36"/>
      <c r="Z12" s="36"/>
      <c r="AA12" s="36"/>
      <c r="AB12" s="36"/>
      <c r="AC12" s="36"/>
      <c r="AD12" s="36"/>
      <c r="AE12" s="36"/>
      <c r="AF12" s="36"/>
      <c r="AG12" s="36"/>
      <c r="AH12" s="13"/>
      <c r="AI12" s="13"/>
      <c r="AJ12" s="286"/>
    </row>
    <row r="13" spans="1:36" s="12" customFormat="1" ht="15" hidden="1">
      <c r="A13" s="13"/>
      <c r="B13" s="254"/>
      <c r="C13" s="254"/>
      <c r="D13" s="744"/>
      <c r="E13" s="744"/>
      <c r="F13" s="744"/>
      <c r="G13" s="751"/>
      <c r="H13" s="751"/>
      <c r="I13" s="39"/>
      <c r="J13" s="39"/>
      <c r="K13" s="39"/>
      <c r="L13" s="254"/>
      <c r="M13" s="254"/>
      <c r="N13" s="36"/>
      <c r="O13" s="36">
        <f>IF(AND(GuestUseIceMakers="Yes",COUNTA(D13:H13)&gt;0,COUNTA(D13:H13)&lt;5),"The second row in question 1a (ice makers) is incomplete.","")</f>
      </c>
      <c r="P13" s="268">
        <f>IF(ISERROR(VLOOKUP($D13,'Ice Machine Calcs'!$B$29:$B$31,1,FALSE)),0,VLOOKUP($D13,'Ice Machine Calcs'!$B$29:$H$31,IF($E13="Batch",3,6),FALSE)*($G13-$H13)+VLOOKUP($D13,'Ice Machine Calcs'!$B$29:$H$31,IF($E13="Batch",4,7),FALSE)*$H13)</f>
        <v>0</v>
      </c>
      <c r="Q13" s="268">
        <f>IF(ISERROR(VLOOKUP($D13,'Ice Machine Calcs'!$B$29:$B$31,1,FALSE)),0,VLOOKUP($D13,'Ice Machine Calcs'!$B$29:$I$31,IF($E13="Batch",5,8),FALSE)*($G13-$H13))</f>
        <v>0</v>
      </c>
      <c r="R13" s="268">
        <f>IF(ISERROR(VLOOKUP($D13,'Ice Machine Calcs'!$B$23:$B$25,1,FALSE)),0,VLOOKUP($D13,'Ice Machine Calcs'!$B$23:$I$25,IF($E13="Batch",5,8),FALSE)*($G13-$H13))</f>
        <v>0</v>
      </c>
      <c r="S13" s="268">
        <f>IF($F13="Single-Pass Water Cooling",VLOOKUP($E13&amp;"_"&amp;$D13,'Ice Machine Calcs'!$C$14:$G$19,5,FALSE)*$G$55,0)</f>
        <v>0</v>
      </c>
      <c r="T13" s="724"/>
      <c r="U13" s="724"/>
      <c r="V13" s="264"/>
      <c r="W13" s="264"/>
      <c r="X13" s="264"/>
      <c r="Y13" s="36"/>
      <c r="Z13" s="36"/>
      <c r="AA13" s="36"/>
      <c r="AB13" s="36"/>
      <c r="AC13" s="36"/>
      <c r="AD13" s="36"/>
      <c r="AE13" s="36"/>
      <c r="AF13" s="36"/>
      <c r="AG13" s="36"/>
      <c r="AH13" s="13"/>
      <c r="AI13" s="13"/>
      <c r="AJ13" s="286"/>
    </row>
    <row r="14" spans="1:35" s="12" customFormat="1" ht="15" hidden="1">
      <c r="A14" s="13"/>
      <c r="B14" s="254"/>
      <c r="C14" s="254"/>
      <c r="D14" s="744"/>
      <c r="E14" s="744"/>
      <c r="F14" s="744"/>
      <c r="G14" s="751"/>
      <c r="H14" s="751"/>
      <c r="I14" s="39"/>
      <c r="J14" s="39"/>
      <c r="K14" s="39"/>
      <c r="L14" s="254"/>
      <c r="M14" s="254"/>
      <c r="N14" s="36"/>
      <c r="O14" s="36">
        <f>IF(AND(GuestUseIceMakers="Yes",COUNTA(D14:H14)&gt;0,COUNTA(D14:H14)&lt;5),"The third row in question 1a (ice makers) is incomplete.","")</f>
      </c>
      <c r="P14" s="268">
        <f>IF(ISERROR(VLOOKUP($D14,'Ice Machine Calcs'!$B$29:$B$31,1,FALSE)),0,VLOOKUP($D14,'Ice Machine Calcs'!$B$29:$H$31,IF($E14="Batch",3,6),FALSE)*($G14-$H14)+VLOOKUP($D14,'Ice Machine Calcs'!$B$29:$H$31,IF($E14="Batch",4,7),FALSE)*$H14)</f>
        <v>0</v>
      </c>
      <c r="Q14" s="268">
        <f>IF(ISERROR(VLOOKUP($D14,'Ice Machine Calcs'!$B$29:$B$31,1,FALSE)),0,VLOOKUP($D14,'Ice Machine Calcs'!$B$29:$I$31,IF($E14="Batch",5,8),FALSE)*($G14-$H14))</f>
        <v>0</v>
      </c>
      <c r="R14" s="268">
        <f>IF(ISERROR(VLOOKUP($D14,'Ice Machine Calcs'!$B$23:$B$25,1,FALSE)),0,VLOOKUP($D14,'Ice Machine Calcs'!$B$23:$I$25,IF($E14="Batch",5,8),FALSE)*($G14-$H14))</f>
        <v>0</v>
      </c>
      <c r="S14" s="268">
        <f>IF($F14="Single-Pass Water Cooling",VLOOKUP($E14&amp;"_"&amp;$D14,'Ice Machine Calcs'!$C$14:$G$19,5,FALSE)*$G$55,0)</f>
        <v>0</v>
      </c>
      <c r="T14" s="724"/>
      <c r="U14" s="724"/>
      <c r="V14" s="264"/>
      <c r="W14" s="264"/>
      <c r="X14" s="264"/>
      <c r="Y14" s="13"/>
      <c r="Z14" s="13"/>
      <c r="AA14" s="13"/>
      <c r="AB14" s="13"/>
      <c r="AC14" s="13"/>
      <c r="AD14" s="13"/>
      <c r="AE14" s="13"/>
      <c r="AF14" s="13"/>
      <c r="AG14" s="13"/>
      <c r="AH14" s="13"/>
      <c r="AI14" s="13"/>
    </row>
    <row r="15" spans="1:35" s="12" customFormat="1" ht="15" hidden="1">
      <c r="A15" s="13"/>
      <c r="B15" s="3"/>
      <c r="C15" s="3"/>
      <c r="D15" s="16"/>
      <c r="E15" s="558"/>
      <c r="F15" s="558"/>
      <c r="G15" s="558"/>
      <c r="H15" s="558"/>
      <c r="I15" s="558"/>
      <c r="J15" s="3"/>
      <c r="K15" s="3"/>
      <c r="L15" s="3"/>
      <c r="M15" s="3"/>
      <c r="N15" s="13"/>
      <c r="O15" s="36">
        <f>IF(AND(GuestUseIceMakers="Yes",OR(AND(F12&lt;&gt;"Air-Cooled",H12&gt;0),AND(F13&lt;&gt;"Air-Cooled",H13&gt;0),AND(F14&lt;&gt;"Air-Cooled",H14&gt;0))),"In question 1 (ice makers), you have indicated that you have at least one ENERGY STAR qualified model that is not air-cooled. This is not a valid option, given that all ENERGY STAR qualified ice makers are air-cooled.","")</f>
      </c>
      <c r="P15" s="268"/>
      <c r="Q15" s="268"/>
      <c r="R15" s="268"/>
      <c r="S15" s="716"/>
      <c r="T15" s="36"/>
      <c r="U15" s="36"/>
      <c r="V15" s="13"/>
      <c r="W15" s="13"/>
      <c r="X15" s="13"/>
      <c r="Y15" s="13"/>
      <c r="Z15" s="13"/>
      <c r="AA15" s="13"/>
      <c r="AB15" s="13"/>
      <c r="AC15" s="13"/>
      <c r="AD15" s="13"/>
      <c r="AE15" s="13"/>
      <c r="AF15" s="13"/>
      <c r="AG15" s="13"/>
      <c r="AH15" s="13"/>
      <c r="AI15" s="13"/>
    </row>
    <row r="16" spans="1:35" s="12" customFormat="1" ht="15">
      <c r="A16" s="13"/>
      <c r="B16" s="3"/>
      <c r="C16" s="878" t="s">
        <v>483</v>
      </c>
      <c r="D16" s="878"/>
      <c r="E16" s="878"/>
      <c r="F16" s="883"/>
      <c r="G16" s="744"/>
      <c r="H16" s="559"/>
      <c r="I16" s="3"/>
      <c r="J16" s="3"/>
      <c r="K16" s="3"/>
      <c r="L16" s="3"/>
      <c r="M16" s="3"/>
      <c r="N16" s="13"/>
      <c r="O16" s="36" t="str">
        <f>IF(GuestUseClothesWashers="","You must answer question 2.","")</f>
        <v>You must answer question 2.</v>
      </c>
      <c r="P16" s="268"/>
      <c r="Q16" s="268"/>
      <c r="R16" s="268"/>
      <c r="S16" s="268"/>
      <c r="T16" s="36"/>
      <c r="U16" s="36"/>
      <c r="V16" s="13"/>
      <c r="W16" s="13"/>
      <c r="X16" s="13"/>
      <c r="Y16" s="13"/>
      <c r="Z16" s="13"/>
      <c r="AA16" s="13"/>
      <c r="AB16" s="13"/>
      <c r="AC16" s="13"/>
      <c r="AD16" s="13"/>
      <c r="AE16" s="13"/>
      <c r="AF16" s="13"/>
      <c r="AG16" s="13"/>
      <c r="AH16" s="13"/>
      <c r="AI16" s="13"/>
    </row>
    <row r="17" spans="1:35" s="12" customFormat="1" ht="12" customHeight="1">
      <c r="A17" s="13"/>
      <c r="B17" s="3"/>
      <c r="C17" s="3"/>
      <c r="D17" s="879"/>
      <c r="E17" s="879"/>
      <c r="F17" s="879"/>
      <c r="G17" s="3"/>
      <c r="H17" s="559"/>
      <c r="I17" s="3"/>
      <c r="J17" s="3"/>
      <c r="K17" s="3"/>
      <c r="L17" s="3"/>
      <c r="M17" s="3"/>
      <c r="N17" s="36"/>
      <c r="O17" s="36"/>
      <c r="P17" s="268"/>
      <c r="Q17" s="268"/>
      <c r="R17" s="268"/>
      <c r="S17" s="268"/>
      <c r="T17" s="36"/>
      <c r="U17" s="36"/>
      <c r="V17" s="36"/>
      <c r="W17" s="36"/>
      <c r="X17" s="36"/>
      <c r="Y17" s="36"/>
      <c r="Z17" s="36"/>
      <c r="AA17" s="36"/>
      <c r="AB17" s="36"/>
      <c r="AC17" s="36"/>
      <c r="AD17" s="36"/>
      <c r="AE17" s="36"/>
      <c r="AF17" s="36"/>
      <c r="AG17" s="36"/>
      <c r="AH17" s="13"/>
      <c r="AI17" s="13"/>
    </row>
    <row r="18" spans="1:35" s="389" customFormat="1" ht="18.75" customHeight="1">
      <c r="A18" s="50"/>
      <c r="B18" s="451"/>
      <c r="C18" s="936" t="s">
        <v>358</v>
      </c>
      <c r="D18" s="936"/>
      <c r="E18" s="936"/>
      <c r="F18" s="936"/>
      <c r="G18" s="936"/>
      <c r="H18" s="619"/>
      <c r="I18" s="451"/>
      <c r="J18" s="451"/>
      <c r="K18" s="451"/>
      <c r="L18" s="451"/>
      <c r="M18" s="451"/>
      <c r="N18" s="50"/>
      <c r="O18" s="50"/>
      <c r="P18" s="618"/>
      <c r="Q18" s="618"/>
      <c r="R18" s="618"/>
      <c r="S18" s="618"/>
      <c r="T18" s="617"/>
      <c r="U18" s="617"/>
      <c r="V18" s="50"/>
      <c r="W18" s="50"/>
      <c r="X18" s="50"/>
      <c r="Y18" s="50"/>
      <c r="Z18" s="50"/>
      <c r="AA18" s="50"/>
      <c r="AB18" s="50"/>
      <c r="AC18" s="50"/>
      <c r="AD18" s="50"/>
      <c r="AE18" s="50"/>
      <c r="AF18" s="50"/>
      <c r="AG18" s="50"/>
      <c r="AH18" s="50"/>
      <c r="AI18" s="50"/>
    </row>
    <row r="19" spans="1:35" s="33" customFormat="1" ht="26.25">
      <c r="A19" s="22"/>
      <c r="B19" s="529"/>
      <c r="C19" s="529"/>
      <c r="D19" s="84" t="s">
        <v>13</v>
      </c>
      <c r="E19" s="84" t="s">
        <v>10</v>
      </c>
      <c r="F19" s="84" t="s">
        <v>470</v>
      </c>
      <c r="G19" s="84" t="s">
        <v>344</v>
      </c>
      <c r="H19" s="560"/>
      <c r="J19" s="529"/>
      <c r="K19" s="455" t="s">
        <v>93</v>
      </c>
      <c r="L19" s="529"/>
      <c r="M19" s="529"/>
      <c r="N19" s="22"/>
      <c r="O19" s="22"/>
      <c r="P19" s="716" t="s">
        <v>432</v>
      </c>
      <c r="Q19" s="716" t="s">
        <v>433</v>
      </c>
      <c r="R19" s="716" t="s">
        <v>438</v>
      </c>
      <c r="S19" s="716" t="s">
        <v>433</v>
      </c>
      <c r="T19" s="716" t="s">
        <v>439</v>
      </c>
      <c r="U19" s="716" t="s">
        <v>433</v>
      </c>
      <c r="V19" s="22"/>
      <c r="W19" s="22"/>
      <c r="X19" s="22"/>
      <c r="Y19" s="22"/>
      <c r="Z19" s="22"/>
      <c r="AA19" s="22"/>
      <c r="AB19" s="22"/>
      <c r="AC19" s="22"/>
      <c r="AD19" s="22"/>
      <c r="AE19" s="22"/>
      <c r="AF19" s="22"/>
      <c r="AG19" s="22"/>
      <c r="AH19" s="22"/>
      <c r="AI19" s="22"/>
    </row>
    <row r="20" spans="1:35" s="12" customFormat="1" ht="15">
      <c r="A20" s="13"/>
      <c r="B20" s="3"/>
      <c r="C20" s="3"/>
      <c r="D20" s="744"/>
      <c r="E20" s="751"/>
      <c r="F20" s="751"/>
      <c r="G20" s="751"/>
      <c r="H20" s="560"/>
      <c r="I20" s="560">
        <v>24</v>
      </c>
      <c r="J20" s="3"/>
      <c r="K20" s="561"/>
      <c r="L20" s="3"/>
      <c r="M20" s="3"/>
      <c r="N20" s="36"/>
      <c r="O20" s="36">
        <f>IF(AND(GuestUseClothesWashers="Yes",COUNTA(D20:G20)&lt;4),"The first row in question 2a (clothes washers) is incomplete.","")</f>
      </c>
      <c r="P20" s="268">
        <f>$G20*52*((($E20-$F20)*IF($D20="Front-Loading",$G$53,$G$54))+($F20*IF($D20="Front-Loading",$H$53,$H$54)))</f>
        <v>0</v>
      </c>
      <c r="Q20" s="268">
        <f>$G20*52*$E20*IF($D20="Front-Loading",$H$53,$H$54)</f>
        <v>0</v>
      </c>
      <c r="R20" s="268">
        <f>$G20*52*((($E20-$F20)*$G$51)+($F20*$H$51))</f>
        <v>0</v>
      </c>
      <c r="S20" s="268">
        <f>$G20*52*$E20*$H$51</f>
        <v>0</v>
      </c>
      <c r="T20" s="268">
        <f>$G20*52*((($E20-$F20)*$G$52)+($F20*$H$52))</f>
        <v>0</v>
      </c>
      <c r="U20" s="268">
        <f>$G20*52*$E20*$H$52</f>
        <v>0</v>
      </c>
      <c r="V20" s="13"/>
      <c r="W20" s="13"/>
      <c r="X20" s="13"/>
      <c r="Y20" s="13"/>
      <c r="Z20" s="13"/>
      <c r="AA20" s="13"/>
      <c r="AB20" s="13"/>
      <c r="AC20" s="13"/>
      <c r="AD20" s="13"/>
      <c r="AE20" s="13"/>
      <c r="AF20" s="13"/>
      <c r="AG20" s="13"/>
      <c r="AH20" s="13"/>
      <c r="AI20" s="13"/>
    </row>
    <row r="21" spans="1:35" s="12" customFormat="1" ht="15">
      <c r="A21" s="13"/>
      <c r="B21" s="3"/>
      <c r="C21" s="3"/>
      <c r="D21" s="744"/>
      <c r="E21" s="751"/>
      <c r="F21" s="751"/>
      <c r="G21" s="751"/>
      <c r="H21" s="560"/>
      <c r="I21" s="560"/>
      <c r="J21" s="3"/>
      <c r="K21" s="561"/>
      <c r="L21" s="3"/>
      <c r="M21" s="3"/>
      <c r="N21" s="36"/>
      <c r="O21" s="36">
        <f>IF(AND(GuestUseClothesWashers="Yes",COUNTA(D21:G21)&gt;0,COUNTA(D21:G21)&lt;4),"The second row in question 2a (clothes washers) is incomplete.","")</f>
      </c>
      <c r="P21" s="268">
        <f>$G21*52*((($E21-$F21)*IF($D21="Front-Loading",$G$53,$G$54))+($F21*IF($D21="Front-Loading",$H$53,$H$54)))</f>
        <v>0</v>
      </c>
      <c r="Q21" s="268">
        <f>$G21*52*$E21*IF($D21="Front-Loading",$H$53,$H$54)</f>
        <v>0</v>
      </c>
      <c r="R21" s="268">
        <f>$G21*52*((($E21-$F21)*$G$51)+($F21*$H$51))</f>
        <v>0</v>
      </c>
      <c r="S21" s="268">
        <f>$G21*52*$E21*$H$51</f>
        <v>0</v>
      </c>
      <c r="T21" s="268">
        <f>$G21*52*((($E21-$F21)*$G$52)+($F21*$H$52))</f>
        <v>0</v>
      </c>
      <c r="U21" s="268">
        <f>$G21*52*$E21*$H$52</f>
        <v>0</v>
      </c>
      <c r="V21" s="13"/>
      <c r="W21" s="13"/>
      <c r="X21" s="13"/>
      <c r="Y21" s="13"/>
      <c r="Z21" s="13"/>
      <c r="AA21" s="13"/>
      <c r="AB21" s="13"/>
      <c r="AC21" s="13"/>
      <c r="AD21" s="13"/>
      <c r="AE21" s="13"/>
      <c r="AF21" s="13"/>
      <c r="AG21" s="13"/>
      <c r="AH21" s="13"/>
      <c r="AI21" s="13"/>
    </row>
    <row r="22" spans="1:35" s="12" customFormat="1" ht="15">
      <c r="A22" s="13"/>
      <c r="B22" s="3"/>
      <c r="C22" s="3"/>
      <c r="D22" s="744"/>
      <c r="E22" s="751"/>
      <c r="F22" s="751"/>
      <c r="G22" s="751"/>
      <c r="H22" s="560"/>
      <c r="I22" s="560"/>
      <c r="J22" s="3"/>
      <c r="K22" s="561"/>
      <c r="L22" s="3"/>
      <c r="M22" s="3"/>
      <c r="N22" s="36"/>
      <c r="O22" s="36">
        <f>IF(AND(GuestUseClothesWashers="Yes",COUNTA(D22:G22)&gt;0,COUNTA(D22:G22)&lt;4),"The second row in question 2a (clothes washers) is incomplete.","")</f>
      </c>
      <c r="P22" s="268">
        <f>$G22*52*((($E22-$F22)*IF($D22="Front-Loading",$G$53,$G$54))+($F22*IF($D22="Front-Loading",$H$53,$H$54)))</f>
        <v>0</v>
      </c>
      <c r="Q22" s="268">
        <f>$G22*52*$E22*IF($D22="Front-Loading",$H$53,$H$54)</f>
        <v>0</v>
      </c>
      <c r="R22" s="268">
        <f>$G22*52*((($E22-$F22)*$G$51)+($F22*$H$51))</f>
        <v>0</v>
      </c>
      <c r="S22" s="268">
        <f>$G22*52*$E22*$H$51</f>
        <v>0</v>
      </c>
      <c r="T22" s="268">
        <f>$G22*52*((($E22-$F22)*$G$52)+($F22*$H$52))</f>
        <v>0</v>
      </c>
      <c r="U22" s="268">
        <f>$G22*52*$E22*$H$52</f>
        <v>0</v>
      </c>
      <c r="V22" s="13"/>
      <c r="W22" s="13"/>
      <c r="X22" s="13"/>
      <c r="Y22" s="13"/>
      <c r="Z22" s="13"/>
      <c r="AA22" s="13"/>
      <c r="AB22" s="13"/>
      <c r="AC22" s="13"/>
      <c r="AD22" s="13"/>
      <c r="AE22" s="13"/>
      <c r="AF22" s="13"/>
      <c r="AG22" s="13"/>
      <c r="AH22" s="13"/>
      <c r="AI22" s="13"/>
    </row>
    <row r="23" spans="1:35" s="12" customFormat="1" ht="31.5" customHeight="1">
      <c r="A23" s="13"/>
      <c r="B23" s="39"/>
      <c r="C23" s="39"/>
      <c r="D23" s="39"/>
      <c r="E23" s="306"/>
      <c r="F23" s="39"/>
      <c r="G23" s="39"/>
      <c r="H23" s="39"/>
      <c r="I23" s="85"/>
      <c r="J23" s="39"/>
      <c r="K23" s="39"/>
      <c r="L23" s="39"/>
      <c r="M23" s="39"/>
      <c r="N23" s="13"/>
      <c r="O23" s="13"/>
      <c r="P23" s="268"/>
      <c r="Q23" s="268"/>
      <c r="R23" s="268"/>
      <c r="S23" s="268"/>
      <c r="T23" s="36"/>
      <c r="U23" s="36"/>
      <c r="V23" s="13"/>
      <c r="W23" s="13"/>
      <c r="X23" s="13"/>
      <c r="Y23" s="13"/>
      <c r="Z23" s="13"/>
      <c r="AA23" s="13"/>
      <c r="AB23" s="13"/>
      <c r="AC23" s="13"/>
      <c r="AD23" s="13"/>
      <c r="AE23" s="13"/>
      <c r="AF23" s="13"/>
      <c r="AG23" s="13"/>
      <c r="AH23" s="13"/>
      <c r="AI23" s="13"/>
    </row>
    <row r="24" spans="1:35" s="12" customFormat="1" ht="18.75" hidden="1">
      <c r="A24" s="13"/>
      <c r="B24" s="39"/>
      <c r="C24" s="872" t="s">
        <v>38</v>
      </c>
      <c r="D24" s="872"/>
      <c r="E24" s="427"/>
      <c r="F24" s="39"/>
      <c r="G24" s="429"/>
      <c r="H24" s="39"/>
      <c r="J24" s="39"/>
      <c r="K24" s="39"/>
      <c r="L24" s="39"/>
      <c r="M24" s="39"/>
      <c r="N24" s="13"/>
      <c r="O24" s="13"/>
      <c r="P24" s="268"/>
      <c r="Q24" s="268"/>
      <c r="R24" s="268"/>
      <c r="S24" s="268"/>
      <c r="T24" s="36"/>
      <c r="U24" s="36"/>
      <c r="V24" s="13"/>
      <c r="W24" s="13"/>
      <c r="X24" s="13"/>
      <c r="Y24" s="13"/>
      <c r="Z24" s="13"/>
      <c r="AA24" s="13"/>
      <c r="AB24" s="13"/>
      <c r="AC24" s="13"/>
      <c r="AD24" s="13"/>
      <c r="AE24" s="13"/>
      <c r="AF24" s="13"/>
      <c r="AG24" s="13"/>
      <c r="AH24" s="13"/>
      <c r="AI24" s="13"/>
    </row>
    <row r="25" spans="1:35" s="389" customFormat="1" ht="40.5" customHeight="1" hidden="1">
      <c r="A25" s="50"/>
      <c r="B25" s="614"/>
      <c r="C25" s="931" t="str">
        <f>"Your existing water use for guest service ice makers and clothes washers is approximately "&amp;TEXT(E29,"#,##0")&amp;" gallons of water per year. The following table provides your estimated water use by appliance type."</f>
        <v>Your existing water use for guest service ice makers and clothes washers is approximately 0 gallons of water per year. The following table provides your estimated water use by appliance type.</v>
      </c>
      <c r="D25" s="931"/>
      <c r="E25" s="931"/>
      <c r="F25" s="931"/>
      <c r="G25" s="931"/>
      <c r="H25" s="931"/>
      <c r="I25" s="614"/>
      <c r="J25" s="614"/>
      <c r="K25" s="614"/>
      <c r="L25" s="614"/>
      <c r="M25" s="614"/>
      <c r="N25" s="50"/>
      <c r="O25" s="50"/>
      <c r="P25" s="618"/>
      <c r="Q25" s="618"/>
      <c r="R25" s="618"/>
      <c r="S25" s="618"/>
      <c r="T25" s="617"/>
      <c r="U25" s="617"/>
      <c r="V25" s="50"/>
      <c r="W25" s="50"/>
      <c r="X25" s="50"/>
      <c r="Y25" s="50"/>
      <c r="Z25" s="50"/>
      <c r="AA25" s="50"/>
      <c r="AB25" s="50"/>
      <c r="AC25" s="50"/>
      <c r="AD25" s="50"/>
      <c r="AE25" s="50"/>
      <c r="AF25" s="50"/>
      <c r="AG25" s="50"/>
      <c r="AH25" s="50"/>
      <c r="AI25" s="50"/>
    </row>
    <row r="26" spans="1:35" s="12" customFormat="1" ht="26.25" hidden="1">
      <c r="A26" s="13"/>
      <c r="B26" s="39"/>
      <c r="C26" s="39"/>
      <c r="D26" s="23"/>
      <c r="E26" s="26" t="s">
        <v>58</v>
      </c>
      <c r="F26" s="39"/>
      <c r="G26" s="39"/>
      <c r="H26" s="39"/>
      <c r="I26" s="39"/>
      <c r="J26" s="39"/>
      <c r="K26" s="39"/>
      <c r="L26" s="39"/>
      <c r="M26" s="39"/>
      <c r="N26" s="13"/>
      <c r="O26" s="13"/>
      <c r="P26" s="268"/>
      <c r="Q26" s="268"/>
      <c r="R26" s="268"/>
      <c r="S26" s="268"/>
      <c r="T26" s="36"/>
      <c r="U26" s="36"/>
      <c r="V26" s="13"/>
      <c r="W26" s="13"/>
      <c r="X26" s="13"/>
      <c r="Y26" s="13"/>
      <c r="Z26" s="13"/>
      <c r="AA26" s="13"/>
      <c r="AB26" s="13"/>
      <c r="AC26" s="13"/>
      <c r="AD26" s="13"/>
      <c r="AE26" s="13"/>
      <c r="AF26" s="13"/>
      <c r="AG26" s="13"/>
      <c r="AH26" s="13"/>
      <c r="AI26" s="13"/>
    </row>
    <row r="27" spans="1:35" s="12" customFormat="1" ht="15" hidden="1">
      <c r="A27" s="13"/>
      <c r="B27" s="39"/>
      <c r="C27" s="39"/>
      <c r="D27" s="16" t="s">
        <v>353</v>
      </c>
      <c r="E27" s="24" t="str">
        <f>IF(GuestUseIceMakers="Yes",ROUNDDOWN(SUM(P12:P14)+SUM(S12:S14),-3),"N/A")</f>
        <v>N/A</v>
      </c>
      <c r="F27" s="87"/>
      <c r="G27" s="87"/>
      <c r="H27" s="87"/>
      <c r="I27" s="39"/>
      <c r="J27" s="39"/>
      <c r="K27" s="39"/>
      <c r="L27" s="39"/>
      <c r="M27" s="39"/>
      <c r="N27" s="13"/>
      <c r="O27" s="13"/>
      <c r="P27" s="268"/>
      <c r="Q27" s="268"/>
      <c r="R27" s="268"/>
      <c r="S27" s="268"/>
      <c r="T27" s="36"/>
      <c r="U27" s="36"/>
      <c r="V27" s="13"/>
      <c r="W27" s="13"/>
      <c r="X27" s="13"/>
      <c r="Y27" s="13"/>
      <c r="Z27" s="13"/>
      <c r="AA27" s="13"/>
      <c r="AB27" s="13"/>
      <c r="AC27" s="13"/>
      <c r="AD27" s="13"/>
      <c r="AE27" s="13"/>
      <c r="AF27" s="13"/>
      <c r="AG27" s="13"/>
      <c r="AH27" s="13"/>
      <c r="AI27" s="13"/>
    </row>
    <row r="28" spans="1:35" s="12" customFormat="1" ht="15" hidden="1">
      <c r="A28" s="13"/>
      <c r="B28" s="39"/>
      <c r="C28" s="39"/>
      <c r="D28" s="16" t="s">
        <v>226</v>
      </c>
      <c r="E28" s="24" t="str">
        <f>IF(GuestUseClothesWashers="Yes",ROUNDDOWN(SUM(P20:P22),-3),"N/A")</f>
        <v>N/A</v>
      </c>
      <c r="F28" s="39"/>
      <c r="G28" s="39"/>
      <c r="H28" s="39"/>
      <c r="I28" s="39"/>
      <c r="J28" s="39"/>
      <c r="K28" s="39"/>
      <c r="L28" s="39"/>
      <c r="M28" s="39"/>
      <c r="N28" s="13"/>
      <c r="O28" s="13"/>
      <c r="P28" s="268"/>
      <c r="Q28" s="268"/>
      <c r="R28" s="268"/>
      <c r="S28" s="268"/>
      <c r="T28" s="36"/>
      <c r="U28" s="36"/>
      <c r="V28" s="13"/>
      <c r="W28" s="13"/>
      <c r="X28" s="13"/>
      <c r="Y28" s="13"/>
      <c r="Z28" s="13"/>
      <c r="AA28" s="13"/>
      <c r="AB28" s="13"/>
      <c r="AC28" s="13"/>
      <c r="AD28" s="13"/>
      <c r="AE28" s="13"/>
      <c r="AF28" s="13"/>
      <c r="AG28" s="13"/>
      <c r="AH28" s="13"/>
      <c r="AI28" s="13"/>
    </row>
    <row r="29" spans="1:35" s="12" customFormat="1" ht="15" hidden="1">
      <c r="A29" s="13"/>
      <c r="B29" s="39"/>
      <c r="C29" s="39"/>
      <c r="D29" s="16" t="s">
        <v>338</v>
      </c>
      <c r="E29" s="461">
        <f>SUM(E27:E28)</f>
        <v>0</v>
      </c>
      <c r="F29" s="39"/>
      <c r="G29" s="39"/>
      <c r="H29" s="39"/>
      <c r="I29" s="39"/>
      <c r="J29" s="39"/>
      <c r="K29" s="39"/>
      <c r="L29" s="39"/>
      <c r="M29" s="39"/>
      <c r="N29" s="13"/>
      <c r="O29" s="13"/>
      <c r="P29" s="268"/>
      <c r="Q29" s="268"/>
      <c r="R29" s="268"/>
      <c r="S29" s="268"/>
      <c r="T29" s="36"/>
      <c r="U29" s="36"/>
      <c r="V29" s="13"/>
      <c r="W29" s="13"/>
      <c r="X29" s="13"/>
      <c r="Y29" s="13"/>
      <c r="Z29" s="13"/>
      <c r="AA29" s="13"/>
      <c r="AB29" s="13"/>
      <c r="AC29" s="13"/>
      <c r="AD29" s="13"/>
      <c r="AE29" s="13"/>
      <c r="AF29" s="13"/>
      <c r="AG29" s="13"/>
      <c r="AH29" s="13"/>
      <c r="AI29" s="13"/>
    </row>
    <row r="30" spans="1:35" s="12" customFormat="1" ht="15" hidden="1">
      <c r="A30" s="22"/>
      <c r="B30" s="39"/>
      <c r="C30" s="39"/>
      <c r="D30" s="16"/>
      <c r="E30" s="16"/>
      <c r="F30" s="44"/>
      <c r="G30" s="44"/>
      <c r="H30" s="39"/>
      <c r="I30" s="39"/>
      <c r="J30" s="39"/>
      <c r="K30" s="39"/>
      <c r="L30" s="39"/>
      <c r="M30" s="39"/>
      <c r="N30" s="13"/>
      <c r="O30" s="13"/>
      <c r="P30" s="268"/>
      <c r="Q30" s="268"/>
      <c r="R30" s="268"/>
      <c r="S30" s="268"/>
      <c r="T30" s="36"/>
      <c r="U30" s="36"/>
      <c r="V30" s="13"/>
      <c r="W30" s="13"/>
      <c r="X30" s="13"/>
      <c r="Y30" s="13"/>
      <c r="Z30" s="13"/>
      <c r="AA30" s="13"/>
      <c r="AB30" s="13"/>
      <c r="AC30" s="13"/>
      <c r="AD30" s="13"/>
      <c r="AE30" s="13"/>
      <c r="AF30" s="13"/>
      <c r="AG30" s="13"/>
      <c r="AH30" s="13"/>
      <c r="AI30" s="13"/>
    </row>
    <row r="31" spans="1:35" s="12" customFormat="1" ht="24.75" customHeight="1" hidden="1">
      <c r="A31" s="13"/>
      <c r="B31" s="39"/>
      <c r="C31" s="940" t="s">
        <v>37</v>
      </c>
      <c r="D31" s="940"/>
      <c r="E31" s="940"/>
      <c r="F31" s="940"/>
      <c r="G31" s="3"/>
      <c r="H31" s="3"/>
      <c r="I31" s="3"/>
      <c r="J31" s="3"/>
      <c r="K31" s="39"/>
      <c r="L31" s="39"/>
      <c r="M31" s="39"/>
      <c r="N31" s="13"/>
      <c r="O31" s="13"/>
      <c r="P31" s="268"/>
      <c r="Q31" s="268"/>
      <c r="R31" s="268"/>
      <c r="S31" s="268"/>
      <c r="T31" s="36"/>
      <c r="U31" s="36"/>
      <c r="V31" s="13"/>
      <c r="W31" s="13"/>
      <c r="X31" s="13"/>
      <c r="Y31" s="13"/>
      <c r="Z31" s="13"/>
      <c r="AA31" s="13"/>
      <c r="AB31" s="13"/>
      <c r="AC31" s="13"/>
      <c r="AD31" s="13"/>
      <c r="AE31" s="13"/>
      <c r="AF31" s="13"/>
      <c r="AG31" s="13"/>
      <c r="AH31" s="13"/>
      <c r="AI31" s="13"/>
    </row>
    <row r="32" spans="1:35" s="12" customFormat="1" ht="38.25" customHeight="1" hidden="1">
      <c r="A32" s="13"/>
      <c r="B32" s="39"/>
      <c r="C32" s="789" t="s">
        <v>760</v>
      </c>
      <c r="D32" s="962" t="str">
        <f>IF(AND(ISNUMBER(F36),F36&gt;0),"By replacing your existing, conventional guest use "&amp;IF(AND(ISNUMBER(F34),ISNUMBER(F35),F34&gt;0,F35&gt;0),"clothes washers and ice makers",IF(AND(ISNUMBER(F35),F35&gt;0),"clothes washers","ice makers"))&amp;" with ENERGY STAR qualified models, you can save approximately "&amp;TEXT(F36,"#,##0")&amp;" gallons of water and $"&amp;TEXT(K36,"#,##0")&amp;" in utility costs annually. The following table provides your estimated water, energy, and cost savings, and an estimated simple payback for each potential replacement project.","As shown in the following table, your guest use clothes washers and/or ice makers are already efficient, so it is not recommended that you replace any of your equipment at this time."&amp;CHAR(10))</f>
        <v>As shown in the following table, your guest use clothes washers and/or ice makers are already efficient, so it is not recommended that you replace any of your equipment at this time.
</v>
      </c>
      <c r="E32" s="962"/>
      <c r="F32" s="962"/>
      <c r="G32" s="962"/>
      <c r="H32" s="962"/>
      <c r="I32" s="962"/>
      <c r="J32" s="962"/>
      <c r="K32" s="962"/>
      <c r="L32" s="962"/>
      <c r="M32" s="39"/>
      <c r="N32" s="13"/>
      <c r="O32" s="13"/>
      <c r="P32" s="268"/>
      <c r="Q32" s="268"/>
      <c r="R32" s="268"/>
      <c r="S32" s="268"/>
      <c r="T32" s="36"/>
      <c r="U32" s="36"/>
      <c r="V32" s="13"/>
      <c r="W32" s="13"/>
      <c r="X32" s="13"/>
      <c r="Y32" s="13"/>
      <c r="Z32" s="13"/>
      <c r="AA32" s="13"/>
      <c r="AB32" s="13"/>
      <c r="AC32" s="13"/>
      <c r="AD32" s="13"/>
      <c r="AE32" s="13"/>
      <c r="AF32" s="13"/>
      <c r="AG32" s="13"/>
      <c r="AH32" s="13"/>
      <c r="AI32" s="13"/>
    </row>
    <row r="33" spans="1:71" ht="52.5" hidden="1">
      <c r="A33" s="13"/>
      <c r="B33" s="39"/>
      <c r="C33" s="791"/>
      <c r="D33" s="3"/>
      <c r="E33" s="26" t="s">
        <v>294</v>
      </c>
      <c r="F33" s="26" t="s">
        <v>696</v>
      </c>
      <c r="G33" s="26" t="s">
        <v>694</v>
      </c>
      <c r="H33" s="26" t="s">
        <v>697</v>
      </c>
      <c r="I33" s="26" t="s">
        <v>699</v>
      </c>
      <c r="J33" s="26" t="s">
        <v>700</v>
      </c>
      <c r="K33" s="26" t="s">
        <v>46</v>
      </c>
      <c r="L33" s="26" t="s">
        <v>33</v>
      </c>
      <c r="M33" s="39"/>
      <c r="N33" s="13"/>
      <c r="O33" s="13"/>
      <c r="P33" s="36"/>
      <c r="Q33" s="36"/>
      <c r="R33" s="268"/>
      <c r="S33" s="268"/>
      <c r="T33" s="268"/>
      <c r="U33" s="268"/>
      <c r="V33" s="13"/>
      <c r="W33" s="13"/>
      <c r="X33" s="13"/>
      <c r="Y33" s="13"/>
      <c r="Z33" s="13"/>
      <c r="AA33" s="13"/>
      <c r="AB33" s="13"/>
      <c r="AC33" s="13"/>
      <c r="AD33" s="13"/>
      <c r="AE33" s="13"/>
      <c r="AF33" s="13"/>
      <c r="AG33" s="13"/>
      <c r="AH33" s="13"/>
      <c r="AI33" s="13"/>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c r="BM33" s="12"/>
      <c r="BN33" s="12"/>
      <c r="BO33" s="12"/>
      <c r="BP33" s="12"/>
      <c r="BQ33" s="12"/>
      <c r="BR33" s="12"/>
      <c r="BS33" s="12"/>
    </row>
    <row r="34" spans="1:71" ht="18.75" hidden="1">
      <c r="A34" s="13"/>
      <c r="B34" s="39"/>
      <c r="C34" s="791"/>
      <c r="D34" s="16" t="s">
        <v>353</v>
      </c>
      <c r="E34" s="290" t="str">
        <f>IF(GuestUseIceMakers="Yes",IF(ISNUMBER($P$44),IF(K34&gt;0,$Q$44*$P$44,0),"Not Estimated"),"N/A")</f>
        <v>N/A</v>
      </c>
      <c r="F34" s="24" t="str">
        <f>IF(GuestUseIceMakers="Yes",ROUNDDOWN((SUM(Q12:Q14)+SUM(S12:S14))*$R$44,-2),"N/A")</f>
        <v>N/A</v>
      </c>
      <c r="G34" s="290" t="str">
        <f>IF(AND(GuestUseIceMakers="Yes",ConvertedWaterRate+ConvertedWastewaterRate&gt;0),ROUND(F34*(ConvertedWaterRate+ConvertedWastewaterRate),-1),"N/A")</f>
        <v>N/A</v>
      </c>
      <c r="H34" s="24" t="str">
        <f>IF(GuestUseIceMakers="Yes",ROUND(SUM(R12:R14)*$R$44,-1),"N/A")</f>
        <v>N/A</v>
      </c>
      <c r="I34" s="267" t="s">
        <v>772</v>
      </c>
      <c r="J34" s="290" t="str">
        <f>IF(GuestUseIceMakers="Yes",ROUND(ConvertedElectricityRate*H34,-1),"N/A")</f>
        <v>N/A</v>
      </c>
      <c r="K34" s="290" t="str">
        <f>IF(GuestUseIceMakers="Yes",SUM(G34,J34),"N/A")</f>
        <v>N/A</v>
      </c>
      <c r="L34" s="535" t="str">
        <f>IF(ISNUMBER($E34),IF(K34&gt;0,$E34/K34,0),IF($E34="Not Estimated","Not Estimated","N/A"))</f>
        <v>N/A</v>
      </c>
      <c r="M34" s="39"/>
      <c r="N34" s="13"/>
      <c r="O34" s="13"/>
      <c r="P34" s="36"/>
      <c r="Q34" s="36"/>
      <c r="R34" s="268"/>
      <c r="S34" s="268"/>
      <c r="T34" s="268"/>
      <c r="U34" s="268"/>
      <c r="V34" s="13"/>
      <c r="W34" s="13"/>
      <c r="X34" s="13"/>
      <c r="Y34" s="13"/>
      <c r="Z34" s="13"/>
      <c r="AA34" s="13"/>
      <c r="AB34" s="13"/>
      <c r="AC34" s="13"/>
      <c r="AD34" s="13"/>
      <c r="AE34" s="13"/>
      <c r="AF34" s="13"/>
      <c r="AG34" s="13"/>
      <c r="AH34" s="13"/>
      <c r="AI34" s="13"/>
      <c r="AJ34" s="12"/>
      <c r="AK34" s="12"/>
      <c r="AL34" s="12"/>
      <c r="AM34" s="12"/>
      <c r="AN34" s="12"/>
      <c r="AO34" s="12"/>
      <c r="AP34" s="12"/>
      <c r="AQ34" s="12"/>
      <c r="AR34" s="12"/>
      <c r="AS34" s="12"/>
      <c r="AT34" s="12"/>
      <c r="AU34" s="12"/>
      <c r="AV34" s="12"/>
      <c r="AW34" s="12"/>
      <c r="AX34" s="12"/>
      <c r="AY34" s="12"/>
      <c r="AZ34" s="12"/>
      <c r="BA34" s="12"/>
      <c r="BB34" s="12"/>
      <c r="BC34" s="12"/>
      <c r="BD34" s="12"/>
      <c r="BE34" s="12"/>
      <c r="BF34" s="12"/>
      <c r="BG34" s="12"/>
      <c r="BH34" s="12"/>
      <c r="BI34" s="12"/>
      <c r="BJ34" s="12"/>
      <c r="BK34" s="12"/>
      <c r="BL34" s="12"/>
      <c r="BM34" s="12"/>
      <c r="BN34" s="12"/>
      <c r="BO34" s="12"/>
      <c r="BP34" s="12"/>
      <c r="BQ34" s="12"/>
      <c r="BR34" s="12"/>
      <c r="BS34" s="12"/>
    </row>
    <row r="35" spans="1:71" ht="18.75" hidden="1">
      <c r="A35" s="13"/>
      <c r="B35" s="39"/>
      <c r="C35" s="791"/>
      <c r="D35" s="16" t="s">
        <v>226</v>
      </c>
      <c r="E35" s="290" t="str">
        <f>IF(GuestUseClothesWashers="Yes",IF(ISNUMBER($P$45),IF(K35&gt;0,$Q$45*$P$45,0),"Not Estimated"),"N/A")</f>
        <v>N/A</v>
      </c>
      <c r="F35" s="24" t="str">
        <f>IF(GuestUseClothesWashers="Yes",ROUNDDOWN((SUM(P20:P22)-SUM(Q20:Q22))*$R$45,-2),"N/A")</f>
        <v>N/A</v>
      </c>
      <c r="G35" s="290" t="str">
        <f>IF(AND(GuestUseClothesWashers="Yes",ConvertedWaterRate+ConvertedWastewaterRate&gt;0),ROUND(F35*(ConvertedWaterRate+ConvertedWastewaterRate),-1),"N/A")</f>
        <v>N/A</v>
      </c>
      <c r="H35" s="24" t="str">
        <f>IF(GuestUseClothesWashers="Yes",ROUND((SUM(R20:R22)-SUM(S20:S22))*$R$45,-1),"N/A")</f>
        <v>N/A</v>
      </c>
      <c r="I35" s="24" t="str">
        <f>IF(GuestUseClothesWashers="Yes",IF(HotWaterFuelType="Natural Gas",(SUM(T20:T22)-SUM(U20:U22))*$R$45,"—"),"N/A")</f>
        <v>N/A</v>
      </c>
      <c r="J35" s="290" t="str">
        <f>IF(GuestUseClothesWashers="Yes",ROUND(SUM(H35*ConvertedElectricityRate,IF(I35="—",0,I35)*ConvertedNaturalGasRate),-1),"N/A")</f>
        <v>N/A</v>
      </c>
      <c r="K35" s="290" t="str">
        <f>IF(GuestUseClothesWashers="Yes",SUM(G35,J35),"N/A")</f>
        <v>N/A</v>
      </c>
      <c r="L35" s="535" t="str">
        <f>IF(ISNUMBER($E35),IF(K35&gt;0,$E35/K35,0),IF($E35="Not Estimated","Not Estimated","N/A"))</f>
        <v>N/A</v>
      </c>
      <c r="M35" s="39"/>
      <c r="N35" s="13"/>
      <c r="O35" s="13"/>
      <c r="P35" s="36"/>
      <c r="Q35" s="36"/>
      <c r="R35" s="268"/>
      <c r="S35" s="268"/>
      <c r="T35" s="268"/>
      <c r="U35" s="268"/>
      <c r="V35" s="13"/>
      <c r="W35" s="13"/>
      <c r="X35" s="13"/>
      <c r="Y35" s="13"/>
      <c r="Z35" s="13"/>
      <c r="AA35" s="13"/>
      <c r="AB35" s="13"/>
      <c r="AC35" s="13"/>
      <c r="AD35" s="13"/>
      <c r="AE35" s="13"/>
      <c r="AF35" s="13"/>
      <c r="AG35" s="13"/>
      <c r="AH35" s="13"/>
      <c r="AI35" s="13"/>
      <c r="AJ35" s="12"/>
      <c r="AK35" s="12"/>
      <c r="AL35" s="12"/>
      <c r="AM35" s="12"/>
      <c r="AN35" s="12"/>
      <c r="AO35" s="12"/>
      <c r="AP35" s="12"/>
      <c r="AQ35" s="12"/>
      <c r="AR35" s="12"/>
      <c r="AS35" s="12"/>
      <c r="AT35" s="12"/>
      <c r="AU35" s="12"/>
      <c r="AV35" s="12"/>
      <c r="AW35" s="12"/>
      <c r="AX35" s="12"/>
      <c r="AY35" s="12"/>
      <c r="AZ35" s="12"/>
      <c r="BA35" s="12"/>
      <c r="BB35" s="12"/>
      <c r="BC35" s="12"/>
      <c r="BD35" s="12"/>
      <c r="BE35" s="12"/>
      <c r="BF35" s="12"/>
      <c r="BG35" s="12"/>
      <c r="BH35" s="12"/>
      <c r="BI35" s="12"/>
      <c r="BJ35" s="12"/>
      <c r="BK35" s="12"/>
      <c r="BL35" s="12"/>
      <c r="BM35" s="12"/>
      <c r="BN35" s="12"/>
      <c r="BO35" s="12"/>
      <c r="BP35" s="12"/>
      <c r="BQ35" s="12"/>
      <c r="BR35" s="12"/>
      <c r="BS35" s="12"/>
    </row>
    <row r="36" spans="1:71" ht="18.75" hidden="1">
      <c r="A36" s="13"/>
      <c r="B36" s="39"/>
      <c r="C36" s="791"/>
      <c r="D36" s="16" t="s">
        <v>343</v>
      </c>
      <c r="E36" s="465" t="str">
        <f>IF(OR(COUNTIF(E34:E35,"Not Estimated")&gt;0,AND(ISNUMBER(E34)=FALSE,ISNUMBER(E35)=FALSE)),"Not Estimated",SUM(E34:E35))</f>
        <v>Not Estimated</v>
      </c>
      <c r="F36" s="461" t="str">
        <f aca="true" t="shared" si="0" ref="F36:K36">IF(OR(ISNUMBER(F34),ISNUMBER(F35)),SUM(F34:F35),"N/A")</f>
        <v>N/A</v>
      </c>
      <c r="G36" s="465" t="str">
        <f t="shared" si="0"/>
        <v>N/A</v>
      </c>
      <c r="H36" s="461" t="str">
        <f t="shared" si="0"/>
        <v>N/A</v>
      </c>
      <c r="I36" s="461" t="str">
        <f t="shared" si="0"/>
        <v>N/A</v>
      </c>
      <c r="J36" s="465" t="str">
        <f t="shared" si="0"/>
        <v>N/A</v>
      </c>
      <c r="K36" s="465" t="str">
        <f t="shared" si="0"/>
        <v>N/A</v>
      </c>
      <c r="L36" s="464" t="str">
        <f>IF(ISNUMBER($E36),IF(K36&gt;0,$E36/K36,0),IF($E36="Not Estimated","Not Estimated","N/A"))</f>
        <v>Not Estimated</v>
      </c>
      <c r="M36" s="39"/>
      <c r="N36" s="13"/>
      <c r="O36" s="13"/>
      <c r="P36" s="36"/>
      <c r="Q36" s="36"/>
      <c r="R36" s="268"/>
      <c r="S36" s="268"/>
      <c r="T36" s="268"/>
      <c r="U36" s="268"/>
      <c r="V36" s="13"/>
      <c r="W36" s="13"/>
      <c r="X36" s="13"/>
      <c r="Y36" s="13"/>
      <c r="Z36" s="13"/>
      <c r="AA36" s="13"/>
      <c r="AB36" s="13"/>
      <c r="AC36" s="13"/>
      <c r="AD36" s="13"/>
      <c r="AE36" s="13"/>
      <c r="AF36" s="13"/>
      <c r="AG36" s="13"/>
      <c r="AH36" s="13"/>
      <c r="AI36" s="13"/>
      <c r="AJ36" s="12"/>
      <c r="AK36" s="12"/>
      <c r="AL36" s="12"/>
      <c r="AM36" s="12"/>
      <c r="AN36" s="12"/>
      <c r="AO36" s="12"/>
      <c r="AP36" s="12"/>
      <c r="AQ36" s="12"/>
      <c r="AR36" s="12"/>
      <c r="AS36" s="12"/>
      <c r="AT36" s="12"/>
      <c r="AU36" s="12"/>
      <c r="AV36" s="12"/>
      <c r="AW36" s="12"/>
      <c r="AX36" s="12"/>
      <c r="AY36" s="12"/>
      <c r="AZ36" s="12"/>
      <c r="BA36" s="12"/>
      <c r="BB36" s="12"/>
      <c r="BC36" s="12"/>
      <c r="BD36" s="12"/>
      <c r="BE36" s="12"/>
      <c r="BF36" s="12"/>
      <c r="BG36" s="12"/>
      <c r="BH36" s="12"/>
      <c r="BI36" s="12"/>
      <c r="BJ36" s="12"/>
      <c r="BK36" s="12"/>
      <c r="BL36" s="12"/>
      <c r="BM36" s="12"/>
      <c r="BN36" s="12"/>
      <c r="BO36" s="12"/>
      <c r="BP36" s="12"/>
      <c r="BQ36" s="12"/>
      <c r="BR36" s="12"/>
      <c r="BS36" s="12"/>
    </row>
    <row r="37" spans="1:48" s="394" customFormat="1" ht="33.75" customHeight="1" hidden="1">
      <c r="A37" s="392"/>
      <c r="B37" s="39"/>
      <c r="C37" s="788" t="s">
        <v>760</v>
      </c>
      <c r="D37" s="925" t="s">
        <v>762</v>
      </c>
      <c r="E37" s="925"/>
      <c r="F37" s="925"/>
      <c r="G37" s="925"/>
      <c r="H37" s="925"/>
      <c r="I37" s="925"/>
      <c r="J37" s="925"/>
      <c r="K37" s="925"/>
      <c r="L37" s="761"/>
      <c r="M37" s="39"/>
      <c r="N37" s="718"/>
      <c r="O37" s="718"/>
      <c r="P37" s="718"/>
      <c r="Q37" s="718"/>
      <c r="R37" s="718"/>
      <c r="S37" s="392"/>
      <c r="T37" s="392"/>
      <c r="U37" s="392"/>
      <c r="V37" s="392"/>
      <c r="W37" s="392"/>
      <c r="X37" s="392"/>
      <c r="Y37" s="392"/>
      <c r="Z37" s="392"/>
      <c r="AA37" s="392"/>
      <c r="AB37" s="392"/>
      <c r="AC37" s="392"/>
      <c r="AD37" s="392"/>
      <c r="AE37" s="392"/>
      <c r="AF37" s="392"/>
      <c r="AG37" s="13"/>
      <c r="AH37" s="13"/>
      <c r="AI37" s="13"/>
      <c r="AJ37" s="13"/>
      <c r="AK37" s="13"/>
      <c r="AL37" s="13"/>
      <c r="AM37" s="13"/>
      <c r="AN37" s="13"/>
      <c r="AO37" s="13"/>
      <c r="AP37" s="13"/>
      <c r="AQ37" s="13"/>
      <c r="AR37" s="13"/>
      <c r="AS37" s="13"/>
      <c r="AT37" s="13"/>
      <c r="AU37" s="13"/>
      <c r="AV37" s="13"/>
    </row>
    <row r="38" spans="1:37" s="394" customFormat="1" ht="28.5" customHeight="1" hidden="1">
      <c r="A38" s="392"/>
      <c r="B38" s="39"/>
      <c r="C38" s="790" t="s">
        <v>760</v>
      </c>
      <c r="D38" s="957" t="s">
        <v>716</v>
      </c>
      <c r="E38" s="957"/>
      <c r="F38" s="957"/>
      <c r="G38" s="958" t="s">
        <v>718</v>
      </c>
      <c r="H38" s="958"/>
      <c r="I38" s="958"/>
      <c r="J38" s="634"/>
      <c r="K38" s="634"/>
      <c r="L38" s="632"/>
      <c r="M38" s="39"/>
      <c r="N38" s="392"/>
      <c r="O38" s="392"/>
      <c r="P38" s="718"/>
      <c r="Q38" s="718"/>
      <c r="R38" s="718"/>
      <c r="S38" s="718"/>
      <c r="T38" s="718"/>
      <c r="U38" s="718"/>
      <c r="V38" s="392"/>
      <c r="W38" s="392"/>
      <c r="X38" s="392"/>
      <c r="Y38" s="392"/>
      <c r="Z38" s="392"/>
      <c r="AA38" s="392"/>
      <c r="AB38" s="392"/>
      <c r="AC38" s="392"/>
      <c r="AD38" s="392"/>
      <c r="AE38" s="392"/>
      <c r="AF38" s="392"/>
      <c r="AG38" s="13"/>
      <c r="AH38" s="13"/>
      <c r="AI38" s="13"/>
      <c r="AJ38" s="393"/>
      <c r="AK38" s="393"/>
    </row>
    <row r="39" spans="1:37" s="394" customFormat="1" ht="26.25" customHeight="1" hidden="1">
      <c r="A39" s="392"/>
      <c r="B39" s="39"/>
      <c r="C39" s="790" t="s">
        <v>760</v>
      </c>
      <c r="D39" s="957" t="s">
        <v>717</v>
      </c>
      <c r="E39" s="957"/>
      <c r="F39" s="957"/>
      <c r="G39" s="959" t="s">
        <v>719</v>
      </c>
      <c r="H39" s="959"/>
      <c r="I39" s="959"/>
      <c r="J39" s="634"/>
      <c r="K39" s="634"/>
      <c r="L39" s="632"/>
      <c r="M39" s="39"/>
      <c r="N39" s="392"/>
      <c r="O39" s="392"/>
      <c r="P39" s="718"/>
      <c r="Q39" s="718"/>
      <c r="R39" s="718"/>
      <c r="S39" s="718"/>
      <c r="T39" s="718"/>
      <c r="U39" s="718"/>
      <c r="V39" s="392"/>
      <c r="W39" s="392"/>
      <c r="X39" s="392"/>
      <c r="Y39" s="392"/>
      <c r="Z39" s="392"/>
      <c r="AA39" s="392"/>
      <c r="AB39" s="392"/>
      <c r="AC39" s="392"/>
      <c r="AD39" s="392"/>
      <c r="AE39" s="392"/>
      <c r="AF39" s="392"/>
      <c r="AG39" s="13"/>
      <c r="AH39" s="13"/>
      <c r="AI39" s="13"/>
      <c r="AJ39" s="393"/>
      <c r="AK39" s="393"/>
    </row>
    <row r="40" spans="1:69" ht="15" hidden="1">
      <c r="A40" s="13"/>
      <c r="B40" s="39"/>
      <c r="C40" s="39"/>
      <c r="D40" s="16"/>
      <c r="E40" s="28"/>
      <c r="F40" s="28"/>
      <c r="G40" s="28"/>
      <c r="I40" s="28"/>
      <c r="J40" s="29"/>
      <c r="K40" s="39"/>
      <c r="L40" s="39"/>
      <c r="M40" s="39"/>
      <c r="N40" s="13"/>
      <c r="O40" s="13"/>
      <c r="P40" s="268"/>
      <c r="Q40" s="268"/>
      <c r="R40" s="268"/>
      <c r="S40" s="268"/>
      <c r="T40" s="36"/>
      <c r="U40" s="36"/>
      <c r="V40" s="13"/>
      <c r="W40" s="13"/>
      <c r="X40" s="13"/>
      <c r="Y40" s="13"/>
      <c r="Z40" s="13"/>
      <c r="AA40" s="13"/>
      <c r="AB40" s="13"/>
      <c r="AC40" s="13"/>
      <c r="AD40" s="13"/>
      <c r="AE40" s="13"/>
      <c r="AF40" s="13"/>
      <c r="AG40" s="13"/>
      <c r="AH40" s="13"/>
      <c r="AI40" s="13"/>
      <c r="AJ40" s="12"/>
      <c r="AK40" s="12"/>
      <c r="AL40" s="12"/>
      <c r="AM40" s="12"/>
      <c r="AN40" s="12"/>
      <c r="AO40" s="12"/>
      <c r="AP40" s="12"/>
      <c r="AQ40" s="12"/>
      <c r="AR40" s="12"/>
      <c r="AS40" s="12"/>
      <c r="AT40" s="12"/>
      <c r="AU40" s="12"/>
      <c r="AV40" s="12"/>
      <c r="AW40" s="12"/>
      <c r="AX40" s="12"/>
      <c r="AY40" s="12"/>
      <c r="AZ40" s="12"/>
      <c r="BA40" s="12"/>
      <c r="BB40" s="12"/>
      <c r="BC40" s="12"/>
      <c r="BD40" s="12"/>
      <c r="BE40" s="12"/>
      <c r="BF40" s="12"/>
      <c r="BG40" s="12"/>
      <c r="BH40" s="12"/>
      <c r="BI40" s="12"/>
      <c r="BJ40" s="12"/>
      <c r="BK40" s="12"/>
      <c r="BL40" s="12"/>
      <c r="BM40" s="12"/>
      <c r="BN40" s="12"/>
      <c r="BO40" s="12"/>
      <c r="BP40" s="12"/>
      <c r="BQ40" s="12"/>
    </row>
    <row r="41" spans="1:69" ht="18.75" hidden="1">
      <c r="A41" s="13"/>
      <c r="B41" s="39"/>
      <c r="C41" s="872" t="s">
        <v>36</v>
      </c>
      <c r="D41" s="872"/>
      <c r="E41" s="872"/>
      <c r="F41" s="3"/>
      <c r="G41" s="3"/>
      <c r="H41" s="3"/>
      <c r="I41" s="3"/>
      <c r="J41" s="3"/>
      <c r="K41" s="39"/>
      <c r="L41" s="39"/>
      <c r="M41" s="39"/>
      <c r="N41" s="13"/>
      <c r="O41" s="13"/>
      <c r="P41" s="268"/>
      <c r="Q41" s="268"/>
      <c r="R41" s="268"/>
      <c r="S41" s="268"/>
      <c r="T41" s="36"/>
      <c r="U41" s="36"/>
      <c r="V41" s="13"/>
      <c r="W41" s="13"/>
      <c r="X41" s="13"/>
      <c r="Y41" s="13"/>
      <c r="Z41" s="13"/>
      <c r="AA41" s="13"/>
      <c r="AB41" s="13"/>
      <c r="AC41" s="13"/>
      <c r="AD41" s="13"/>
      <c r="AE41" s="13"/>
      <c r="AF41" s="13"/>
      <c r="AG41" s="13"/>
      <c r="AH41" s="13"/>
      <c r="AI41" s="13"/>
      <c r="AJ41" s="12"/>
      <c r="AK41" s="12"/>
      <c r="AL41" s="12"/>
      <c r="AM41" s="12"/>
      <c r="AN41" s="12"/>
      <c r="AO41" s="12"/>
      <c r="AP41" s="12"/>
      <c r="AQ41" s="12"/>
      <c r="AR41" s="12"/>
      <c r="AS41" s="12"/>
      <c r="AT41" s="12"/>
      <c r="AU41" s="12"/>
      <c r="AV41" s="12"/>
      <c r="AW41" s="12"/>
      <c r="AX41" s="12"/>
      <c r="AY41" s="12"/>
      <c r="AZ41" s="12"/>
      <c r="BA41" s="12"/>
      <c r="BB41" s="12"/>
      <c r="BC41" s="12"/>
      <c r="BD41" s="12"/>
      <c r="BE41" s="12"/>
      <c r="BF41" s="12"/>
      <c r="BG41" s="12"/>
      <c r="BH41" s="12"/>
      <c r="BI41" s="12"/>
      <c r="BJ41" s="12"/>
      <c r="BK41" s="12"/>
      <c r="BL41" s="12"/>
      <c r="BM41" s="12"/>
      <c r="BN41" s="12"/>
      <c r="BO41" s="12"/>
      <c r="BP41" s="12"/>
      <c r="BQ41" s="12"/>
    </row>
    <row r="42" spans="1:69" ht="24.75" customHeight="1" hidden="1">
      <c r="A42" s="13"/>
      <c r="B42" s="39"/>
      <c r="C42" s="936" t="s">
        <v>484</v>
      </c>
      <c r="D42" s="936"/>
      <c r="E42" s="936"/>
      <c r="F42" s="936"/>
      <c r="G42" s="936"/>
      <c r="H42" s="936"/>
      <c r="I42" s="936"/>
      <c r="J42" s="936"/>
      <c r="K42" s="936"/>
      <c r="L42" s="39"/>
      <c r="M42" s="39"/>
      <c r="N42" s="13"/>
      <c r="O42" s="13"/>
      <c r="P42" s="268"/>
      <c r="Q42" s="268"/>
      <c r="R42" s="268"/>
      <c r="S42" s="268"/>
      <c r="T42" s="36"/>
      <c r="U42" s="36"/>
      <c r="V42" s="13"/>
      <c r="W42" s="13"/>
      <c r="X42" s="13"/>
      <c r="Y42" s="13"/>
      <c r="Z42" s="13"/>
      <c r="AA42" s="13"/>
      <c r="AB42" s="13"/>
      <c r="AC42" s="13"/>
      <c r="AD42" s="13"/>
      <c r="AE42" s="13"/>
      <c r="AF42" s="13"/>
      <c r="AG42" s="13"/>
      <c r="AH42" s="13"/>
      <c r="AI42" s="13"/>
      <c r="AJ42" s="12"/>
      <c r="AK42" s="12"/>
      <c r="AL42" s="12"/>
      <c r="AM42" s="12"/>
      <c r="AN42" s="12"/>
      <c r="AO42" s="12"/>
      <c r="AP42" s="12"/>
      <c r="AQ42" s="12"/>
      <c r="AR42" s="12"/>
      <c r="AS42" s="12"/>
      <c r="AT42" s="12"/>
      <c r="AU42" s="12"/>
      <c r="AV42" s="12"/>
      <c r="AW42" s="12"/>
      <c r="AX42" s="12"/>
      <c r="AY42" s="12"/>
      <c r="AZ42" s="12"/>
      <c r="BA42" s="12"/>
      <c r="BB42" s="12"/>
      <c r="BC42" s="12"/>
      <c r="BD42" s="12"/>
      <c r="BE42" s="12"/>
      <c r="BF42" s="12"/>
      <c r="BG42" s="12"/>
      <c r="BH42" s="12"/>
      <c r="BI42" s="12"/>
      <c r="BJ42" s="12"/>
      <c r="BK42" s="12"/>
      <c r="BL42" s="12"/>
      <c r="BM42" s="12"/>
      <c r="BN42" s="12"/>
      <c r="BO42" s="12"/>
      <c r="BP42" s="12"/>
      <c r="BQ42" s="12"/>
    </row>
    <row r="43" spans="1:69" ht="26.25" hidden="1">
      <c r="A43" s="13"/>
      <c r="B43" s="39"/>
      <c r="C43" s="39"/>
      <c r="D43" s="397"/>
      <c r="E43" s="397"/>
      <c r="F43" s="399" t="s">
        <v>468</v>
      </c>
      <c r="G43" s="399" t="s">
        <v>485</v>
      </c>
      <c r="H43" s="399" t="s">
        <v>768</v>
      </c>
      <c r="I43" s="399" t="s">
        <v>769</v>
      </c>
      <c r="J43" s="397"/>
      <c r="K43" s="39"/>
      <c r="L43" s="39"/>
      <c r="M43" s="39"/>
      <c r="N43" s="13"/>
      <c r="O43" s="13"/>
      <c r="P43" s="725" t="s">
        <v>293</v>
      </c>
      <c r="Q43" s="716" t="s">
        <v>469</v>
      </c>
      <c r="R43" s="716" t="s">
        <v>476</v>
      </c>
      <c r="S43" s="268"/>
      <c r="T43" s="36"/>
      <c r="U43" s="36"/>
      <c r="V43" s="13"/>
      <c r="W43" s="13"/>
      <c r="X43" s="13"/>
      <c r="Y43" s="13"/>
      <c r="Z43" s="13"/>
      <c r="AA43" s="13"/>
      <c r="AB43" s="13"/>
      <c r="AC43" s="13"/>
      <c r="AD43" s="13"/>
      <c r="AE43" s="13"/>
      <c r="AF43" s="13"/>
      <c r="AG43" s="13"/>
      <c r="AH43" s="13"/>
      <c r="AI43" s="13"/>
      <c r="AJ43" s="12"/>
      <c r="AK43" s="12"/>
      <c r="AL43" s="12"/>
      <c r="AM43" s="12"/>
      <c r="AN43" s="12"/>
      <c r="AO43" s="12"/>
      <c r="AP43" s="12"/>
      <c r="AQ43" s="12"/>
      <c r="AR43" s="12"/>
      <c r="AS43" s="12"/>
      <c r="AT43" s="12"/>
      <c r="AU43" s="12"/>
      <c r="AV43" s="12"/>
      <c r="AW43" s="12"/>
      <c r="AX43" s="12"/>
      <c r="AY43" s="12"/>
      <c r="AZ43" s="12"/>
      <c r="BA43" s="12"/>
      <c r="BB43" s="12"/>
      <c r="BC43" s="12"/>
      <c r="BD43" s="12"/>
      <c r="BE43" s="12"/>
      <c r="BF43" s="12"/>
      <c r="BG43" s="12"/>
      <c r="BH43" s="12"/>
      <c r="BI43" s="12"/>
      <c r="BJ43" s="12"/>
      <c r="BK43" s="12"/>
      <c r="BL43" s="12"/>
      <c r="BM43" s="12"/>
      <c r="BN43" s="12"/>
      <c r="BO43" s="12"/>
      <c r="BP43" s="12"/>
      <c r="BQ43" s="12"/>
    </row>
    <row r="44" spans="1:69" ht="15" hidden="1">
      <c r="A44" s="13"/>
      <c r="B44" s="39"/>
      <c r="C44" s="39"/>
      <c r="D44" s="921" t="s">
        <v>460</v>
      </c>
      <c r="E44" s="922"/>
      <c r="F44" s="579">
        <f>SUM(G12:G14)-SUM(H12:H14)</f>
        <v>0</v>
      </c>
      <c r="G44" s="611"/>
      <c r="H44" s="395"/>
      <c r="I44" s="395"/>
      <c r="J44" s="960"/>
      <c r="K44" s="961"/>
      <c r="L44" s="39"/>
      <c r="M44" s="39"/>
      <c r="N44" s="13"/>
      <c r="O44" s="13"/>
      <c r="P44" s="719" t="str">
        <f>IF(ISNUMBER(H44),H44-I44,"Not Estimated")</f>
        <v>Not Estimated</v>
      </c>
      <c r="Q44" s="268">
        <f>IF(G44&lt;&gt;"",G44,F44)</f>
        <v>0</v>
      </c>
      <c r="R44" s="722">
        <f>IF(F44&gt;0,Q44/F44,0)</f>
        <v>0</v>
      </c>
      <c r="S44" s="268"/>
      <c r="T44" s="36"/>
      <c r="U44" s="36"/>
      <c r="V44" s="13"/>
      <c r="W44" s="13"/>
      <c r="X44" s="13"/>
      <c r="Y44" s="13"/>
      <c r="Z44" s="13"/>
      <c r="AA44" s="13"/>
      <c r="AB44" s="13"/>
      <c r="AC44" s="13"/>
      <c r="AD44" s="13"/>
      <c r="AE44" s="13"/>
      <c r="AF44" s="13"/>
      <c r="AG44" s="13"/>
      <c r="AH44" s="13"/>
      <c r="AI44" s="13"/>
      <c r="AJ44" s="12"/>
      <c r="AK44" s="12"/>
      <c r="AL44" s="12"/>
      <c r="AM44" s="12"/>
      <c r="AN44" s="12"/>
      <c r="AO44" s="12"/>
      <c r="AP44" s="12"/>
      <c r="AQ44" s="12"/>
      <c r="AR44" s="12"/>
      <c r="AS44" s="12"/>
      <c r="AT44" s="12"/>
      <c r="AU44" s="12"/>
      <c r="AV44" s="12"/>
      <c r="AW44" s="12"/>
      <c r="AX44" s="12"/>
      <c r="AY44" s="12"/>
      <c r="AZ44" s="12"/>
      <c r="BA44" s="12"/>
      <c r="BB44" s="12"/>
      <c r="BC44" s="12"/>
      <c r="BD44" s="12"/>
      <c r="BE44" s="12"/>
      <c r="BF44" s="12"/>
      <c r="BG44" s="12"/>
      <c r="BH44" s="12"/>
      <c r="BI44" s="12"/>
      <c r="BJ44" s="12"/>
      <c r="BK44" s="12"/>
      <c r="BL44" s="12"/>
      <c r="BM44" s="12"/>
      <c r="BN44" s="12"/>
      <c r="BO44" s="12"/>
      <c r="BP44" s="12"/>
      <c r="BQ44" s="12"/>
    </row>
    <row r="45" spans="1:35" s="12" customFormat="1" ht="15" hidden="1">
      <c r="A45" s="13"/>
      <c r="B45" s="46"/>
      <c r="C45" s="46"/>
      <c r="D45" s="921" t="s">
        <v>461</v>
      </c>
      <c r="E45" s="922"/>
      <c r="F45" s="579">
        <f>SUM(E20:E22)-SUM(F20:F22)</f>
        <v>0</v>
      </c>
      <c r="G45" s="611"/>
      <c r="H45" s="395"/>
      <c r="I45" s="395"/>
      <c r="J45" s="960"/>
      <c r="K45" s="961"/>
      <c r="L45" s="46"/>
      <c r="M45" s="46"/>
      <c r="N45" s="13"/>
      <c r="O45" s="13"/>
      <c r="P45" s="719" t="str">
        <f>IF(ISNUMBER(H45),H45-I45,"Not Estimated")</f>
        <v>Not Estimated</v>
      </c>
      <c r="Q45" s="268">
        <f>IF(G45&lt;&gt;"",G45,F45)</f>
        <v>0</v>
      </c>
      <c r="R45" s="722">
        <f>IF(F45&gt;0,Q45/F45,0)</f>
        <v>0</v>
      </c>
      <c r="S45" s="268"/>
      <c r="T45" s="36"/>
      <c r="U45" s="36"/>
      <c r="V45" s="13"/>
      <c r="W45" s="13"/>
      <c r="X45" s="13"/>
      <c r="Y45" s="13"/>
      <c r="Z45" s="13"/>
      <c r="AA45" s="13"/>
      <c r="AB45" s="13"/>
      <c r="AC45" s="13"/>
      <c r="AD45" s="13"/>
      <c r="AE45" s="13"/>
      <c r="AF45" s="13"/>
      <c r="AG45" s="13"/>
      <c r="AH45" s="13"/>
      <c r="AI45" s="13"/>
    </row>
    <row r="46" spans="1:35" s="12" customFormat="1" ht="15" hidden="1">
      <c r="A46" s="13"/>
      <c r="B46" s="46"/>
      <c r="C46" s="46"/>
      <c r="D46" s="304"/>
      <c r="E46" s="304"/>
      <c r="F46" s="307"/>
      <c r="G46" s="568"/>
      <c r="H46" s="310"/>
      <c r="I46" s="398"/>
      <c r="J46" s="3"/>
      <c r="K46" s="39"/>
      <c r="L46" s="46"/>
      <c r="M46" s="46"/>
      <c r="N46" s="13"/>
      <c r="O46" s="13"/>
      <c r="P46" s="268"/>
      <c r="Q46" s="268"/>
      <c r="R46" s="268"/>
      <c r="S46" s="268"/>
      <c r="T46" s="36"/>
      <c r="U46" s="36"/>
      <c r="V46" s="13"/>
      <c r="W46" s="13"/>
      <c r="X46" s="13"/>
      <c r="Y46" s="13"/>
      <c r="Z46" s="13"/>
      <c r="AA46" s="13"/>
      <c r="AB46" s="13"/>
      <c r="AC46" s="13"/>
      <c r="AD46" s="13"/>
      <c r="AE46" s="13"/>
      <c r="AF46" s="13"/>
      <c r="AG46" s="13"/>
      <c r="AH46" s="13"/>
      <c r="AI46" s="13"/>
    </row>
    <row r="47" spans="1:35" s="12" customFormat="1" ht="15" hidden="1">
      <c r="A47" s="13"/>
      <c r="B47" s="39"/>
      <c r="C47" s="39"/>
      <c r="D47" s="39"/>
      <c r="E47" s="39"/>
      <c r="F47" s="39"/>
      <c r="G47" s="39"/>
      <c r="H47" s="963"/>
      <c r="I47" s="963"/>
      <c r="J47" s="963"/>
      <c r="K47" s="46"/>
      <c r="L47" s="39"/>
      <c r="M47" s="39"/>
      <c r="N47" s="13"/>
      <c r="O47" s="13"/>
      <c r="P47" s="268"/>
      <c r="Q47" s="268"/>
      <c r="R47" s="268"/>
      <c r="S47" s="268"/>
      <c r="T47" s="36"/>
      <c r="U47" s="36"/>
      <c r="V47" s="13"/>
      <c r="W47" s="13"/>
      <c r="X47" s="13"/>
      <c r="Y47" s="13"/>
      <c r="Z47" s="13"/>
      <c r="AA47" s="13"/>
      <c r="AB47" s="13"/>
      <c r="AC47" s="13"/>
      <c r="AD47" s="13"/>
      <c r="AE47" s="13"/>
      <c r="AF47" s="13"/>
      <c r="AG47" s="13"/>
      <c r="AH47" s="13"/>
      <c r="AI47" s="13"/>
    </row>
    <row r="48" spans="1:35" s="12" customFormat="1" ht="18.75" hidden="1">
      <c r="A48" s="13"/>
      <c r="B48" s="46"/>
      <c r="C48" s="872" t="s">
        <v>767</v>
      </c>
      <c r="D48" s="872"/>
      <c r="E48" s="872"/>
      <c r="F48" s="456"/>
      <c r="G48" s="456"/>
      <c r="H48" s="964"/>
      <c r="I48" s="964"/>
      <c r="J48" s="964"/>
      <c r="K48" s="46"/>
      <c r="L48" s="46"/>
      <c r="M48" s="46"/>
      <c r="N48" s="13"/>
      <c r="O48" s="13"/>
      <c r="P48" s="268"/>
      <c r="Q48" s="268"/>
      <c r="R48" s="268"/>
      <c r="S48" s="268"/>
      <c r="T48" s="36"/>
      <c r="U48" s="36"/>
      <c r="V48" s="13"/>
      <c r="W48" s="13"/>
      <c r="X48" s="13"/>
      <c r="Y48" s="13"/>
      <c r="Z48" s="13"/>
      <c r="AA48" s="13"/>
      <c r="AB48" s="13"/>
      <c r="AC48" s="13"/>
      <c r="AD48" s="13"/>
      <c r="AE48" s="13"/>
      <c r="AF48" s="13"/>
      <c r="AG48" s="13"/>
      <c r="AH48" s="13"/>
      <c r="AI48" s="13"/>
    </row>
    <row r="49" spans="1:35" s="12" customFormat="1" ht="27" customHeight="1" hidden="1">
      <c r="A49" s="13"/>
      <c r="B49" s="410"/>
      <c r="C49" s="934" t="s">
        <v>801</v>
      </c>
      <c r="D49" s="934"/>
      <c r="E49" s="934"/>
      <c r="F49" s="934"/>
      <c r="G49" s="934"/>
      <c r="H49" s="934"/>
      <c r="I49" s="934"/>
      <c r="J49" s="934"/>
      <c r="K49" s="3"/>
      <c r="L49" s="3"/>
      <c r="M49" s="46"/>
      <c r="N49" s="13"/>
      <c r="O49" s="13"/>
      <c r="P49" s="36"/>
      <c r="Q49" s="36"/>
      <c r="R49" s="36"/>
      <c r="S49" s="36"/>
      <c r="T49" s="36"/>
      <c r="U49" s="36"/>
      <c r="V49" s="13"/>
      <c r="W49" s="13"/>
      <c r="X49" s="13"/>
      <c r="Y49" s="13"/>
      <c r="Z49" s="13"/>
      <c r="AA49" s="13"/>
      <c r="AB49" s="13"/>
      <c r="AC49" s="13"/>
      <c r="AD49" s="13"/>
      <c r="AE49" s="13"/>
      <c r="AF49" s="13"/>
      <c r="AG49" s="13"/>
      <c r="AH49" s="13"/>
      <c r="AI49" s="13"/>
    </row>
    <row r="50" spans="1:35" s="12" customFormat="1" ht="15" hidden="1">
      <c r="A50" s="13"/>
      <c r="B50" s="46"/>
      <c r="C50" s="46"/>
      <c r="D50" s="569"/>
      <c r="E50" s="569"/>
      <c r="F50" s="569"/>
      <c r="G50" s="528" t="s">
        <v>135</v>
      </c>
      <c r="H50" s="528" t="s">
        <v>136</v>
      </c>
      <c r="I50" s="39"/>
      <c r="J50" s="39"/>
      <c r="K50" s="46"/>
      <c r="L50" s="46"/>
      <c r="M50" s="46"/>
      <c r="N50" s="13"/>
      <c r="O50" s="13"/>
      <c r="P50" s="268"/>
      <c r="Q50" s="268"/>
      <c r="R50" s="268"/>
      <c r="S50" s="268"/>
      <c r="T50" s="36"/>
      <c r="U50" s="36"/>
      <c r="V50" s="13"/>
      <c r="W50" s="13"/>
      <c r="X50" s="13"/>
      <c r="Y50" s="13"/>
      <c r="Z50" s="13"/>
      <c r="AA50" s="13"/>
      <c r="AB50" s="13"/>
      <c r="AC50" s="13"/>
      <c r="AD50" s="13"/>
      <c r="AE50" s="13"/>
      <c r="AF50" s="13"/>
      <c r="AG50" s="13"/>
      <c r="AH50" s="13"/>
      <c r="AI50" s="13"/>
    </row>
    <row r="51" spans="1:35" s="12" customFormat="1" ht="15" hidden="1">
      <c r="A51" s="13"/>
      <c r="B51" s="46"/>
      <c r="C51" s="965" t="s">
        <v>434</v>
      </c>
      <c r="D51" s="965"/>
      <c r="E51" s="965"/>
      <c r="F51" s="966"/>
      <c r="G51" s="575">
        <v>0.12295918367346936</v>
      </c>
      <c r="H51" s="575">
        <v>0.04948979591836734</v>
      </c>
      <c r="I51" s="39"/>
      <c r="J51" s="39"/>
      <c r="K51" s="46"/>
      <c r="L51" s="46"/>
      <c r="M51" s="46"/>
      <c r="N51" s="13"/>
      <c r="O51" s="13"/>
      <c r="P51" s="268"/>
      <c r="Q51" s="268"/>
      <c r="R51" s="268"/>
      <c r="S51" s="268"/>
      <c r="T51" s="36"/>
      <c r="U51" s="36"/>
      <c r="V51" s="13"/>
      <c r="W51" s="13"/>
      <c r="X51" s="13"/>
      <c r="Y51" s="13"/>
      <c r="Z51" s="13"/>
      <c r="AA51" s="13"/>
      <c r="AB51" s="13"/>
      <c r="AC51" s="13"/>
      <c r="AD51" s="13"/>
      <c r="AE51" s="13"/>
      <c r="AF51" s="13"/>
      <c r="AG51" s="13"/>
      <c r="AH51" s="13"/>
      <c r="AI51" s="13"/>
    </row>
    <row r="52" spans="1:35" s="12" customFormat="1" ht="15" hidden="1">
      <c r="A52" s="13"/>
      <c r="B52" s="46"/>
      <c r="C52" s="965" t="s">
        <v>435</v>
      </c>
      <c r="D52" s="965"/>
      <c r="E52" s="965"/>
      <c r="F52" s="966"/>
      <c r="G52" s="575">
        <v>0</v>
      </c>
      <c r="H52" s="575">
        <v>0</v>
      </c>
      <c r="I52" s="39"/>
      <c r="J52" s="39"/>
      <c r="K52" s="46"/>
      <c r="L52" s="46"/>
      <c r="M52" s="46"/>
      <c r="N52" s="13"/>
      <c r="O52" s="13"/>
      <c r="P52" s="268"/>
      <c r="Q52" s="268"/>
      <c r="R52" s="268"/>
      <c r="S52" s="268"/>
      <c r="T52" s="36"/>
      <c r="U52" s="36"/>
      <c r="V52" s="13"/>
      <c r="W52" s="13"/>
      <c r="X52" s="13"/>
      <c r="Y52" s="13"/>
      <c r="Z52" s="13"/>
      <c r="AA52" s="13"/>
      <c r="AB52" s="13"/>
      <c r="AC52" s="13"/>
      <c r="AD52" s="13"/>
      <c r="AE52" s="13"/>
      <c r="AF52" s="13"/>
      <c r="AG52" s="13"/>
      <c r="AH52" s="13"/>
      <c r="AI52" s="13"/>
    </row>
    <row r="53" spans="1:35" s="12" customFormat="1" ht="15" hidden="1">
      <c r="A53" s="13"/>
      <c r="B53" s="46"/>
      <c r="C53" s="965" t="s">
        <v>770</v>
      </c>
      <c r="D53" s="965"/>
      <c r="E53" s="965"/>
      <c r="F53" s="966"/>
      <c r="G53" s="542">
        <v>23.799999999999997</v>
      </c>
      <c r="H53" s="542">
        <v>12.6</v>
      </c>
      <c r="I53" s="39"/>
      <c r="J53" s="39"/>
      <c r="K53" s="46"/>
      <c r="L53" s="46"/>
      <c r="M53" s="46"/>
      <c r="N53" s="13"/>
      <c r="O53" s="13"/>
      <c r="P53" s="268"/>
      <c r="Q53" s="268"/>
      <c r="R53" s="268"/>
      <c r="S53" s="268"/>
      <c r="T53" s="36"/>
      <c r="U53" s="36"/>
      <c r="V53" s="13"/>
      <c r="W53" s="13"/>
      <c r="X53" s="13"/>
      <c r="Y53" s="13"/>
      <c r="Z53" s="13"/>
      <c r="AA53" s="13"/>
      <c r="AB53" s="13"/>
      <c r="AC53" s="13"/>
      <c r="AD53" s="13"/>
      <c r="AE53" s="13"/>
      <c r="AF53" s="13"/>
      <c r="AG53" s="13"/>
      <c r="AH53" s="13"/>
      <c r="AI53" s="13"/>
    </row>
    <row r="54" spans="1:35" s="12" customFormat="1" ht="15" hidden="1">
      <c r="A54" s="13"/>
      <c r="B54" s="46"/>
      <c r="C54" s="965" t="s">
        <v>771</v>
      </c>
      <c r="D54" s="965"/>
      <c r="E54" s="965"/>
      <c r="F54" s="966"/>
      <c r="G54" s="542">
        <v>15.399999999999999</v>
      </c>
      <c r="H54" s="542">
        <v>12.6</v>
      </c>
      <c r="I54" s="39"/>
      <c r="J54" s="39"/>
      <c r="K54" s="46"/>
      <c r="L54" s="46"/>
      <c r="M54" s="46"/>
      <c r="N54" s="13"/>
      <c r="O54" s="13"/>
      <c r="P54" s="268"/>
      <c r="Q54" s="268"/>
      <c r="R54" s="268"/>
      <c r="S54" s="268"/>
      <c r="T54" s="36"/>
      <c r="U54" s="36"/>
      <c r="V54" s="13"/>
      <c r="W54" s="13"/>
      <c r="X54" s="13"/>
      <c r="Y54" s="13"/>
      <c r="Z54" s="13"/>
      <c r="AA54" s="13"/>
      <c r="AB54" s="13"/>
      <c r="AC54" s="13"/>
      <c r="AD54" s="13"/>
      <c r="AE54" s="13"/>
      <c r="AF54" s="13"/>
      <c r="AG54" s="13"/>
      <c r="AH54" s="13"/>
      <c r="AI54" s="13"/>
    </row>
    <row r="55" spans="1:35" s="12" customFormat="1" ht="15" customHeight="1" hidden="1">
      <c r="A55" s="13"/>
      <c r="B55" s="46"/>
      <c r="C55" s="965" t="s">
        <v>359</v>
      </c>
      <c r="D55" s="965"/>
      <c r="E55" s="965"/>
      <c r="F55" s="966"/>
      <c r="G55" s="542">
        <v>1.5</v>
      </c>
      <c r="H55" s="542" t="s">
        <v>45</v>
      </c>
      <c r="I55" s="39"/>
      <c r="J55" s="39"/>
      <c r="L55" s="46"/>
      <c r="M55" s="46"/>
      <c r="N55" s="13"/>
      <c r="O55" s="13"/>
      <c r="P55" s="268"/>
      <c r="Q55" s="268"/>
      <c r="R55" s="268"/>
      <c r="S55" s="268"/>
      <c r="T55" s="36"/>
      <c r="U55" s="36"/>
      <c r="V55" s="13"/>
      <c r="W55" s="13"/>
      <c r="X55" s="13"/>
      <c r="Y55" s="13"/>
      <c r="Z55" s="13"/>
      <c r="AA55" s="13"/>
      <c r="AB55" s="13"/>
      <c r="AC55" s="13"/>
      <c r="AD55" s="13"/>
      <c r="AE55" s="13"/>
      <c r="AF55" s="13"/>
      <c r="AG55" s="13"/>
      <c r="AH55" s="13"/>
      <c r="AI55" s="13"/>
    </row>
    <row r="56" spans="1:35" s="12" customFormat="1" ht="15" hidden="1">
      <c r="A56" s="13"/>
      <c r="B56" s="46"/>
      <c r="C56" s="46"/>
      <c r="D56" s="938"/>
      <c r="E56" s="938"/>
      <c r="F56" s="938"/>
      <c r="G56" s="39"/>
      <c r="H56" s="89"/>
      <c r="I56" s="39"/>
      <c r="J56" s="39"/>
      <c r="K56" s="39"/>
      <c r="L56" s="46"/>
      <c r="M56" s="46"/>
      <c r="N56" s="13"/>
      <c r="O56" s="13"/>
      <c r="P56" s="268"/>
      <c r="Q56" s="268"/>
      <c r="R56" s="268"/>
      <c r="S56" s="268"/>
      <c r="T56" s="36"/>
      <c r="U56" s="36"/>
      <c r="V56" s="13"/>
      <c r="W56" s="13"/>
      <c r="X56" s="13"/>
      <c r="Y56" s="13"/>
      <c r="Z56" s="13"/>
      <c r="AA56" s="13"/>
      <c r="AB56" s="13"/>
      <c r="AC56" s="13"/>
      <c r="AD56" s="13"/>
      <c r="AE56" s="13"/>
      <c r="AF56" s="13"/>
      <c r="AG56" s="13"/>
      <c r="AH56" s="13"/>
      <c r="AI56" s="13"/>
    </row>
    <row r="57" spans="1:32" s="12" customFormat="1" ht="51" customHeight="1" hidden="1">
      <c r="A57" s="13"/>
      <c r="B57" s="39"/>
      <c r="C57" s="39"/>
      <c r="E57" s="967" t="s">
        <v>720</v>
      </c>
      <c r="F57" s="967"/>
      <c r="G57" s="967"/>
      <c r="H57" s="967"/>
      <c r="I57" s="967"/>
      <c r="J57" s="302"/>
      <c r="K57" s="302"/>
      <c r="L57" s="39"/>
      <c r="M57" s="39"/>
      <c r="N57" s="13"/>
      <c r="O57" s="13"/>
      <c r="P57" s="13"/>
      <c r="Q57" s="13"/>
      <c r="R57" s="13"/>
      <c r="S57" s="13"/>
      <c r="T57" s="13"/>
      <c r="U57" s="13"/>
      <c r="V57" s="13"/>
      <c r="W57" s="13"/>
      <c r="X57" s="13"/>
      <c r="Y57" s="13"/>
      <c r="Z57" s="13"/>
      <c r="AA57" s="13"/>
      <c r="AB57" s="13"/>
      <c r="AC57" s="13"/>
      <c r="AD57" s="13"/>
      <c r="AE57" s="13"/>
      <c r="AF57" s="13"/>
    </row>
    <row r="58" spans="1:35" s="12" customFormat="1" ht="15">
      <c r="A58" s="13"/>
      <c r="B58" s="654" t="s">
        <v>877</v>
      </c>
      <c r="C58" s="37"/>
      <c r="D58" s="37"/>
      <c r="E58" s="37"/>
      <c r="F58" s="37"/>
      <c r="G58" s="37"/>
      <c r="H58" s="37"/>
      <c r="I58" s="37"/>
      <c r="J58" s="37"/>
      <c r="K58" s="37"/>
      <c r="L58" s="37"/>
      <c r="M58" s="37"/>
      <c r="N58" s="13"/>
      <c r="O58" s="13"/>
      <c r="P58" s="295"/>
      <c r="Q58" s="295"/>
      <c r="R58" s="295"/>
      <c r="S58" s="295"/>
      <c r="T58" s="13"/>
      <c r="U58" s="13"/>
      <c r="V58" s="13"/>
      <c r="W58" s="13"/>
      <c r="X58" s="13"/>
      <c r="Y58" s="13"/>
      <c r="Z58" s="13"/>
      <c r="AA58" s="13"/>
      <c r="AB58" s="13"/>
      <c r="AC58" s="13"/>
      <c r="AD58" s="13"/>
      <c r="AE58" s="13"/>
      <c r="AF58" s="13"/>
      <c r="AG58" s="13"/>
      <c r="AH58" s="13"/>
      <c r="AI58" s="13"/>
    </row>
    <row r="59" spans="1:35" s="12" customFormat="1" ht="15">
      <c r="A59" s="13"/>
      <c r="B59" s="37"/>
      <c r="C59" s="37"/>
      <c r="D59" s="37"/>
      <c r="E59" s="37"/>
      <c r="F59" s="37"/>
      <c r="G59" s="37"/>
      <c r="H59" s="37"/>
      <c r="I59" s="37"/>
      <c r="J59" s="37"/>
      <c r="K59" s="37"/>
      <c r="L59" s="37"/>
      <c r="M59" s="37"/>
      <c r="N59" s="13"/>
      <c r="O59" s="13"/>
      <c r="P59" s="295"/>
      <c r="Q59" s="295"/>
      <c r="R59" s="295"/>
      <c r="S59" s="295"/>
      <c r="T59" s="13"/>
      <c r="U59" s="13"/>
      <c r="V59" s="13"/>
      <c r="W59" s="13"/>
      <c r="X59" s="13"/>
      <c r="Y59" s="13"/>
      <c r="Z59" s="13"/>
      <c r="AA59" s="13"/>
      <c r="AB59" s="13"/>
      <c r="AC59" s="13"/>
      <c r="AD59" s="13"/>
      <c r="AE59" s="13"/>
      <c r="AF59" s="13"/>
      <c r="AG59" s="13"/>
      <c r="AH59" s="13"/>
      <c r="AI59" s="13"/>
    </row>
    <row r="60" spans="1:35" s="12" customFormat="1" ht="15">
      <c r="A60" s="13"/>
      <c r="B60" s="37"/>
      <c r="C60" s="37"/>
      <c r="D60" s="37"/>
      <c r="E60" s="37"/>
      <c r="F60" s="37"/>
      <c r="G60" s="37"/>
      <c r="H60" s="37"/>
      <c r="I60" s="37"/>
      <c r="J60" s="37"/>
      <c r="K60" s="37"/>
      <c r="L60" s="37"/>
      <c r="M60" s="37"/>
      <c r="N60" s="13"/>
      <c r="O60" s="13"/>
      <c r="P60" s="295"/>
      <c r="Q60" s="295"/>
      <c r="R60" s="295"/>
      <c r="S60" s="295"/>
      <c r="T60" s="13"/>
      <c r="U60" s="13"/>
      <c r="V60" s="13"/>
      <c r="W60" s="13"/>
      <c r="X60" s="13"/>
      <c r="Y60" s="13"/>
      <c r="Z60" s="13"/>
      <c r="AA60" s="13"/>
      <c r="AB60" s="13"/>
      <c r="AC60" s="13"/>
      <c r="AD60" s="13"/>
      <c r="AE60" s="13"/>
      <c r="AF60" s="13"/>
      <c r="AG60" s="13"/>
      <c r="AH60" s="13"/>
      <c r="AI60" s="13"/>
    </row>
    <row r="61" spans="1:35" s="12" customFormat="1" ht="15">
      <c r="A61" s="13"/>
      <c r="B61" s="37"/>
      <c r="C61" s="37"/>
      <c r="D61" s="37"/>
      <c r="E61" s="37"/>
      <c r="F61" s="37"/>
      <c r="G61" s="37"/>
      <c r="H61" s="37"/>
      <c r="I61" s="37"/>
      <c r="J61" s="37"/>
      <c r="K61" s="37"/>
      <c r="L61" s="37"/>
      <c r="M61" s="37"/>
      <c r="N61" s="13"/>
      <c r="O61" s="13"/>
      <c r="P61" s="295"/>
      <c r="Q61" s="295"/>
      <c r="R61" s="295"/>
      <c r="S61" s="295"/>
      <c r="T61" s="13"/>
      <c r="U61" s="13"/>
      <c r="V61" s="13"/>
      <c r="W61" s="13"/>
      <c r="X61" s="13"/>
      <c r="Y61" s="13"/>
      <c r="Z61" s="13"/>
      <c r="AA61" s="13"/>
      <c r="AB61" s="13"/>
      <c r="AC61" s="13"/>
      <c r="AD61" s="13"/>
      <c r="AE61" s="13"/>
      <c r="AF61" s="13"/>
      <c r="AG61" s="13"/>
      <c r="AH61" s="13"/>
      <c r="AI61" s="13"/>
    </row>
    <row r="62" spans="1:35" s="12" customFormat="1" ht="15">
      <c r="A62" s="13"/>
      <c r="B62" s="37"/>
      <c r="C62" s="37"/>
      <c r="D62" s="37"/>
      <c r="E62" s="37"/>
      <c r="F62" s="37"/>
      <c r="G62" s="37"/>
      <c r="H62" s="37"/>
      <c r="I62" s="37"/>
      <c r="J62" s="37"/>
      <c r="K62" s="37"/>
      <c r="L62" s="37"/>
      <c r="M62" s="37"/>
      <c r="N62" s="13"/>
      <c r="O62" s="13"/>
      <c r="P62" s="295"/>
      <c r="Q62" s="295"/>
      <c r="R62" s="295"/>
      <c r="S62" s="295"/>
      <c r="T62" s="13"/>
      <c r="U62" s="13"/>
      <c r="V62" s="13"/>
      <c r="W62" s="13"/>
      <c r="X62" s="13"/>
      <c r="Y62" s="13"/>
      <c r="Z62" s="13"/>
      <c r="AA62" s="13"/>
      <c r="AB62" s="13"/>
      <c r="AC62" s="13"/>
      <c r="AD62" s="13"/>
      <c r="AE62" s="13"/>
      <c r="AF62" s="13"/>
      <c r="AG62" s="13"/>
      <c r="AH62" s="13"/>
      <c r="AI62" s="13"/>
    </row>
    <row r="63" spans="1:35" s="12" customFormat="1" ht="15">
      <c r="A63" s="13"/>
      <c r="B63" s="37"/>
      <c r="C63" s="37"/>
      <c r="D63" s="37"/>
      <c r="E63" s="37"/>
      <c r="F63" s="37"/>
      <c r="G63" s="37"/>
      <c r="H63" s="37"/>
      <c r="I63" s="37"/>
      <c r="J63" s="37"/>
      <c r="K63" s="37"/>
      <c r="L63" s="37"/>
      <c r="M63" s="37"/>
      <c r="N63" s="13"/>
      <c r="O63" s="13"/>
      <c r="P63" s="295"/>
      <c r="Q63" s="295"/>
      <c r="R63" s="295"/>
      <c r="S63" s="295"/>
      <c r="T63" s="13"/>
      <c r="U63" s="13"/>
      <c r="V63" s="13"/>
      <c r="W63" s="13"/>
      <c r="X63" s="13"/>
      <c r="Y63" s="13"/>
      <c r="Z63" s="13"/>
      <c r="AA63" s="13"/>
      <c r="AB63" s="13"/>
      <c r="AC63" s="13"/>
      <c r="AD63" s="13"/>
      <c r="AE63" s="13"/>
      <c r="AF63" s="13"/>
      <c r="AG63" s="13"/>
      <c r="AH63" s="13"/>
      <c r="AI63" s="13"/>
    </row>
    <row r="64" spans="1:35" s="12" customFormat="1" ht="15">
      <c r="A64" s="13"/>
      <c r="B64" s="37"/>
      <c r="C64" s="37"/>
      <c r="D64" s="37"/>
      <c r="E64" s="37"/>
      <c r="F64" s="37"/>
      <c r="G64" s="37"/>
      <c r="H64" s="37"/>
      <c r="I64" s="37"/>
      <c r="J64" s="37"/>
      <c r="K64" s="37"/>
      <c r="L64" s="37"/>
      <c r="M64" s="37"/>
      <c r="N64" s="13"/>
      <c r="O64" s="13"/>
      <c r="P64" s="295"/>
      <c r="Q64" s="295"/>
      <c r="R64" s="295"/>
      <c r="S64" s="295"/>
      <c r="T64" s="13"/>
      <c r="U64" s="13"/>
      <c r="V64" s="13"/>
      <c r="W64" s="13"/>
      <c r="X64" s="13"/>
      <c r="Y64" s="13"/>
      <c r="Z64" s="13"/>
      <c r="AA64" s="13"/>
      <c r="AB64" s="13"/>
      <c r="AC64" s="13"/>
      <c r="AD64" s="13"/>
      <c r="AE64" s="13"/>
      <c r="AF64" s="13"/>
      <c r="AG64" s="13"/>
      <c r="AH64" s="13"/>
      <c r="AI64" s="13"/>
    </row>
    <row r="65" spans="1:35" s="12" customFormat="1" ht="15">
      <c r="A65" s="13"/>
      <c r="B65" s="37"/>
      <c r="C65" s="37"/>
      <c r="D65" s="37"/>
      <c r="E65" s="37"/>
      <c r="F65" s="37"/>
      <c r="G65" s="37"/>
      <c r="H65" s="37"/>
      <c r="I65" s="37"/>
      <c r="J65" s="37"/>
      <c r="K65" s="37"/>
      <c r="L65" s="37"/>
      <c r="M65" s="37"/>
      <c r="N65" s="13"/>
      <c r="O65" s="13"/>
      <c r="P65" s="295"/>
      <c r="Q65" s="295"/>
      <c r="R65" s="295"/>
      <c r="S65" s="295"/>
      <c r="T65" s="13"/>
      <c r="U65" s="13"/>
      <c r="V65" s="13"/>
      <c r="W65" s="13"/>
      <c r="X65" s="13"/>
      <c r="Y65" s="13"/>
      <c r="Z65" s="13"/>
      <c r="AA65" s="13"/>
      <c r="AB65" s="13"/>
      <c r="AC65" s="13"/>
      <c r="AD65" s="13"/>
      <c r="AE65" s="13"/>
      <c r="AF65" s="13"/>
      <c r="AG65" s="13"/>
      <c r="AH65" s="13"/>
      <c r="AI65" s="13"/>
    </row>
    <row r="66" spans="1:35" s="12" customFormat="1" ht="15">
      <c r="A66" s="13"/>
      <c r="B66" s="37"/>
      <c r="C66" s="37"/>
      <c r="D66" s="37"/>
      <c r="E66" s="37"/>
      <c r="F66" s="37"/>
      <c r="G66" s="37"/>
      <c r="H66" s="37"/>
      <c r="I66" s="37"/>
      <c r="J66" s="37"/>
      <c r="K66" s="37"/>
      <c r="L66" s="37"/>
      <c r="M66" s="37"/>
      <c r="N66" s="13"/>
      <c r="O66" s="13"/>
      <c r="P66" s="295"/>
      <c r="Q66" s="295"/>
      <c r="R66" s="295"/>
      <c r="S66" s="295"/>
      <c r="T66" s="13"/>
      <c r="U66" s="13"/>
      <c r="V66" s="13"/>
      <c r="W66" s="13"/>
      <c r="X66" s="13"/>
      <c r="Y66" s="13"/>
      <c r="Z66" s="13"/>
      <c r="AA66" s="13"/>
      <c r="AB66" s="13"/>
      <c r="AC66" s="13"/>
      <c r="AD66" s="13"/>
      <c r="AE66" s="13"/>
      <c r="AF66" s="13"/>
      <c r="AG66" s="13"/>
      <c r="AH66" s="13"/>
      <c r="AI66" s="13"/>
    </row>
    <row r="67" spans="1:35" s="12" customFormat="1" ht="15">
      <c r="A67" s="13"/>
      <c r="B67" s="37"/>
      <c r="C67" s="37"/>
      <c r="D67" s="37"/>
      <c r="E67" s="37"/>
      <c r="F67" s="37"/>
      <c r="G67" s="37"/>
      <c r="H67" s="37"/>
      <c r="I67" s="37"/>
      <c r="J67" s="37"/>
      <c r="K67" s="37"/>
      <c r="L67" s="37"/>
      <c r="M67" s="37"/>
      <c r="N67" s="13"/>
      <c r="O67" s="13"/>
      <c r="P67" s="295"/>
      <c r="Q67" s="295"/>
      <c r="R67" s="295"/>
      <c r="S67" s="295"/>
      <c r="T67" s="13"/>
      <c r="U67" s="13"/>
      <c r="V67" s="13"/>
      <c r="W67" s="13"/>
      <c r="X67" s="13"/>
      <c r="Y67" s="13"/>
      <c r="Z67" s="13"/>
      <c r="AA67" s="13"/>
      <c r="AB67" s="13"/>
      <c r="AC67" s="13"/>
      <c r="AD67" s="13"/>
      <c r="AE67" s="13"/>
      <c r="AF67" s="13"/>
      <c r="AG67" s="13"/>
      <c r="AH67" s="13"/>
      <c r="AI67" s="13"/>
    </row>
    <row r="68" spans="1:35" s="12" customFormat="1" ht="15">
      <c r="A68" s="13"/>
      <c r="B68" s="37"/>
      <c r="C68" s="37"/>
      <c r="D68" s="37"/>
      <c r="E68" s="37"/>
      <c r="F68" s="37"/>
      <c r="G68" s="37"/>
      <c r="H68" s="37"/>
      <c r="I68" s="37"/>
      <c r="J68" s="37"/>
      <c r="K68" s="37"/>
      <c r="L68" s="37"/>
      <c r="M68" s="37"/>
      <c r="N68" s="13"/>
      <c r="O68" s="13"/>
      <c r="P68" s="295"/>
      <c r="Q68" s="295"/>
      <c r="R68" s="295"/>
      <c r="S68" s="295"/>
      <c r="T68" s="13"/>
      <c r="U68" s="13"/>
      <c r="V68" s="13"/>
      <c r="W68" s="13"/>
      <c r="X68" s="13"/>
      <c r="Y68" s="13"/>
      <c r="Z68" s="13"/>
      <c r="AA68" s="13"/>
      <c r="AB68" s="13"/>
      <c r="AC68" s="13"/>
      <c r="AD68" s="13"/>
      <c r="AE68" s="13"/>
      <c r="AF68" s="13"/>
      <c r="AG68" s="13"/>
      <c r="AH68" s="13"/>
      <c r="AI68" s="13"/>
    </row>
    <row r="69" spans="1:35" s="12" customFormat="1" ht="15">
      <c r="A69" s="13"/>
      <c r="B69" s="37"/>
      <c r="C69" s="37"/>
      <c r="D69" s="37"/>
      <c r="E69" s="37"/>
      <c r="F69" s="37"/>
      <c r="G69" s="37"/>
      <c r="H69" s="37"/>
      <c r="I69" s="37"/>
      <c r="J69" s="37"/>
      <c r="K69" s="37"/>
      <c r="L69" s="37"/>
      <c r="M69" s="37"/>
      <c r="N69" s="13"/>
      <c r="O69" s="13"/>
      <c r="P69" s="295"/>
      <c r="Q69" s="295"/>
      <c r="R69" s="295"/>
      <c r="S69" s="295"/>
      <c r="T69" s="13"/>
      <c r="U69" s="13"/>
      <c r="V69" s="13"/>
      <c r="W69" s="13"/>
      <c r="X69" s="13"/>
      <c r="Y69" s="13"/>
      <c r="Z69" s="13"/>
      <c r="AA69" s="13"/>
      <c r="AB69" s="13"/>
      <c r="AC69" s="13"/>
      <c r="AD69" s="13"/>
      <c r="AE69" s="13"/>
      <c r="AF69" s="13"/>
      <c r="AG69" s="13"/>
      <c r="AH69" s="13"/>
      <c r="AI69" s="13"/>
    </row>
    <row r="70" spans="1:35" s="12" customFormat="1" ht="15">
      <c r="A70" s="13"/>
      <c r="B70" s="37"/>
      <c r="C70" s="37"/>
      <c r="D70" s="37"/>
      <c r="E70" s="37"/>
      <c r="F70" s="37"/>
      <c r="G70" s="37"/>
      <c r="H70" s="37"/>
      <c r="I70" s="37"/>
      <c r="J70" s="37"/>
      <c r="K70" s="37"/>
      <c r="L70" s="37"/>
      <c r="M70" s="37"/>
      <c r="N70" s="13"/>
      <c r="O70" s="13"/>
      <c r="P70" s="295"/>
      <c r="Q70" s="295"/>
      <c r="R70" s="295"/>
      <c r="S70" s="295"/>
      <c r="T70" s="13"/>
      <c r="U70" s="13"/>
      <c r="V70" s="13"/>
      <c r="W70" s="13"/>
      <c r="X70" s="13"/>
      <c r="Y70" s="13"/>
      <c r="Z70" s="13"/>
      <c r="AA70" s="13"/>
      <c r="AB70" s="13"/>
      <c r="AC70" s="13"/>
      <c r="AD70" s="13"/>
      <c r="AE70" s="13"/>
      <c r="AF70" s="13"/>
      <c r="AG70" s="13"/>
      <c r="AH70" s="13"/>
      <c r="AI70" s="13"/>
    </row>
    <row r="71" spans="1:35" s="12" customFormat="1" ht="15">
      <c r="A71" s="13"/>
      <c r="B71" s="37"/>
      <c r="C71" s="37"/>
      <c r="D71" s="37"/>
      <c r="E71" s="37"/>
      <c r="F71" s="37"/>
      <c r="G71" s="37"/>
      <c r="H71" s="37"/>
      <c r="I71" s="37"/>
      <c r="J71" s="37"/>
      <c r="K71" s="37"/>
      <c r="L71" s="37"/>
      <c r="M71" s="37"/>
      <c r="N71" s="13"/>
      <c r="O71" s="13"/>
      <c r="P71" s="295"/>
      <c r="Q71" s="295"/>
      <c r="R71" s="295"/>
      <c r="S71" s="295"/>
      <c r="T71" s="13"/>
      <c r="U71" s="13"/>
      <c r="V71" s="13"/>
      <c r="W71" s="13"/>
      <c r="X71" s="13"/>
      <c r="Y71" s="13"/>
      <c r="Z71" s="13"/>
      <c r="AA71" s="13"/>
      <c r="AB71" s="13"/>
      <c r="AC71" s="13"/>
      <c r="AD71" s="13"/>
      <c r="AE71" s="13"/>
      <c r="AF71" s="13"/>
      <c r="AG71" s="13"/>
      <c r="AH71" s="13"/>
      <c r="AI71" s="13"/>
    </row>
    <row r="72" spans="1:35" s="12" customFormat="1" ht="15">
      <c r="A72" s="13"/>
      <c r="B72" s="37"/>
      <c r="C72" s="37"/>
      <c r="D72" s="37"/>
      <c r="E72" s="37"/>
      <c r="F72" s="37"/>
      <c r="G72" s="37"/>
      <c r="H72" s="37"/>
      <c r="I72" s="37"/>
      <c r="J72" s="37"/>
      <c r="K72" s="37"/>
      <c r="L72" s="37"/>
      <c r="M72" s="37"/>
      <c r="N72" s="13"/>
      <c r="O72" s="13"/>
      <c r="P72" s="295"/>
      <c r="Q72" s="295"/>
      <c r="R72" s="295"/>
      <c r="S72" s="295"/>
      <c r="T72" s="13"/>
      <c r="U72" s="13"/>
      <c r="V72" s="13"/>
      <c r="W72" s="13"/>
      <c r="X72" s="13"/>
      <c r="Y72" s="13"/>
      <c r="Z72" s="13"/>
      <c r="AA72" s="13"/>
      <c r="AB72" s="13"/>
      <c r="AC72" s="13"/>
      <c r="AD72" s="13"/>
      <c r="AE72" s="13"/>
      <c r="AF72" s="13"/>
      <c r="AG72" s="13"/>
      <c r="AH72" s="13"/>
      <c r="AI72" s="13"/>
    </row>
    <row r="73" spans="1:35" s="12" customFormat="1" ht="15">
      <c r="A73" s="13"/>
      <c r="B73" s="37"/>
      <c r="C73" s="37"/>
      <c r="D73" s="37"/>
      <c r="E73" s="37"/>
      <c r="F73" s="37"/>
      <c r="G73" s="37"/>
      <c r="H73" s="37"/>
      <c r="I73" s="37"/>
      <c r="J73" s="37"/>
      <c r="K73" s="37"/>
      <c r="L73" s="37"/>
      <c r="M73" s="37"/>
      <c r="N73" s="13"/>
      <c r="O73" s="13"/>
      <c r="P73" s="295"/>
      <c r="Q73" s="295"/>
      <c r="R73" s="295"/>
      <c r="S73" s="295"/>
      <c r="T73" s="13"/>
      <c r="U73" s="13"/>
      <c r="V73" s="13"/>
      <c r="W73" s="13"/>
      <c r="X73" s="13"/>
      <c r="Y73" s="13"/>
      <c r="Z73" s="13"/>
      <c r="AA73" s="13"/>
      <c r="AB73" s="13"/>
      <c r="AC73" s="13"/>
      <c r="AD73" s="13"/>
      <c r="AE73" s="13"/>
      <c r="AF73" s="13"/>
      <c r="AG73" s="13"/>
      <c r="AH73" s="13"/>
      <c r="AI73" s="13"/>
    </row>
    <row r="74" spans="1:35" s="12" customFormat="1" ht="15">
      <c r="A74" s="13"/>
      <c r="B74" s="37"/>
      <c r="C74" s="37"/>
      <c r="D74" s="37"/>
      <c r="E74" s="37"/>
      <c r="F74" s="37"/>
      <c r="G74" s="37"/>
      <c r="H74" s="37"/>
      <c r="I74" s="37"/>
      <c r="J74" s="37"/>
      <c r="K74" s="37"/>
      <c r="L74" s="37"/>
      <c r="M74" s="37"/>
      <c r="N74" s="13"/>
      <c r="O74" s="13"/>
      <c r="P74" s="295"/>
      <c r="Q74" s="295"/>
      <c r="R74" s="295"/>
      <c r="S74" s="295"/>
      <c r="T74" s="13"/>
      <c r="U74" s="13"/>
      <c r="V74" s="13"/>
      <c r="W74" s="13"/>
      <c r="X74" s="13"/>
      <c r="Y74" s="13"/>
      <c r="Z74" s="13"/>
      <c r="AA74" s="13"/>
      <c r="AB74" s="13"/>
      <c r="AC74" s="13"/>
      <c r="AD74" s="13"/>
      <c r="AE74" s="13"/>
      <c r="AF74" s="13"/>
      <c r="AG74" s="13"/>
      <c r="AH74" s="13"/>
      <c r="AI74" s="13"/>
    </row>
    <row r="75" spans="1:35" s="12" customFormat="1" ht="15">
      <c r="A75" s="13"/>
      <c r="B75" s="37"/>
      <c r="C75" s="37"/>
      <c r="D75" s="37"/>
      <c r="E75" s="37"/>
      <c r="F75" s="37"/>
      <c r="G75" s="37"/>
      <c r="H75" s="37"/>
      <c r="I75" s="37"/>
      <c r="J75" s="37"/>
      <c r="K75" s="37"/>
      <c r="L75" s="37"/>
      <c r="M75" s="37"/>
      <c r="N75" s="13"/>
      <c r="O75" s="13"/>
      <c r="P75" s="295"/>
      <c r="Q75" s="295"/>
      <c r="R75" s="295"/>
      <c r="S75" s="295"/>
      <c r="T75" s="13"/>
      <c r="U75" s="13"/>
      <c r="V75" s="13"/>
      <c r="W75" s="13"/>
      <c r="X75" s="13"/>
      <c r="Y75" s="13"/>
      <c r="Z75" s="13"/>
      <c r="AA75" s="13"/>
      <c r="AB75" s="13"/>
      <c r="AC75" s="13"/>
      <c r="AD75" s="13"/>
      <c r="AE75" s="13"/>
      <c r="AF75" s="13"/>
      <c r="AG75" s="13"/>
      <c r="AH75" s="13"/>
      <c r="AI75" s="13"/>
    </row>
    <row r="76" spans="1:35" s="12" customFormat="1" ht="15">
      <c r="A76" s="13"/>
      <c r="B76" s="37"/>
      <c r="C76" s="37"/>
      <c r="D76" s="37"/>
      <c r="E76" s="37"/>
      <c r="F76" s="37"/>
      <c r="G76" s="37"/>
      <c r="H76" s="37"/>
      <c r="I76" s="37"/>
      <c r="J76" s="37"/>
      <c r="K76" s="37"/>
      <c r="L76" s="37"/>
      <c r="M76" s="37"/>
      <c r="N76" s="13"/>
      <c r="O76" s="13"/>
      <c r="P76" s="295"/>
      <c r="Q76" s="295"/>
      <c r="R76" s="295"/>
      <c r="S76" s="295"/>
      <c r="T76" s="13"/>
      <c r="U76" s="13"/>
      <c r="V76" s="13"/>
      <c r="W76" s="13"/>
      <c r="X76" s="13"/>
      <c r="Y76" s="13"/>
      <c r="Z76" s="13"/>
      <c r="AA76" s="13"/>
      <c r="AB76" s="13"/>
      <c r="AC76" s="13"/>
      <c r="AD76" s="13"/>
      <c r="AE76" s="13"/>
      <c r="AF76" s="13"/>
      <c r="AG76" s="13"/>
      <c r="AH76" s="13"/>
      <c r="AI76" s="13"/>
    </row>
    <row r="77" spans="1:35" s="12" customFormat="1" ht="15">
      <c r="A77" s="13"/>
      <c r="B77" s="37"/>
      <c r="C77" s="37"/>
      <c r="D77" s="37"/>
      <c r="E77" s="37"/>
      <c r="F77" s="37"/>
      <c r="G77" s="37"/>
      <c r="H77" s="37"/>
      <c r="I77" s="37"/>
      <c r="J77" s="37"/>
      <c r="K77" s="37"/>
      <c r="L77" s="37"/>
      <c r="M77" s="37"/>
      <c r="N77" s="13"/>
      <c r="O77" s="13"/>
      <c r="P77" s="295"/>
      <c r="Q77" s="295"/>
      <c r="R77" s="295"/>
      <c r="S77" s="295"/>
      <c r="T77" s="13"/>
      <c r="U77" s="13"/>
      <c r="V77" s="13"/>
      <c r="W77" s="13"/>
      <c r="X77" s="13"/>
      <c r="Y77" s="13"/>
      <c r="Z77" s="13"/>
      <c r="AA77" s="13"/>
      <c r="AB77" s="13"/>
      <c r="AC77" s="13"/>
      <c r="AD77" s="13"/>
      <c r="AE77" s="13"/>
      <c r="AF77" s="13"/>
      <c r="AG77" s="13"/>
      <c r="AH77" s="13"/>
      <c r="AI77" s="13"/>
    </row>
    <row r="78" spans="1:35" s="12" customFormat="1" ht="15">
      <c r="A78" s="13"/>
      <c r="B78" s="37"/>
      <c r="C78" s="37"/>
      <c r="D78" s="37"/>
      <c r="E78" s="37"/>
      <c r="F78" s="37"/>
      <c r="G78" s="37"/>
      <c r="H78" s="37"/>
      <c r="I78" s="37"/>
      <c r="J78" s="37"/>
      <c r="K78" s="37"/>
      <c r="L78" s="37"/>
      <c r="M78" s="37"/>
      <c r="N78" s="13"/>
      <c r="O78" s="13"/>
      <c r="P78" s="295"/>
      <c r="Q78" s="295"/>
      <c r="R78" s="295"/>
      <c r="S78" s="295"/>
      <c r="T78" s="13"/>
      <c r="U78" s="13"/>
      <c r="V78" s="13"/>
      <c r="W78" s="13"/>
      <c r="X78" s="13"/>
      <c r="Y78" s="13"/>
      <c r="Z78" s="13"/>
      <c r="AA78" s="13"/>
      <c r="AB78" s="13"/>
      <c r="AC78" s="13"/>
      <c r="AD78" s="13"/>
      <c r="AE78" s="13"/>
      <c r="AF78" s="13"/>
      <c r="AG78" s="13"/>
      <c r="AH78" s="13"/>
      <c r="AI78" s="13"/>
    </row>
    <row r="79" spans="1:35" s="12" customFormat="1" ht="15">
      <c r="A79" s="13"/>
      <c r="B79" s="37"/>
      <c r="C79" s="37"/>
      <c r="D79" s="37"/>
      <c r="E79" s="37"/>
      <c r="F79" s="37"/>
      <c r="G79" s="37"/>
      <c r="H79" s="37"/>
      <c r="I79" s="37"/>
      <c r="J79" s="37"/>
      <c r="K79" s="37"/>
      <c r="L79" s="37"/>
      <c r="M79" s="37"/>
      <c r="N79" s="13"/>
      <c r="O79" s="13"/>
      <c r="P79" s="295"/>
      <c r="Q79" s="295"/>
      <c r="R79" s="295"/>
      <c r="S79" s="295"/>
      <c r="T79" s="13"/>
      <c r="U79" s="13"/>
      <c r="V79" s="13"/>
      <c r="W79" s="13"/>
      <c r="X79" s="13"/>
      <c r="Y79" s="13"/>
      <c r="Z79" s="13"/>
      <c r="AA79" s="13"/>
      <c r="AB79" s="13"/>
      <c r="AC79" s="13"/>
      <c r="AD79" s="13"/>
      <c r="AE79" s="13"/>
      <c r="AF79" s="13"/>
      <c r="AG79" s="13"/>
      <c r="AH79" s="13"/>
      <c r="AI79" s="13"/>
    </row>
    <row r="80" spans="1:35" s="12" customFormat="1" ht="15">
      <c r="A80" s="13"/>
      <c r="B80" s="37"/>
      <c r="C80" s="37"/>
      <c r="D80" s="37"/>
      <c r="E80" s="37"/>
      <c r="F80" s="37"/>
      <c r="G80" s="37"/>
      <c r="H80" s="37"/>
      <c r="I80" s="37"/>
      <c r="J80" s="37"/>
      <c r="K80" s="37"/>
      <c r="L80" s="37"/>
      <c r="M80" s="37"/>
      <c r="N80" s="13"/>
      <c r="O80" s="13"/>
      <c r="P80" s="295"/>
      <c r="Q80" s="295"/>
      <c r="R80" s="295"/>
      <c r="S80" s="295"/>
      <c r="T80" s="13"/>
      <c r="U80" s="13"/>
      <c r="V80" s="13"/>
      <c r="W80" s="13"/>
      <c r="X80" s="13"/>
      <c r="Y80" s="13"/>
      <c r="Z80" s="13"/>
      <c r="AA80" s="13"/>
      <c r="AB80" s="13"/>
      <c r="AC80" s="13"/>
      <c r="AD80" s="13"/>
      <c r="AE80" s="13"/>
      <c r="AF80" s="13"/>
      <c r="AG80" s="13"/>
      <c r="AH80" s="13"/>
      <c r="AI80" s="13"/>
    </row>
    <row r="81" spans="1:35" s="12" customFormat="1" ht="15">
      <c r="A81" s="13"/>
      <c r="B81" s="37"/>
      <c r="C81" s="37"/>
      <c r="D81" s="37"/>
      <c r="E81" s="37"/>
      <c r="F81" s="37"/>
      <c r="G81" s="37"/>
      <c r="H81" s="37"/>
      <c r="I81" s="37"/>
      <c r="J81" s="37"/>
      <c r="K81" s="37"/>
      <c r="L81" s="37"/>
      <c r="M81" s="37"/>
      <c r="N81" s="13"/>
      <c r="O81" s="13"/>
      <c r="P81" s="295"/>
      <c r="Q81" s="295"/>
      <c r="R81" s="295"/>
      <c r="S81" s="295"/>
      <c r="T81" s="13"/>
      <c r="U81" s="13"/>
      <c r="V81" s="13"/>
      <c r="W81" s="13"/>
      <c r="X81" s="13"/>
      <c r="Y81" s="13"/>
      <c r="Z81" s="13"/>
      <c r="AA81" s="13"/>
      <c r="AB81" s="13"/>
      <c r="AC81" s="13"/>
      <c r="AD81" s="13"/>
      <c r="AE81" s="13"/>
      <c r="AF81" s="13"/>
      <c r="AG81" s="13"/>
      <c r="AH81" s="13"/>
      <c r="AI81" s="13"/>
    </row>
    <row r="82" spans="1:35" s="12" customFormat="1" ht="15">
      <c r="A82" s="13"/>
      <c r="B82" s="37"/>
      <c r="C82" s="37"/>
      <c r="D82" s="37"/>
      <c r="E82" s="37"/>
      <c r="F82" s="37"/>
      <c r="G82" s="37"/>
      <c r="H82" s="37"/>
      <c r="I82" s="37"/>
      <c r="J82" s="37"/>
      <c r="K82" s="37"/>
      <c r="L82" s="37"/>
      <c r="M82" s="37"/>
      <c r="N82" s="13"/>
      <c r="O82" s="13"/>
      <c r="P82" s="295"/>
      <c r="Q82" s="295"/>
      <c r="R82" s="295"/>
      <c r="S82" s="295"/>
      <c r="T82" s="13"/>
      <c r="U82" s="13"/>
      <c r="V82" s="13"/>
      <c r="W82" s="13"/>
      <c r="X82" s="13"/>
      <c r="Y82" s="13"/>
      <c r="Z82" s="13"/>
      <c r="AA82" s="13"/>
      <c r="AB82" s="13"/>
      <c r="AC82" s="13"/>
      <c r="AD82" s="13"/>
      <c r="AE82" s="13"/>
      <c r="AF82" s="13"/>
      <c r="AG82" s="13"/>
      <c r="AH82" s="13"/>
      <c r="AI82" s="13"/>
    </row>
    <row r="83" spans="1:35" s="12" customFormat="1" ht="15">
      <c r="A83" s="13"/>
      <c r="B83" s="37"/>
      <c r="C83" s="37"/>
      <c r="D83" s="37"/>
      <c r="E83" s="37"/>
      <c r="F83" s="37"/>
      <c r="G83" s="37"/>
      <c r="H83" s="37"/>
      <c r="I83" s="37"/>
      <c r="J83" s="37"/>
      <c r="K83" s="37"/>
      <c r="L83" s="37"/>
      <c r="M83" s="37"/>
      <c r="N83" s="13"/>
      <c r="O83" s="13"/>
      <c r="P83" s="295"/>
      <c r="Q83" s="295"/>
      <c r="R83" s="295"/>
      <c r="S83" s="295"/>
      <c r="T83" s="13"/>
      <c r="U83" s="13"/>
      <c r="V83" s="13"/>
      <c r="W83" s="13"/>
      <c r="X83" s="13"/>
      <c r="Y83" s="13"/>
      <c r="Z83" s="13"/>
      <c r="AA83" s="13"/>
      <c r="AB83" s="13"/>
      <c r="AC83" s="13"/>
      <c r="AD83" s="13"/>
      <c r="AE83" s="13"/>
      <c r="AF83" s="13"/>
      <c r="AG83" s="13"/>
      <c r="AH83" s="13"/>
      <c r="AI83" s="13"/>
    </row>
    <row r="84" spans="1:35" s="12" customFormat="1" ht="15">
      <c r="A84" s="13"/>
      <c r="B84" s="37"/>
      <c r="C84" s="37"/>
      <c r="D84" s="37"/>
      <c r="E84" s="37"/>
      <c r="F84" s="37"/>
      <c r="G84" s="37"/>
      <c r="H84" s="37"/>
      <c r="I84" s="37"/>
      <c r="J84" s="37"/>
      <c r="K84" s="37"/>
      <c r="L84" s="37"/>
      <c r="M84" s="37"/>
      <c r="N84" s="13"/>
      <c r="O84" s="13"/>
      <c r="P84" s="295"/>
      <c r="Q84" s="295"/>
      <c r="R84" s="295"/>
      <c r="S84" s="295"/>
      <c r="T84" s="13"/>
      <c r="U84" s="13"/>
      <c r="V84" s="13"/>
      <c r="W84" s="13"/>
      <c r="X84" s="13"/>
      <c r="Y84" s="13"/>
      <c r="Z84" s="13"/>
      <c r="AA84" s="13"/>
      <c r="AB84" s="13"/>
      <c r="AC84" s="13"/>
      <c r="AD84" s="13"/>
      <c r="AE84" s="13"/>
      <c r="AF84" s="13"/>
      <c r="AG84" s="13"/>
      <c r="AH84" s="13"/>
      <c r="AI84" s="13"/>
    </row>
    <row r="85" spans="1:35" s="12" customFormat="1" ht="15">
      <c r="A85" s="13"/>
      <c r="B85" s="37"/>
      <c r="C85" s="37"/>
      <c r="D85" s="37"/>
      <c r="E85" s="37"/>
      <c r="F85" s="37"/>
      <c r="G85" s="37"/>
      <c r="H85" s="37"/>
      <c r="I85" s="37"/>
      <c r="J85" s="37"/>
      <c r="K85" s="37"/>
      <c r="L85" s="37"/>
      <c r="M85" s="37"/>
      <c r="N85" s="13"/>
      <c r="O85" s="13"/>
      <c r="P85" s="295"/>
      <c r="Q85" s="295"/>
      <c r="R85" s="295"/>
      <c r="S85" s="295"/>
      <c r="T85" s="13"/>
      <c r="U85" s="13"/>
      <c r="V85" s="13"/>
      <c r="W85" s="13"/>
      <c r="X85" s="13"/>
      <c r="Y85" s="13"/>
      <c r="Z85" s="13"/>
      <c r="AA85" s="13"/>
      <c r="AB85" s="13"/>
      <c r="AC85" s="13"/>
      <c r="AD85" s="13"/>
      <c r="AE85" s="13"/>
      <c r="AF85" s="13"/>
      <c r="AG85" s="13"/>
      <c r="AH85" s="13"/>
      <c r="AI85" s="13"/>
    </row>
    <row r="86" spans="1:35" s="12" customFormat="1" ht="15">
      <c r="A86" s="13"/>
      <c r="B86" s="37"/>
      <c r="C86" s="37"/>
      <c r="D86" s="37"/>
      <c r="E86" s="37"/>
      <c r="F86" s="37"/>
      <c r="G86" s="37"/>
      <c r="H86" s="37"/>
      <c r="I86" s="37"/>
      <c r="J86" s="37"/>
      <c r="K86" s="37"/>
      <c r="L86" s="37"/>
      <c r="M86" s="37"/>
      <c r="N86" s="13"/>
      <c r="O86" s="13"/>
      <c r="P86" s="295"/>
      <c r="Q86" s="295"/>
      <c r="R86" s="295"/>
      <c r="S86" s="295"/>
      <c r="T86" s="13"/>
      <c r="U86" s="13"/>
      <c r="V86" s="13"/>
      <c r="W86" s="13"/>
      <c r="X86" s="13"/>
      <c r="Y86" s="13"/>
      <c r="Z86" s="13"/>
      <c r="AA86" s="13"/>
      <c r="AB86" s="13"/>
      <c r="AC86" s="13"/>
      <c r="AD86" s="13"/>
      <c r="AE86" s="13"/>
      <c r="AF86" s="13"/>
      <c r="AG86" s="13"/>
      <c r="AH86" s="13"/>
      <c r="AI86" s="13"/>
    </row>
    <row r="87" spans="1:35" s="12" customFormat="1" ht="15">
      <c r="A87" s="13"/>
      <c r="B87" s="37"/>
      <c r="C87" s="37"/>
      <c r="D87" s="37"/>
      <c r="E87" s="37"/>
      <c r="F87" s="37"/>
      <c r="G87" s="37"/>
      <c r="H87" s="37"/>
      <c r="I87" s="37"/>
      <c r="J87" s="37"/>
      <c r="K87" s="37"/>
      <c r="L87" s="37"/>
      <c r="M87" s="37"/>
      <c r="N87" s="13"/>
      <c r="O87" s="13"/>
      <c r="P87" s="295"/>
      <c r="Q87" s="295"/>
      <c r="R87" s="295"/>
      <c r="S87" s="295"/>
      <c r="T87" s="13"/>
      <c r="U87" s="13"/>
      <c r="V87" s="13"/>
      <c r="W87" s="13"/>
      <c r="X87" s="13"/>
      <c r="Y87" s="13"/>
      <c r="Z87" s="13"/>
      <c r="AA87" s="13"/>
      <c r="AB87" s="13"/>
      <c r="AC87" s="13"/>
      <c r="AD87" s="13"/>
      <c r="AE87" s="13"/>
      <c r="AF87" s="13"/>
      <c r="AG87" s="13"/>
      <c r="AH87" s="13"/>
      <c r="AI87" s="13"/>
    </row>
    <row r="88" spans="1:35" s="12" customFormat="1" ht="15">
      <c r="A88" s="13"/>
      <c r="B88" s="37"/>
      <c r="C88" s="37"/>
      <c r="D88" s="37"/>
      <c r="E88" s="37"/>
      <c r="F88" s="37"/>
      <c r="G88" s="37"/>
      <c r="H88" s="37"/>
      <c r="I88" s="37"/>
      <c r="J88" s="37"/>
      <c r="K88" s="37"/>
      <c r="L88" s="37"/>
      <c r="M88" s="37"/>
      <c r="N88" s="13"/>
      <c r="O88" s="13"/>
      <c r="P88" s="295"/>
      <c r="Q88" s="295"/>
      <c r="R88" s="295"/>
      <c r="S88" s="295"/>
      <c r="T88" s="13"/>
      <c r="U88" s="13"/>
      <c r="V88" s="13"/>
      <c r="W88" s="13"/>
      <c r="X88" s="13"/>
      <c r="Y88" s="13"/>
      <c r="Z88" s="13"/>
      <c r="AA88" s="13"/>
      <c r="AB88" s="13"/>
      <c r="AC88" s="13"/>
      <c r="AD88" s="13"/>
      <c r="AE88" s="13"/>
      <c r="AF88" s="13"/>
      <c r="AG88" s="13"/>
      <c r="AH88" s="13"/>
      <c r="AI88" s="13"/>
    </row>
    <row r="89" spans="1:35" s="12" customFormat="1" ht="15">
      <c r="A89" s="13"/>
      <c r="B89" s="37"/>
      <c r="C89" s="37"/>
      <c r="D89" s="37"/>
      <c r="E89" s="37"/>
      <c r="F89" s="37"/>
      <c r="G89" s="37"/>
      <c r="H89" s="37"/>
      <c r="I89" s="37"/>
      <c r="J89" s="37"/>
      <c r="K89" s="37"/>
      <c r="L89" s="37"/>
      <c r="M89" s="37"/>
      <c r="N89" s="13"/>
      <c r="O89" s="13"/>
      <c r="P89" s="295"/>
      <c r="Q89" s="295"/>
      <c r="R89" s="295"/>
      <c r="S89" s="295"/>
      <c r="T89" s="13"/>
      <c r="U89" s="13"/>
      <c r="V89" s="13"/>
      <c r="W89" s="13"/>
      <c r="X89" s="13"/>
      <c r="Y89" s="13"/>
      <c r="Z89" s="13"/>
      <c r="AA89" s="13"/>
      <c r="AB89" s="13"/>
      <c r="AC89" s="13"/>
      <c r="AD89" s="13"/>
      <c r="AE89" s="13"/>
      <c r="AF89" s="13"/>
      <c r="AG89" s="13"/>
      <c r="AH89" s="13"/>
      <c r="AI89" s="13"/>
    </row>
    <row r="90" spans="1:35" s="12" customFormat="1" ht="15">
      <c r="A90" s="13"/>
      <c r="B90" s="37"/>
      <c r="C90" s="37"/>
      <c r="D90" s="37"/>
      <c r="E90" s="37"/>
      <c r="F90" s="37"/>
      <c r="G90" s="37"/>
      <c r="H90" s="37"/>
      <c r="I90" s="37"/>
      <c r="J90" s="37"/>
      <c r="K90" s="37"/>
      <c r="L90" s="37"/>
      <c r="M90" s="37"/>
      <c r="N90" s="13"/>
      <c r="O90" s="13"/>
      <c r="P90" s="295"/>
      <c r="Q90" s="295"/>
      <c r="R90" s="295"/>
      <c r="S90" s="295"/>
      <c r="T90" s="13"/>
      <c r="U90" s="13"/>
      <c r="V90" s="13"/>
      <c r="W90" s="13"/>
      <c r="X90" s="13"/>
      <c r="Y90" s="13"/>
      <c r="Z90" s="13"/>
      <c r="AA90" s="13"/>
      <c r="AB90" s="13"/>
      <c r="AC90" s="13"/>
      <c r="AD90" s="13"/>
      <c r="AE90" s="13"/>
      <c r="AF90" s="13"/>
      <c r="AG90" s="13"/>
      <c r="AH90" s="13"/>
      <c r="AI90" s="13"/>
    </row>
    <row r="91" spans="1:35" s="12" customFormat="1" ht="15">
      <c r="A91" s="13"/>
      <c r="B91" s="37"/>
      <c r="C91" s="37"/>
      <c r="D91" s="37"/>
      <c r="E91" s="37"/>
      <c r="F91" s="37"/>
      <c r="G91" s="37"/>
      <c r="H91" s="37"/>
      <c r="I91" s="37"/>
      <c r="J91" s="37"/>
      <c r="K91" s="37"/>
      <c r="L91" s="37"/>
      <c r="M91" s="37"/>
      <c r="N91" s="13"/>
      <c r="O91" s="13"/>
      <c r="P91" s="295"/>
      <c r="Q91" s="295"/>
      <c r="R91" s="295"/>
      <c r="S91" s="295"/>
      <c r="T91" s="13"/>
      <c r="U91" s="13"/>
      <c r="V91" s="13"/>
      <c r="W91" s="13"/>
      <c r="X91" s="13"/>
      <c r="Y91" s="13"/>
      <c r="Z91" s="13"/>
      <c r="AA91" s="13"/>
      <c r="AB91" s="13"/>
      <c r="AC91" s="13"/>
      <c r="AD91" s="13"/>
      <c r="AE91" s="13"/>
      <c r="AF91" s="13"/>
      <c r="AG91" s="13"/>
      <c r="AH91" s="13"/>
      <c r="AI91" s="13"/>
    </row>
    <row r="92" spans="1:35" s="12" customFormat="1" ht="15">
      <c r="A92" s="13"/>
      <c r="B92" s="37"/>
      <c r="C92" s="37"/>
      <c r="D92" s="37"/>
      <c r="E92" s="37"/>
      <c r="F92" s="37"/>
      <c r="G92" s="37"/>
      <c r="H92" s="37"/>
      <c r="I92" s="37"/>
      <c r="J92" s="37"/>
      <c r="K92" s="37"/>
      <c r="L92" s="37"/>
      <c r="M92" s="37"/>
      <c r="N92" s="13"/>
      <c r="O92" s="13"/>
      <c r="P92" s="295"/>
      <c r="Q92" s="295"/>
      <c r="R92" s="295"/>
      <c r="S92" s="295"/>
      <c r="T92" s="13"/>
      <c r="U92" s="13"/>
      <c r="V92" s="13"/>
      <c r="W92" s="13"/>
      <c r="X92" s="13"/>
      <c r="Y92" s="13"/>
      <c r="Z92" s="13"/>
      <c r="AA92" s="13"/>
      <c r="AB92" s="13"/>
      <c r="AC92" s="13"/>
      <c r="AD92" s="13"/>
      <c r="AE92" s="13"/>
      <c r="AF92" s="13"/>
      <c r="AG92" s="13"/>
      <c r="AH92" s="13"/>
      <c r="AI92" s="13"/>
    </row>
    <row r="93" spans="1:35" s="12" customFormat="1" ht="15">
      <c r="A93" s="13"/>
      <c r="B93" s="37"/>
      <c r="C93" s="37"/>
      <c r="D93" s="37"/>
      <c r="E93" s="37"/>
      <c r="F93" s="37"/>
      <c r="G93" s="37"/>
      <c r="H93" s="37"/>
      <c r="I93" s="37"/>
      <c r="J93" s="37"/>
      <c r="K93" s="37"/>
      <c r="L93" s="37"/>
      <c r="M93" s="37"/>
      <c r="N93" s="13"/>
      <c r="O93" s="13"/>
      <c r="P93" s="295"/>
      <c r="Q93" s="295"/>
      <c r="R93" s="295"/>
      <c r="S93" s="295"/>
      <c r="T93" s="13"/>
      <c r="U93" s="13"/>
      <c r="V93" s="13"/>
      <c r="W93" s="13"/>
      <c r="X93" s="13"/>
      <c r="Y93" s="13"/>
      <c r="Z93" s="13"/>
      <c r="AA93" s="13"/>
      <c r="AB93" s="13"/>
      <c r="AC93" s="13"/>
      <c r="AD93" s="13"/>
      <c r="AE93" s="13"/>
      <c r="AF93" s="13"/>
      <c r="AG93" s="13"/>
      <c r="AH93" s="13"/>
      <c r="AI93" s="13"/>
    </row>
    <row r="94" spans="1:35" s="12" customFormat="1" ht="15">
      <c r="A94" s="13"/>
      <c r="B94" s="37"/>
      <c r="C94" s="37"/>
      <c r="D94" s="37"/>
      <c r="E94" s="37"/>
      <c r="F94" s="37"/>
      <c r="G94" s="37"/>
      <c r="H94" s="37"/>
      <c r="I94" s="37"/>
      <c r="J94" s="37"/>
      <c r="K94" s="37"/>
      <c r="L94" s="37"/>
      <c r="M94" s="37"/>
      <c r="N94" s="13"/>
      <c r="O94" s="13"/>
      <c r="P94" s="295"/>
      <c r="Q94" s="295"/>
      <c r="R94" s="295"/>
      <c r="S94" s="295"/>
      <c r="T94" s="13"/>
      <c r="U94" s="13"/>
      <c r="V94" s="13"/>
      <c r="W94" s="13"/>
      <c r="X94" s="13"/>
      <c r="Y94" s="13"/>
      <c r="Z94" s="13"/>
      <c r="AA94" s="13"/>
      <c r="AB94" s="13"/>
      <c r="AC94" s="13"/>
      <c r="AD94" s="13"/>
      <c r="AE94" s="13"/>
      <c r="AF94" s="13"/>
      <c r="AG94" s="13"/>
      <c r="AH94" s="13"/>
      <c r="AI94" s="13"/>
    </row>
    <row r="95" spans="1:35" s="12" customFormat="1" ht="15">
      <c r="A95" s="13"/>
      <c r="B95" s="37"/>
      <c r="C95" s="37"/>
      <c r="D95" s="37"/>
      <c r="E95" s="37"/>
      <c r="F95" s="37"/>
      <c r="G95" s="37"/>
      <c r="H95" s="37"/>
      <c r="I95" s="37"/>
      <c r="J95" s="37"/>
      <c r="K95" s="37"/>
      <c r="L95" s="37"/>
      <c r="M95" s="37"/>
      <c r="N95" s="13"/>
      <c r="O95" s="13"/>
      <c r="P95" s="295"/>
      <c r="Q95" s="295"/>
      <c r="R95" s="295"/>
      <c r="S95" s="295"/>
      <c r="T95" s="13"/>
      <c r="U95" s="13"/>
      <c r="V95" s="13"/>
      <c r="W95" s="13"/>
      <c r="X95" s="13"/>
      <c r="Y95" s="13"/>
      <c r="Z95" s="13"/>
      <c r="AA95" s="13"/>
      <c r="AB95" s="13"/>
      <c r="AC95" s="13"/>
      <c r="AD95" s="13"/>
      <c r="AE95" s="13"/>
      <c r="AF95" s="13"/>
      <c r="AG95" s="13"/>
      <c r="AH95" s="13"/>
      <c r="AI95" s="13"/>
    </row>
  </sheetData>
  <sheetProtection sheet="1" formatRows="0"/>
  <mergeCells count="37">
    <mergeCell ref="B3:L3"/>
    <mergeCell ref="C54:F54"/>
    <mergeCell ref="C55:F55"/>
    <mergeCell ref="E57:I57"/>
    <mergeCell ref="D56:F56"/>
    <mergeCell ref="C51:F51"/>
    <mergeCell ref="C52:F52"/>
    <mergeCell ref="C53:F53"/>
    <mergeCell ref="C48:E48"/>
    <mergeCell ref="D44:E44"/>
    <mergeCell ref="J45:K45"/>
    <mergeCell ref="J44:K44"/>
    <mergeCell ref="D45:E45"/>
    <mergeCell ref="D32:L32"/>
    <mergeCell ref="H47:J47"/>
    <mergeCell ref="H48:J48"/>
    <mergeCell ref="C41:E41"/>
    <mergeCell ref="C42:K42"/>
    <mergeCell ref="C10:G10"/>
    <mergeCell ref="C31:F31"/>
    <mergeCell ref="C16:F16"/>
    <mergeCell ref="C18:G18"/>
    <mergeCell ref="D38:F38"/>
    <mergeCell ref="D39:F39"/>
    <mergeCell ref="G38:I38"/>
    <mergeCell ref="G39:I39"/>
    <mergeCell ref="D37:K37"/>
    <mergeCell ref="B4:L4"/>
    <mergeCell ref="B5:L5"/>
    <mergeCell ref="C49:J49"/>
    <mergeCell ref="B2:E2"/>
    <mergeCell ref="D9:F9"/>
    <mergeCell ref="D17:F17"/>
    <mergeCell ref="C6:D6"/>
    <mergeCell ref="C8:F8"/>
    <mergeCell ref="C24:D24"/>
    <mergeCell ref="C25:H25"/>
  </mergeCells>
  <dataValidations count="21">
    <dataValidation type="whole" allowBlank="1" showInputMessage="1" showErrorMessage="1" error="This number cannot exceed the &quot;Potential Replacements&quot;." sqref="G44:G45">
      <formula1>0</formula1>
      <formula2>F44</formula2>
    </dataValidation>
    <dataValidation type="decimal" allowBlank="1" showInputMessage="1" showErrorMessage="1" error="The rebate per ice maker must be a positive value less than or equal the fixture cost." sqref="I44">
      <formula1>0</formula1>
      <formula2>H44</formula2>
    </dataValidation>
    <dataValidation type="decimal" allowBlank="1" showInputMessage="1" showErrorMessage="1" error="The rebate per clothes washer must be a positive value less than or equal the fixture cost." sqref="I45">
      <formula1>0</formula1>
      <formula2>H45</formula2>
    </dataValidation>
    <dataValidation type="whole" allowBlank="1" showInputMessage="1" showErrorMessage="1" prompt="The number of ENERGY STAR qualified ice makers, if applicable, should be a subset of the total number installed. Only air-cooled models are eligible for ENERGY STAR qualification.&#10;" error="The number of ENERGY STAR qualified ice makers must be a whole number greater than 0 but less than or equal to the total number of this type of ice maker installed." sqref="H12:H14">
      <formula1>0</formula1>
      <formula2>G12</formula2>
    </dataValidation>
    <dataValidation type="whole" operator="greaterThanOrEqual" allowBlank="1" showInputMessage="1" showErrorMessage="1" error="The number of ice makers installed for guest use must be a whole number greater than or equal to the number of ENERGY STAR qualified ice makers installed." sqref="G12:G14">
      <formula1>H12</formula1>
    </dataValidation>
    <dataValidation type="whole" operator="greaterThanOrEqual" allowBlank="1" showInputMessage="1" showErrorMessage="1" error="The number of clothes washers installed for guest use must be a whole number greater than or equal to the number of ENERGY STAR qualified clothes washers installed." sqref="E20:E22">
      <formula1>F20</formula1>
    </dataValidation>
    <dataValidation type="whole" allowBlank="1" showInputMessage="1" showErrorMessage="1" prompt="The number of ENERGY STAR qualified clothes washers, if applicable, should be a subset of the total number installed." error="The number of ENERGY STAR qualified clothes washers must be a whole number greater than 0 but less than or equal to the total number of this type of clothes washer installed." sqref="F20:F22">
      <formula1>0</formula1>
      <formula2>E20</formula2>
    </dataValidation>
    <dataValidation type="decimal" operator="greaterThan" allowBlank="1" showInputMessage="1" showErrorMessage="1" prompt="Input the equipment and installation cost of the ENERGY STAR ice maker you are interested in installing to determine the potential payback period." error="The total cost per machine must be greater than or equal to $0." sqref="H44">
      <formula1>0</formula1>
    </dataValidation>
    <dataValidation type="decimal" operator="greaterThanOrEqual" allowBlank="1" showInputMessage="1" showErrorMessage="1" prompt="Input the equipment and installation cost of the ENERGY STAR clothes washer you are interested in installing to determine the potential payback period." error="The total cost per machine must be greater than or equal to $0." sqref="H45">
      <formula1>0</formula1>
    </dataValidation>
    <dataValidation type="list" allowBlank="1" showInputMessage="1" showErrorMessage="1" sqref="F12:F14">
      <formula1>"Air-Cooled,Single-Pass Water Cooling,Recirculated Water Cooling"</formula1>
    </dataValidation>
    <dataValidation type="list" allowBlank="1" showInputMessage="1" showErrorMessage="1" sqref="D20:D22">
      <formula1>"Top-Loading,Front-Loading"</formula1>
    </dataValidation>
    <dataValidation type="list" allowBlank="1" showInputMessage="1" showErrorMessage="1" prompt="Batch: An ice maker that alternates freezing and harvest periods. These makers typically produce cube type ice.&#10;&#10;Continuous: An ice maker that continually freezes and harvests ice at the same time. These makers typically produce flake or nugget ice." sqref="E12:E14">
      <formula1>"Batch,Continuous"</formula1>
    </dataValidation>
    <dataValidation type="list" allowBlank="1" showInputMessage="1" showErrorMessage="1" sqref="G8 G16">
      <formula1>"Yes,No"</formula1>
    </dataValidation>
    <dataValidation type="decimal" operator="greaterThan" allowBlank="1" showInputMessage="1" showErrorMessage="1" error="The average weekly loads per machine must be greater than 0." sqref="G20:G22">
      <formula1>0</formula1>
    </dataValidation>
    <dataValidation type="decimal" operator="greaterThan" allowBlank="1" showInputMessage="1" showErrorMessage="1" error="Electricity consumption per load of laundry must be a value greater than 0." sqref="G51">
      <formula1>0</formula1>
    </dataValidation>
    <dataValidation allowBlank="1" showInputMessage="1" showErrorMessage="1" error="Electricity consumption per load of laundry must be a value greater than 0." sqref="H51"/>
    <dataValidation type="decimal" operator="greaterThanOrEqual" allowBlank="1" showInputMessage="1" showErrorMessage="1" error="Natural gas consumption per load of laundry must be a value greater than or equal to 0." sqref="G52:H52">
      <formula1>0</formula1>
    </dataValidation>
    <dataValidation type="decimal" operator="greaterThan" allowBlank="1" showInputMessage="1" showErrorMessage="1" error="Water consumption per load of laundry must be a value greater than 0." sqref="G53:H54">
      <formula1>0</formula1>
    </dataValidation>
    <dataValidation type="decimal" operator="greaterThan" allowBlank="1" showInputMessage="1" showErrorMessage="1" error="Gallons of water use per pound of ice generated must be a value greater than 0." sqref="G55">
      <formula1>0</formula1>
    </dataValidation>
    <dataValidation type="list" allowBlank="1" showInputMessage="1" showErrorMessage="1" prompt="ENERGY STAR ice makers cannot use single-pass cooling." sqref="H55">
      <formula1>"--"</formula1>
    </dataValidation>
    <dataValidation type="list" allowBlank="1" showInputMessage="1" showErrorMessage="1" prompt="Ice Making Head: Ice maker and condenser are in single package with separate ice storage bin.&#10;&#10;Remote Condensing Unit: Ice maker and condenser are separate units.&#10;&#10;Self Contained Unit: Ice-making mechanism and storage compartment are in integrated cabinet" sqref="D12:D14">
      <formula1>IceMachineTypes</formula1>
    </dataValidation>
  </dataValidations>
  <hyperlinks>
    <hyperlink ref="D44:E44" r:id="rId1" display="ENERGY STAR Labeled Ice Maker"/>
    <hyperlink ref="D45:E45" r:id="rId2" display="ENERGY STAR Labeled Clothes Washer"/>
    <hyperlink ref="G38" r:id="rId3" display="Ice Makers BMPs"/>
    <hyperlink ref="G39" r:id="rId4" display="Laundry Equipment BMPs"/>
    <hyperlink ref="G38:I38" r:id="rId5" display="WaterSense at Work Section 4.2: Commercial Ice Machine"/>
    <hyperlink ref="G39:I39" r:id="rId6" display="WaterSense at Work Section 3.6: Laundry Equipment"/>
  </hyperlinks>
  <printOptions/>
  <pageMargins left="0.7" right="0.7" top="0.75" bottom="0.75" header="0.3" footer="0.3"/>
  <pageSetup fitToHeight="0" fitToWidth="1" horizontalDpi="1200" verticalDpi="1200" orientation="landscape" scale="61" r:id="rId9"/>
  <drawing r:id="rId8"/>
  <legacyDrawing r:id="rId7"/>
</worksheet>
</file>

<file path=xl/worksheets/sheet9.xml><?xml version="1.0" encoding="utf-8"?>
<worksheet xmlns="http://schemas.openxmlformats.org/spreadsheetml/2006/main" xmlns:r="http://schemas.openxmlformats.org/officeDocument/2006/relationships">
  <sheetPr codeName="Linen_Laundry"/>
  <dimension ref="A1:BR129"/>
  <sheetViews>
    <sheetView zoomScalePageLayoutView="0" workbookViewId="0" topLeftCell="A1">
      <pane xSplit="1" ySplit="2" topLeftCell="B3" activePane="bottomRight" state="frozen"/>
      <selection pane="topLeft" activeCell="B2" sqref="B2:D2"/>
      <selection pane="topRight" activeCell="B2" sqref="B2:D2"/>
      <selection pane="bottomLeft" activeCell="B2" sqref="B2:D2"/>
      <selection pane="bottomRight" activeCell="G8" sqref="G8"/>
    </sheetView>
  </sheetViews>
  <sheetFormatPr defaultColWidth="9.140625" defaultRowHeight="15"/>
  <cols>
    <col min="1" max="1" width="4.7109375" style="12" customWidth="1"/>
    <col min="2" max="2" width="4.7109375" style="1" customWidth="1"/>
    <col min="3" max="3" width="7.140625" style="1" customWidth="1"/>
    <col min="4" max="4" width="22.140625" style="1" customWidth="1"/>
    <col min="5" max="5" width="21.8515625" style="1" customWidth="1"/>
    <col min="6" max="6" width="16.421875" style="1" customWidth="1"/>
    <col min="7" max="7" width="20.57421875" style="1" customWidth="1"/>
    <col min="8" max="8" width="18.421875" style="1" customWidth="1"/>
    <col min="9" max="9" width="17.421875" style="1" customWidth="1"/>
    <col min="10" max="10" width="16.140625" style="1" customWidth="1"/>
    <col min="11" max="11" width="8.7109375" style="1" customWidth="1"/>
    <col min="12" max="12" width="4.7109375" style="12" customWidth="1"/>
    <col min="13" max="15" width="9.140625" style="12" customWidth="1"/>
    <col min="16" max="18" width="12.7109375" style="12" customWidth="1"/>
    <col min="19" max="19" width="10.57421875" style="12" bestFit="1" customWidth="1"/>
    <col min="20" max="70" width="9.140625" style="12" customWidth="1"/>
    <col min="71" max="16384" width="9.140625" style="1" customWidth="1"/>
  </cols>
  <sheetData>
    <row r="1" spans="1:51" s="12" customFormat="1" ht="42" customHeight="1">
      <c r="A1" s="13"/>
      <c r="B1" s="13"/>
      <c r="C1" s="773" t="s">
        <v>757</v>
      </c>
      <c r="D1" s="797" t="s">
        <v>783</v>
      </c>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row>
    <row r="2" spans="1:51" ht="18.75">
      <c r="A2" s="13"/>
      <c r="B2" s="956" t="s">
        <v>415</v>
      </c>
      <c r="C2" s="956"/>
      <c r="D2" s="956"/>
      <c r="E2" s="956"/>
      <c r="F2" s="54"/>
      <c r="G2" s="39"/>
      <c r="H2" s="39"/>
      <c r="I2" s="39"/>
      <c r="J2" s="39"/>
      <c r="K2" s="39"/>
      <c r="L2" s="13"/>
      <c r="M2" s="13"/>
      <c r="N2" s="13"/>
      <c r="O2" s="13"/>
      <c r="P2" s="13"/>
      <c r="Q2" s="13"/>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c r="AV2" s="13"/>
      <c r="AW2" s="13"/>
      <c r="AX2" s="13"/>
      <c r="AY2" s="13"/>
    </row>
    <row r="3" spans="1:70" s="390" customFormat="1" ht="78" customHeight="1">
      <c r="A3" s="50"/>
      <c r="B3" s="954" t="s">
        <v>876</v>
      </c>
      <c r="C3" s="955"/>
      <c r="D3" s="955"/>
      <c r="E3" s="955"/>
      <c r="F3" s="955"/>
      <c r="G3" s="955"/>
      <c r="H3" s="955"/>
      <c r="I3" s="955"/>
      <c r="J3" s="955"/>
      <c r="K3" s="403"/>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0"/>
      <c r="AZ3" s="389"/>
      <c r="BA3" s="389"/>
      <c r="BB3" s="389"/>
      <c r="BC3" s="389"/>
      <c r="BD3" s="389"/>
      <c r="BE3" s="389"/>
      <c r="BF3" s="389"/>
      <c r="BG3" s="389"/>
      <c r="BH3" s="389"/>
      <c r="BI3" s="389"/>
      <c r="BJ3" s="389"/>
      <c r="BK3" s="389"/>
      <c r="BL3" s="389"/>
      <c r="BM3" s="389"/>
      <c r="BN3" s="389"/>
      <c r="BO3" s="389"/>
      <c r="BP3" s="389"/>
      <c r="BQ3" s="389"/>
      <c r="BR3" s="389"/>
    </row>
    <row r="4" spans="1:70" s="390" customFormat="1" ht="38.25" customHeight="1">
      <c r="A4" s="50"/>
      <c r="B4" s="954" t="s">
        <v>821</v>
      </c>
      <c r="C4" s="955"/>
      <c r="D4" s="955"/>
      <c r="E4" s="955"/>
      <c r="F4" s="955"/>
      <c r="G4" s="955"/>
      <c r="H4" s="955"/>
      <c r="I4" s="955"/>
      <c r="J4" s="955"/>
      <c r="K4" s="776"/>
      <c r="L4" s="50"/>
      <c r="M4" s="50"/>
      <c r="N4" s="50"/>
      <c r="O4" s="50"/>
      <c r="P4" s="50"/>
      <c r="Q4" s="50"/>
      <c r="R4" s="50"/>
      <c r="S4" s="50"/>
      <c r="T4" s="50"/>
      <c r="U4" s="50"/>
      <c r="V4" s="50"/>
      <c r="W4" s="50"/>
      <c r="X4" s="50"/>
      <c r="Y4" s="50"/>
      <c r="Z4" s="50"/>
      <c r="AA4" s="50"/>
      <c r="AB4" s="50"/>
      <c r="AC4" s="50"/>
      <c r="AD4" s="50"/>
      <c r="AE4" s="50"/>
      <c r="AF4" s="50"/>
      <c r="AG4" s="50"/>
      <c r="AH4" s="50"/>
      <c r="AI4" s="50"/>
      <c r="AJ4" s="50"/>
      <c r="AK4" s="50"/>
      <c r="AL4" s="50"/>
      <c r="AM4" s="50"/>
      <c r="AN4" s="50"/>
      <c r="AO4" s="50"/>
      <c r="AP4" s="50"/>
      <c r="AQ4" s="50"/>
      <c r="AR4" s="50"/>
      <c r="AS4" s="50"/>
      <c r="AT4" s="50"/>
      <c r="AU4" s="50"/>
      <c r="AV4" s="50"/>
      <c r="AW4" s="50"/>
      <c r="AX4" s="50"/>
      <c r="AY4" s="50"/>
      <c r="AZ4" s="389"/>
      <c r="BA4" s="389"/>
      <c r="BB4" s="389"/>
      <c r="BC4" s="389"/>
      <c r="BD4" s="389"/>
      <c r="BE4" s="389"/>
      <c r="BF4" s="389"/>
      <c r="BG4" s="389"/>
      <c r="BH4" s="389"/>
      <c r="BI4" s="389"/>
      <c r="BJ4" s="389"/>
      <c r="BK4" s="389"/>
      <c r="BL4" s="389"/>
      <c r="BM4" s="389"/>
      <c r="BN4" s="389"/>
      <c r="BO4" s="389"/>
      <c r="BP4" s="389"/>
      <c r="BQ4" s="389"/>
      <c r="BR4" s="389"/>
    </row>
    <row r="5" spans="1:70" s="390" customFormat="1" ht="26.25" customHeight="1">
      <c r="A5" s="50"/>
      <c r="B5" s="954" t="s">
        <v>818</v>
      </c>
      <c r="C5" s="955"/>
      <c r="D5" s="955"/>
      <c r="E5" s="955"/>
      <c r="F5" s="955"/>
      <c r="G5" s="955"/>
      <c r="H5" s="955"/>
      <c r="I5" s="955"/>
      <c r="J5" s="955"/>
      <c r="K5" s="776"/>
      <c r="L5" s="50"/>
      <c r="M5" s="50"/>
      <c r="N5" s="50"/>
      <c r="O5" s="50"/>
      <c r="P5" s="50"/>
      <c r="Q5" s="50"/>
      <c r="R5" s="50"/>
      <c r="S5" s="50"/>
      <c r="T5" s="50"/>
      <c r="U5" s="50"/>
      <c r="V5" s="50"/>
      <c r="W5" s="50"/>
      <c r="X5" s="50"/>
      <c r="Y5" s="50"/>
      <c r="Z5" s="50"/>
      <c r="AA5" s="50"/>
      <c r="AB5" s="50"/>
      <c r="AC5" s="50"/>
      <c r="AD5" s="50"/>
      <c r="AE5" s="50"/>
      <c r="AF5" s="50"/>
      <c r="AG5" s="50"/>
      <c r="AH5" s="50"/>
      <c r="AI5" s="50"/>
      <c r="AJ5" s="50"/>
      <c r="AK5" s="50"/>
      <c r="AL5" s="50"/>
      <c r="AM5" s="50"/>
      <c r="AN5" s="50"/>
      <c r="AO5" s="50"/>
      <c r="AP5" s="50"/>
      <c r="AQ5" s="50"/>
      <c r="AR5" s="50"/>
      <c r="AS5" s="50"/>
      <c r="AT5" s="50"/>
      <c r="AU5" s="50"/>
      <c r="AV5" s="50"/>
      <c r="AW5" s="50"/>
      <c r="AX5" s="50"/>
      <c r="AY5" s="50"/>
      <c r="AZ5" s="389"/>
      <c r="BA5" s="389"/>
      <c r="BB5" s="389"/>
      <c r="BC5" s="389"/>
      <c r="BD5" s="389"/>
      <c r="BE5" s="389"/>
      <c r="BF5" s="389"/>
      <c r="BG5" s="389"/>
      <c r="BH5" s="389"/>
      <c r="BI5" s="389"/>
      <c r="BJ5" s="389"/>
      <c r="BK5" s="389"/>
      <c r="BL5" s="389"/>
      <c r="BM5" s="389"/>
      <c r="BN5" s="389"/>
      <c r="BO5" s="389"/>
      <c r="BP5" s="389"/>
      <c r="BQ5" s="389"/>
      <c r="BR5" s="389"/>
    </row>
    <row r="6" spans="1:51" ht="18.75">
      <c r="A6" s="13"/>
      <c r="B6" s="39"/>
      <c r="C6" s="956" t="s">
        <v>18</v>
      </c>
      <c r="D6" s="956"/>
      <c r="E6" s="956"/>
      <c r="F6" s="956"/>
      <c r="G6" s="39"/>
      <c r="H6" s="39"/>
      <c r="I6" s="39"/>
      <c r="J6" s="39"/>
      <c r="K6" s="39"/>
      <c r="L6" s="13"/>
      <c r="M6" s="36"/>
      <c r="N6" s="36"/>
      <c r="O6" s="36"/>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row>
    <row r="7" spans="1:51" ht="15">
      <c r="A7" s="13"/>
      <c r="B7" s="39"/>
      <c r="C7" s="968"/>
      <c r="D7" s="968"/>
      <c r="E7" s="968"/>
      <c r="F7" s="968"/>
      <c r="G7" s="39"/>
      <c r="H7" s="39"/>
      <c r="I7" s="39"/>
      <c r="J7" s="39"/>
      <c r="K7" s="39"/>
      <c r="L7" s="13"/>
      <c r="M7" s="36"/>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row>
    <row r="8" spans="1:51" ht="15">
      <c r="A8" s="13"/>
      <c r="B8" s="39"/>
      <c r="C8" s="878" t="s">
        <v>464</v>
      </c>
      <c r="D8" s="878"/>
      <c r="E8" s="878"/>
      <c r="F8" s="883"/>
      <c r="G8" s="744"/>
      <c r="H8"/>
      <c r="I8" s="39"/>
      <c r="J8"/>
      <c r="K8" s="39"/>
      <c r="L8" s="36"/>
      <c r="M8" s="36" t="str">
        <f>IF(LinenReuseProgram="","You must answer question 1.","")</f>
        <v>You must answer question 1.</v>
      </c>
      <c r="N8" s="13"/>
      <c r="O8" s="13"/>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3"/>
      <c r="AX8" s="13"/>
      <c r="AY8" s="13"/>
    </row>
    <row r="9" spans="1:51" ht="15">
      <c r="A9" s="13"/>
      <c r="B9" s="39"/>
      <c r="C9" s="878"/>
      <c r="D9" s="878"/>
      <c r="E9" s="878"/>
      <c r="F9" s="878"/>
      <c r="G9" s="49"/>
      <c r="H9" s="49"/>
      <c r="I9" s="39"/>
      <c r="J9" s="39"/>
      <c r="K9" s="39"/>
      <c r="L9" s="13"/>
      <c r="M9" s="36" t="str">
        <f>IF(OR(StatusOfCalcFields="Incomplete"),"Calculations on this tab use information from the 'Facility Info' tab. Therefore you must first complete the 'Facility Info' tab before you can display these results.","")</f>
        <v>Calculations on this tab use information from the 'Facility Info' tab. Therefore you must first complete the 'Facility Info' tab before you can display these results.</v>
      </c>
      <c r="N9" s="13"/>
      <c r="O9" s="13"/>
      <c r="P9" s="13"/>
      <c r="Q9" s="13"/>
      <c r="R9" s="13"/>
      <c r="S9" s="13"/>
      <c r="T9" s="13"/>
      <c r="U9" s="13"/>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c r="AX9" s="13"/>
      <c r="AY9" s="13"/>
    </row>
    <row r="10" spans="1:51" ht="15">
      <c r="A10" s="13"/>
      <c r="B10" s="39"/>
      <c r="C10" s="878" t="s">
        <v>465</v>
      </c>
      <c r="D10" s="878"/>
      <c r="E10" s="878"/>
      <c r="F10" s="883"/>
      <c r="G10" s="744"/>
      <c r="H10" s="40"/>
      <c r="I10" s="39"/>
      <c r="J10" s="39"/>
      <c r="K10" s="39"/>
      <c r="L10" s="13"/>
      <c r="M10" s="36" t="str">
        <f>IF(InHouseLaundry="","You must answer question 2.","")</f>
        <v>You must answer question 2.</v>
      </c>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row>
    <row r="11" spans="1:51" ht="15" hidden="1">
      <c r="A11" s="13"/>
      <c r="B11" s="39"/>
      <c r="C11" s="968"/>
      <c r="D11" s="968"/>
      <c r="E11" s="968"/>
      <c r="F11" s="968"/>
      <c r="G11" s="39"/>
      <c r="H11" s="39"/>
      <c r="I11" s="39"/>
      <c r="J11" s="39"/>
      <c r="K11" s="39"/>
      <c r="L11" s="13"/>
      <c r="M11" s="36" t="str">
        <f>IF(InHouseLaundry&lt;&gt;"Yes","Based on your current inputs, there are no results to display.","")</f>
        <v>Based on your current inputs, there are no results to display.</v>
      </c>
      <c r="N11" s="13"/>
      <c r="O11" s="13"/>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row>
    <row r="12" spans="1:51" ht="15" hidden="1">
      <c r="A12" s="13"/>
      <c r="B12" s="39"/>
      <c r="C12" s="878" t="s">
        <v>466</v>
      </c>
      <c r="D12" s="878"/>
      <c r="E12" s="878"/>
      <c r="F12" s="883"/>
      <c r="G12" s="848"/>
      <c r="H12"/>
      <c r="I12" s="39"/>
      <c r="J12"/>
      <c r="K12" s="39"/>
      <c r="L12" s="36"/>
      <c r="M12" s="844" t="str">
        <f>IF(WeightOfLaundry&lt;=0,"You must answer question 2a.","")</f>
        <v>You must answer question 2a.</v>
      </c>
      <c r="N12" s="13"/>
      <c r="O12" s="13"/>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row>
    <row r="13" spans="1:51" ht="15" hidden="1">
      <c r="A13" s="13"/>
      <c r="B13" s="39"/>
      <c r="C13" s="878"/>
      <c r="D13" s="878"/>
      <c r="E13" s="878"/>
      <c r="F13" s="878"/>
      <c r="G13" s="49"/>
      <c r="H13" s="49"/>
      <c r="I13" s="39"/>
      <c r="J13" s="39"/>
      <c r="K13" s="39"/>
      <c r="L13" s="13"/>
      <c r="M13" s="36"/>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row>
    <row r="14" spans="1:70" s="390" customFormat="1" ht="16.5" customHeight="1" hidden="1">
      <c r="A14" s="50"/>
      <c r="B14" s="403"/>
      <c r="C14" s="936" t="s">
        <v>467</v>
      </c>
      <c r="D14" s="936"/>
      <c r="E14" s="936"/>
      <c r="F14" s="936"/>
      <c r="G14" s="51"/>
      <c r="H14" s="51"/>
      <c r="I14" s="52"/>
      <c r="J14" s="52"/>
      <c r="K14" s="52"/>
      <c r="L14" s="50"/>
      <c r="M14" s="50"/>
      <c r="N14" s="846"/>
      <c r="O14" s="846"/>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389"/>
      <c r="BA14" s="389"/>
      <c r="BB14" s="389"/>
      <c r="BC14" s="389"/>
      <c r="BD14" s="389"/>
      <c r="BE14" s="389"/>
      <c r="BF14" s="389"/>
      <c r="BG14" s="389"/>
      <c r="BH14" s="389"/>
      <c r="BI14" s="389"/>
      <c r="BJ14" s="389"/>
      <c r="BK14" s="389"/>
      <c r="BL14" s="389"/>
      <c r="BM14" s="389"/>
      <c r="BN14" s="389"/>
      <c r="BO14" s="389"/>
      <c r="BP14" s="389"/>
      <c r="BQ14" s="389"/>
      <c r="BR14" s="389"/>
    </row>
    <row r="15" spans="1:51" ht="15" hidden="1">
      <c r="A15" s="13"/>
      <c r="B15" s="41"/>
      <c r="C15" s="39"/>
      <c r="D15" s="39"/>
      <c r="E15" s="17" t="s">
        <v>59</v>
      </c>
      <c r="F15" s="18" t="s">
        <v>60</v>
      </c>
      <c r="G15" s="17" t="s">
        <v>61</v>
      </c>
      <c r="H15" s="17" t="s">
        <v>62</v>
      </c>
      <c r="I15" s="17" t="s">
        <v>10</v>
      </c>
      <c r="J15" s="614"/>
      <c r="K15" s="614"/>
      <c r="L15" s="13"/>
      <c r="M15" s="50"/>
      <c r="N15" s="850" t="s">
        <v>870</v>
      </c>
      <c r="O15" s="850" t="s">
        <v>869</v>
      </c>
      <c r="P15" s="850" t="s">
        <v>863</v>
      </c>
      <c r="Q15" s="850" t="s">
        <v>864</v>
      </c>
      <c r="R15" s="850" t="s">
        <v>867</v>
      </c>
      <c r="S15" s="850" t="s">
        <v>875</v>
      </c>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row>
    <row r="16" spans="1:51" ht="15" hidden="1">
      <c r="A16" s="13"/>
      <c r="B16" s="41"/>
      <c r="C16" s="39"/>
      <c r="D16" s="39"/>
      <c r="E16" s="744"/>
      <c r="F16" s="849"/>
      <c r="G16" s="752"/>
      <c r="H16" s="752"/>
      <c r="I16" s="849"/>
      <c r="J16" s="614"/>
      <c r="K16" s="776"/>
      <c r="L16" s="13"/>
      <c r="M16" s="36" t="str">
        <f>IF(COUNTA(E16:I16)&lt;5,"The first row under question 2b is incomplete.",IF(N16&lt;&gt;"",N16,""))</f>
        <v>The first row under question 2b is incomplete.</v>
      </c>
      <c r="N16" s="846">
        <f>IF(AND(E16=$P$15,F16&gt;$G$43),"The capacity for a multi-load washer cannot exceed "&amp;$G$43&amp;" pounds.",IF(AND(E16=$Q$15,F16&gt;$G$44),"The capacity for a washer extractor cannot exceed "&amp;TEXT($G$44,"#,##0")&amp;" pounds.",IF(AND(E16=$R$15,F16&gt;$G$45),"The capacity for a tunnel washer cannot exceed "&amp;TEXT($G$45,"#,##0")&amp;" pounds.","")))</f>
      </c>
      <c r="O16" s="851">
        <f>IF(F16*I16&gt;0,(F16*I16)/SUMPRODUCT(F$16:F$19,I$16:I$19),0)</f>
        <v>0</v>
      </c>
      <c r="P16" s="852">
        <f>IF(E16="Multi-Load Washer",1,0)*$G$40*WeightOfLaundry*$O16</f>
        <v>0</v>
      </c>
      <c r="Q16" s="852">
        <f>IF(E16="Washer Extractor",1,0)*$G$41*WeightOfLaundry*$O16</f>
        <v>0</v>
      </c>
      <c r="R16" s="852">
        <f>IF(E16="Tunnel Washer",1,0)*$G$42*WeightOfLaundry*$O16</f>
        <v>0</v>
      </c>
      <c r="S16" s="853">
        <f>IF(G16="No",SUM(P16:Q16)*HotelOperatingDays,0)</f>
        <v>0</v>
      </c>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row>
    <row r="17" spans="1:51" ht="15" hidden="1">
      <c r="A17" s="13"/>
      <c r="B17" s="41"/>
      <c r="C17" s="39"/>
      <c r="D17" s="39"/>
      <c r="E17" s="744"/>
      <c r="F17" s="849"/>
      <c r="G17" s="752"/>
      <c r="H17" s="752"/>
      <c r="I17" s="849"/>
      <c r="J17" s="614"/>
      <c r="K17" s="776"/>
      <c r="L17" s="13"/>
      <c r="M17" s="36">
        <f>IF(AND(COUNTA(E17:I17)&gt;0,COUNTA(E17:I17)&lt;5),"The second row under question 2b is incomplete.",IF(N17&lt;&gt;"",N17,""))</f>
      </c>
      <c r="N17" s="846">
        <f>IF(AND(E17=$P$15,F17&gt;$G$43),"The capacity for a multi-load washer cannot exceed "&amp;$G$43&amp;" pounds.",IF(AND(E17=$Q$15,F17&gt;$G$44),"The capacity for a washer extractor cannot exceed "&amp;TEXT($G$44,"#,##0")&amp;" pounds.",IF(AND(E17=$R$15,F17&gt;$G$45),"The capacity for a tunnel washer cannot exceed "&amp;TEXT($G$45,"#,##0")&amp;" pounds.","")))</f>
      </c>
      <c r="O17" s="851">
        <f>IF(F17*I17&gt;0,(F17*I17)/SUMPRODUCT(F$16:F$19,I$16:I$19),0)</f>
        <v>0</v>
      </c>
      <c r="P17" s="852">
        <f>IF(E17="Multi-Load Washer",1,0)*$G$40*WeightOfLaundry*$O17</f>
        <v>0</v>
      </c>
      <c r="Q17" s="852">
        <f>IF(E17="Washer Extractor",1,0)*$G$41*WeightOfLaundry*$O17</f>
        <v>0</v>
      </c>
      <c r="R17" s="852">
        <f>IF(E17="Tunnel Washer",1,0)*$G$42*WeightOfLaundry*$O17</f>
        <v>0</v>
      </c>
      <c r="S17" s="853">
        <f>IF(G17="No",SUM(P17:Q17)*HotelOperatingDays,0)</f>
        <v>0</v>
      </c>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row>
    <row r="18" spans="1:51" ht="15" hidden="1">
      <c r="A18" s="13"/>
      <c r="B18" s="41"/>
      <c r="C18" s="39"/>
      <c r="D18" s="39"/>
      <c r="E18" s="744"/>
      <c r="F18" s="849"/>
      <c r="G18" s="752"/>
      <c r="H18" s="752"/>
      <c r="I18" s="849"/>
      <c r="J18" s="614"/>
      <c r="K18" s="776"/>
      <c r="L18" s="13"/>
      <c r="M18" s="36">
        <f>IF(AND(COUNTA(E18:I18)&gt;0,COUNTA(E18:I18)&lt;5),"The third row under question 2b is incomplete.",IF(N18&lt;&gt;"",N18,""))</f>
      </c>
      <c r="N18" s="846">
        <f>IF(AND(E18=$P$15,F18&gt;$G$43),"The capacity for a multi-load washer cannot exceed "&amp;$G$43&amp;" pounds.",IF(AND(E18=$Q$15,F18&gt;$G$44),"The capacity for a washer extractor cannot exceed "&amp;TEXT($G$44,"#,##0")&amp;" pounds.",IF(AND(E18=$R$15,F18&gt;$G$45),"The capacity for a tunnel washer cannot exceed "&amp;TEXT($G$45,"#,##0")&amp;" pounds.","")))</f>
      </c>
      <c r="O18" s="851">
        <f>IF(F18*I18&gt;0,(F18*I18)/SUMPRODUCT(F$16:F$19,I$16:I$19),0)</f>
        <v>0</v>
      </c>
      <c r="P18" s="852">
        <f>IF(E18="Multi-Load Washer",1,0)*$G$40*WeightOfLaundry*$O18</f>
        <v>0</v>
      </c>
      <c r="Q18" s="852">
        <f>IF(E18="Washer Extractor",1,0)*$G$41*WeightOfLaundry*$O18</f>
        <v>0</v>
      </c>
      <c r="R18" s="852">
        <f>IF(E18="Tunnel Washer",1,0)*$G$42*WeightOfLaundry*$O18</f>
        <v>0</v>
      </c>
      <c r="S18" s="853">
        <f>IF(G18="No",SUM(P18:Q18)*HotelOperatingDays,0)</f>
        <v>0</v>
      </c>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row>
    <row r="19" spans="1:51" ht="15" hidden="1">
      <c r="A19" s="13"/>
      <c r="B19" s="41"/>
      <c r="C19" s="39"/>
      <c r="D19" s="39"/>
      <c r="E19" s="744"/>
      <c r="F19" s="849"/>
      <c r="G19" s="752"/>
      <c r="H19" s="752"/>
      <c r="I19" s="849"/>
      <c r="J19" s="614"/>
      <c r="K19" s="776"/>
      <c r="L19" s="13"/>
      <c r="M19" s="36">
        <f>IF(AND(COUNTA(E19:I19)&gt;0,COUNTA(E19:I19)&lt;5),"The fourth row under question 2b is incomplete.",IF(N19&lt;&gt;"",N19,""))</f>
      </c>
      <c r="N19" s="846">
        <f>IF(AND(E19=$P$15,F19&gt;$G$43),"The capacity for a multi-load washer cannot exceed "&amp;$G$43&amp;" pounds.",IF(AND(E19=$Q$15,F19&gt;$G$44),"The capacity for a washer extractor cannot exceed "&amp;TEXT($G$44,"#,##0")&amp;" pounds.",IF(AND(E19=$R$15,F19&gt;$G$45),"The capacity for a tunnel washer cannot exceed "&amp;TEXT($G$45,"#,##0")&amp;" pounds.","")))</f>
      </c>
      <c r="O19" s="851">
        <f>IF(F19*I19&gt;0,(F19*I19)/SUMPRODUCT(F$16:F$19,I$16:I$19),0)</f>
        <v>0</v>
      </c>
      <c r="P19" s="852">
        <f>IF(E19="Multi-Load Washer",1,0)*$G$40*WeightOfLaundry*$O19</f>
        <v>0</v>
      </c>
      <c r="Q19" s="852">
        <f>IF(E19="Washer Extractor",1,0)*$G$41*WeightOfLaundry*$O19</f>
        <v>0</v>
      </c>
      <c r="R19" s="852">
        <f>IF(E19="Tunnel Washer",1,0)*$G$42*WeightOfLaundry*$O19</f>
        <v>0</v>
      </c>
      <c r="S19" s="853">
        <f>IF(G19="No",SUM(P19:Q19)*HotelOperatingDays,0)</f>
        <v>0</v>
      </c>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row>
    <row r="20" spans="1:51" ht="34.5" customHeight="1">
      <c r="A20" s="13"/>
      <c r="B20" s="39"/>
      <c r="C20" s="39"/>
      <c r="D20" s="39"/>
      <c r="E20" s="39"/>
      <c r="F20" s="39"/>
      <c r="G20" s="39"/>
      <c r="H20" s="39"/>
      <c r="I20" s="39"/>
      <c r="J20" s="39"/>
      <c r="K20" s="39"/>
      <c r="L20" s="13"/>
      <c r="M20" s="13"/>
      <c r="N20" s="13"/>
      <c r="O20" s="13"/>
      <c r="P20" s="13"/>
      <c r="Q20" s="13"/>
      <c r="R20" s="13"/>
      <c r="S20" s="13"/>
      <c r="T20" s="13"/>
      <c r="U20" s="13"/>
      <c r="V20" s="13"/>
      <c r="W20" s="13"/>
      <c r="X20" s="13"/>
      <c r="Y20" s="13"/>
      <c r="Z20" s="13"/>
      <c r="AA20" s="13"/>
      <c r="AB20" s="13"/>
      <c r="AC20" s="13"/>
      <c r="AD20" s="13"/>
      <c r="AE20" s="13"/>
      <c r="AF20" s="13"/>
      <c r="AG20" s="13"/>
      <c r="AH20" s="13"/>
      <c r="AI20" s="13"/>
      <c r="AJ20" s="13"/>
      <c r="AK20" s="13"/>
      <c r="AL20" s="13"/>
      <c r="AM20" s="13"/>
      <c r="AN20" s="13"/>
      <c r="AO20" s="13"/>
      <c r="AP20" s="13"/>
      <c r="AQ20" s="13"/>
      <c r="AR20" s="13"/>
      <c r="AS20" s="13"/>
      <c r="AT20" s="13"/>
      <c r="AU20" s="13"/>
      <c r="AV20" s="13"/>
      <c r="AW20" s="13"/>
      <c r="AX20" s="13"/>
      <c r="AY20" s="13"/>
    </row>
    <row r="21" spans="1:51" ht="18.75" hidden="1">
      <c r="A21" s="13"/>
      <c r="B21" s="39"/>
      <c r="C21" s="872" t="s">
        <v>38</v>
      </c>
      <c r="D21" s="872"/>
      <c r="E21" s="872"/>
      <c r="F21" s="42"/>
      <c r="G21" s="39"/>
      <c r="H21" s="39"/>
      <c r="I21" s="39"/>
      <c r="J21" s="39"/>
      <c r="K21" s="39"/>
      <c r="L21" s="13"/>
      <c r="M21" s="13"/>
      <c r="N21" s="13"/>
      <c r="O21" s="13"/>
      <c r="P21" s="13"/>
      <c r="Q21" s="13"/>
      <c r="R21" s="13"/>
      <c r="S21" s="13"/>
      <c r="T21" s="13"/>
      <c r="U21" s="13"/>
      <c r="V21" s="13"/>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3"/>
      <c r="AU21" s="13"/>
      <c r="AV21" s="13"/>
      <c r="AW21" s="13"/>
      <c r="AX21" s="13"/>
      <c r="AY21" s="13"/>
    </row>
    <row r="22" spans="1:70" s="390" customFormat="1" ht="19.5" customHeight="1" hidden="1">
      <c r="A22" s="50"/>
      <c r="B22" s="449"/>
      <c r="C22" s="936" t="str">
        <f>"A hotel that washes an average of "&amp;TEXT((G12),"#,##0")&amp;" pounds of laundry per day uses approximately "&amp;TEXT(ROUNDDOWN(E27,-3),"#,##0")&amp;" gallons per year for laundry."</f>
        <v>A hotel that washes an average of 0 pounds of laundry per day uses approximately 0 gallons per year for laundry.</v>
      </c>
      <c r="D22" s="936"/>
      <c r="E22" s="936"/>
      <c r="F22" s="936"/>
      <c r="G22" s="936"/>
      <c r="H22" s="936"/>
      <c r="I22" s="936"/>
      <c r="J22" s="936"/>
      <c r="K22" s="449"/>
      <c r="L22" s="50"/>
      <c r="M22" s="50"/>
      <c r="N22" s="50"/>
      <c r="O22" s="50"/>
      <c r="P22" s="50"/>
      <c r="Q22" s="50"/>
      <c r="R22" s="50"/>
      <c r="S22" s="50"/>
      <c r="T22" s="50"/>
      <c r="U22" s="50"/>
      <c r="V22" s="50"/>
      <c r="W22" s="50"/>
      <c r="X22" s="50"/>
      <c r="Y22" s="50"/>
      <c r="Z22" s="50"/>
      <c r="AA22" s="50"/>
      <c r="AB22" s="50"/>
      <c r="AC22" s="50"/>
      <c r="AD22" s="50"/>
      <c r="AE22" s="50"/>
      <c r="AF22" s="50"/>
      <c r="AG22" s="50"/>
      <c r="AH22" s="50"/>
      <c r="AI22" s="50"/>
      <c r="AJ22" s="50"/>
      <c r="AK22" s="50"/>
      <c r="AL22" s="50"/>
      <c r="AM22" s="50"/>
      <c r="AN22" s="50"/>
      <c r="AO22" s="50"/>
      <c r="AP22" s="50"/>
      <c r="AQ22" s="50"/>
      <c r="AR22" s="50"/>
      <c r="AS22" s="50"/>
      <c r="AT22" s="50"/>
      <c r="AU22" s="50"/>
      <c r="AV22" s="50"/>
      <c r="AW22" s="50"/>
      <c r="AX22" s="50"/>
      <c r="AY22" s="50"/>
      <c r="AZ22" s="389"/>
      <c r="BA22" s="389"/>
      <c r="BB22" s="389"/>
      <c r="BC22" s="389"/>
      <c r="BD22" s="389"/>
      <c r="BE22" s="389"/>
      <c r="BF22" s="389"/>
      <c r="BG22" s="389"/>
      <c r="BH22" s="389"/>
      <c r="BI22" s="389"/>
      <c r="BJ22" s="389"/>
      <c r="BK22" s="389"/>
      <c r="BL22" s="389"/>
      <c r="BM22" s="389"/>
      <c r="BN22" s="389"/>
      <c r="BO22" s="389"/>
      <c r="BP22" s="389"/>
      <c r="BQ22" s="389"/>
      <c r="BR22" s="389"/>
    </row>
    <row r="23" spans="1:51" ht="26.25" hidden="1">
      <c r="A23" s="13"/>
      <c r="B23" s="39"/>
      <c r="C23" s="23"/>
      <c r="D23" s="529"/>
      <c r="E23" s="26" t="s">
        <v>58</v>
      </c>
      <c r="F23" s="43"/>
      <c r="G23" s="43"/>
      <c r="H23" s="43"/>
      <c r="I23" s="45"/>
      <c r="J23" s="39"/>
      <c r="K23" s="39"/>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c r="AY23" s="13"/>
    </row>
    <row r="24" spans="1:51" ht="15" hidden="1">
      <c r="A24" s="13"/>
      <c r="B24" s="39"/>
      <c r="C24" s="529"/>
      <c r="D24" s="626" t="s">
        <v>865</v>
      </c>
      <c r="E24" s="24" t="str">
        <f>IF(SUM(P16:P19)&gt;0,ROUNDDOWN(SUM(P16:P19)*HotelOperatingDays,-3),"Not Estimated")</f>
        <v>Not Estimated</v>
      </c>
      <c r="F24" s="43"/>
      <c r="G24" s="43"/>
      <c r="H24" s="43"/>
      <c r="I24" s="45"/>
      <c r="J24" s="39"/>
      <c r="K24" s="39"/>
      <c r="L24" s="13"/>
      <c r="M24" s="13"/>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13"/>
    </row>
    <row r="25" spans="1:51" ht="15" hidden="1">
      <c r="A25" s="13"/>
      <c r="B25" s="39"/>
      <c r="C25" s="529"/>
      <c r="D25" s="626" t="s">
        <v>866</v>
      </c>
      <c r="E25" s="24" t="str">
        <f>IF(SUM(Q16:Q19)&gt;0,ROUNDDOWN(SUM(Q16:Q19)*HotelOperatingDays,-3),"Not Estimated")</f>
        <v>Not Estimated</v>
      </c>
      <c r="F25" s="43"/>
      <c r="G25" s="43"/>
      <c r="H25" s="43"/>
      <c r="I25" s="45"/>
      <c r="J25" s="39"/>
      <c r="K25" s="39"/>
      <c r="L25" s="13"/>
      <c r="M25" s="13"/>
      <c r="N25" s="13"/>
      <c r="O25" s="13"/>
      <c r="P25" s="13"/>
      <c r="Q25" s="13"/>
      <c r="R25" s="13"/>
      <c r="S25" s="13"/>
      <c r="T25" s="13"/>
      <c r="U25" s="13"/>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3"/>
      <c r="AU25" s="13"/>
      <c r="AV25" s="13"/>
      <c r="AW25" s="13"/>
      <c r="AX25" s="13"/>
      <c r="AY25" s="13"/>
    </row>
    <row r="26" spans="1:51" ht="15" hidden="1">
      <c r="A26" s="13"/>
      <c r="B26" s="39"/>
      <c r="C26" s="529"/>
      <c r="D26" s="626" t="s">
        <v>868</v>
      </c>
      <c r="E26" s="24" t="str">
        <f>IF(SUM(R16:R19)&gt;0,ROUNDDOWN(SUM(R16:R19)*HotelOperatingDays,-3),"Not Estimated")</f>
        <v>Not Estimated</v>
      </c>
      <c r="F26" s="43"/>
      <c r="G26" s="43"/>
      <c r="H26" s="43"/>
      <c r="I26" s="45"/>
      <c r="J26" s="39"/>
      <c r="K26" s="39"/>
      <c r="L26" s="13"/>
      <c r="M26" s="13"/>
      <c r="N26" s="13"/>
      <c r="O26" s="13"/>
      <c r="P26" s="13"/>
      <c r="Q26" s="13"/>
      <c r="R26" s="13"/>
      <c r="S26" s="13"/>
      <c r="T26" s="13"/>
      <c r="U26" s="13"/>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3"/>
      <c r="AY26" s="13"/>
    </row>
    <row r="27" spans="1:51" ht="15" hidden="1">
      <c r="A27" s="13"/>
      <c r="B27" s="39"/>
      <c r="D27" s="16" t="s">
        <v>338</v>
      </c>
      <c r="E27" s="24">
        <f>SUM(E24:E26)</f>
        <v>0</v>
      </c>
      <c r="F27" s="47"/>
      <c r="G27" s="44"/>
      <c r="H27" s="44"/>
      <c r="I27" s="39"/>
      <c r="J27" s="39"/>
      <c r="K27" s="39"/>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row>
    <row r="28" spans="1:51" ht="15" hidden="1">
      <c r="A28" s="13"/>
      <c r="B28" s="39"/>
      <c r="C28" s="16"/>
      <c r="D28" s="16"/>
      <c r="E28" s="16"/>
      <c r="F28" s="44"/>
      <c r="G28" s="44"/>
      <c r="H28" s="44"/>
      <c r="I28" s="39"/>
      <c r="J28" s="39"/>
      <c r="K28" s="39"/>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row>
    <row r="29" spans="1:51" ht="21.75" customHeight="1" hidden="1">
      <c r="A29" s="13"/>
      <c r="B29" s="39"/>
      <c r="C29" s="969" t="s">
        <v>64</v>
      </c>
      <c r="D29" s="969"/>
      <c r="E29" s="969"/>
      <c r="F29" s="969"/>
      <c r="G29" s="969"/>
      <c r="H29" s="969"/>
      <c r="I29" s="969"/>
      <c r="J29" s="969"/>
      <c r="K29" s="39"/>
      <c r="L29" s="13"/>
      <c r="M29" s="13"/>
      <c r="N29" s="262"/>
      <c r="O29" s="262"/>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row>
    <row r="30" spans="1:51" ht="51" customHeight="1" hidden="1">
      <c r="A30" s="13"/>
      <c r="B30" s="39"/>
      <c r="C30" s="792" t="s">
        <v>760</v>
      </c>
      <c r="D30" s="970" t="str">
        <f>"According to the American Hotel &amp; Lodging Association (AH&amp;LA), implementing a linen and towel reuse program that allows guests to choose whether or not to have their linens and towels laundered daily can reduce a hotel's laundry load by approximately "&amp;Defaults!B43*100&amp;" percent. This reduces the amount of water, energy, detergent, and labor needed to clean laundry each day and decreases the wear and tear on linens and towels."</f>
        <v>According to the American Hotel &amp; Lodging Association (AH&amp;LA), implementing a linen and towel reuse program that allows guests to choose whether or not to have their linens and towels laundered daily can reduce a hotel's laundry load by approximately 17 percent. This reduces the amount of water, energy, detergent, and labor needed to clean laundry each day and decreases the wear and tear on linens and towels.</v>
      </c>
      <c r="E30" s="970"/>
      <c r="F30" s="970"/>
      <c r="G30" s="970"/>
      <c r="H30" s="970"/>
      <c r="I30" s="970"/>
      <c r="J30" s="970"/>
      <c r="K30" s="39"/>
      <c r="L30" s="13"/>
      <c r="M30" s="13"/>
      <c r="N30" s="819"/>
      <c r="O30" s="819"/>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row>
    <row r="31" spans="1:51" ht="31.5" customHeight="1" hidden="1">
      <c r="A31" s="13"/>
      <c r="B31" s="39"/>
      <c r="C31" s="792" t="s">
        <v>760</v>
      </c>
      <c r="D31" s="970" t="s">
        <v>874</v>
      </c>
      <c r="E31" s="970"/>
      <c r="F31" s="970"/>
      <c r="G31" s="970"/>
      <c r="H31" s="970"/>
      <c r="I31" s="970"/>
      <c r="J31" s="970"/>
      <c r="K31" s="39"/>
      <c r="L31" s="13"/>
      <c r="M31" s="13"/>
      <c r="N31" s="819"/>
      <c r="O31" s="819"/>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row>
    <row r="32" spans="1:51" ht="77.25" customHeight="1" hidden="1">
      <c r="A32" s="13"/>
      <c r="B32" s="39"/>
      <c r="C32" s="792" t="s">
        <v>760</v>
      </c>
      <c r="D32" s="970" t="str">
        <f>"Your hotel could reduce water use by as much as "&amp;TEXT(ROUNDDOWN(SUM(S16:S19)*0.35,-3),"#,##0")&amp;" gallons annually by installing a simple water recycling system for your laundry equipment"&amp;IF(COUNTIF(G16:G19,"Yes")&gt;0,", where recycling systems have not already been installed","")&amp;". These systems can reduce water use between 10 and 35 percent."&amp;" Alternatively, installing a complex water recycling system can save 85 to 90 percent of water used for hotel laundry—or as much as "&amp;TEXT(ROUNDDOWN(SUM(S16:S19)*0.9,-3),"#,##0")&amp;" gallons annually."&amp;" Contact your hotel laundry equipment vendor to determine the feasibility and cost of retrofitting your existing laundry equipment with a water recycling system or replacing it with models with built-in water recycling systems."</f>
        <v>Your hotel could reduce water use by as much as 0 gallons annually by installing a simple water recycling system for your laundry equipment. These systems can reduce water use between 10 and 35 percent. Alternatively, installing a complex water recycling system can save 85 to 90 percent of water used for hotel laundry—or as much as 0 gallons annually. Contact your hotel laundry equipment vendor to determine the feasibility and cost of retrofitting your existing laundry equipment with a water recycling system or replacing it with models with built-in water recycling systems.</v>
      </c>
      <c r="E32" s="970"/>
      <c r="F32" s="970"/>
      <c r="G32" s="970"/>
      <c r="H32" s="970"/>
      <c r="I32" s="970"/>
      <c r="J32" s="970"/>
      <c r="K32" s="39"/>
      <c r="L32" s="13"/>
      <c r="M32" s="13"/>
      <c r="N32" s="819"/>
      <c r="O32" s="819"/>
      <c r="P32" s="13"/>
      <c r="Q32" s="13"/>
      <c r="R32" s="13"/>
      <c r="S32" s="13"/>
      <c r="T32" s="13"/>
      <c r="U32" s="13"/>
      <c r="V32" s="13"/>
      <c r="W32" s="13"/>
      <c r="X32" s="13"/>
      <c r="Y32" s="13"/>
      <c r="Z32" s="13"/>
      <c r="AA32" s="13"/>
      <c r="AB32" s="13"/>
      <c r="AC32" s="13"/>
      <c r="AD32" s="13"/>
      <c r="AE32" s="13"/>
      <c r="AF32" s="13"/>
      <c r="AG32" s="13"/>
      <c r="AH32" s="13"/>
      <c r="AI32" s="13"/>
      <c r="AJ32" s="13"/>
      <c r="AK32" s="13"/>
      <c r="AL32" s="13"/>
      <c r="AM32" s="13"/>
      <c r="AN32" s="13"/>
      <c r="AO32" s="13"/>
      <c r="AP32" s="13"/>
      <c r="AQ32" s="13"/>
      <c r="AR32" s="13"/>
      <c r="AS32" s="13"/>
      <c r="AT32" s="13"/>
      <c r="AU32" s="13"/>
      <c r="AV32" s="13"/>
      <c r="AW32" s="13"/>
      <c r="AX32" s="13"/>
      <c r="AY32" s="13"/>
    </row>
    <row r="33" spans="1:51" ht="48" customHeight="1" hidden="1">
      <c r="A33" s="13"/>
      <c r="B33" s="39"/>
      <c r="C33" s="792" t="s">
        <v>760</v>
      </c>
      <c r="D33" s="970" t="s">
        <v>721</v>
      </c>
      <c r="E33" s="970"/>
      <c r="F33" s="970"/>
      <c r="G33" s="970"/>
      <c r="H33" s="970"/>
      <c r="I33" s="970"/>
      <c r="J33" s="970"/>
      <c r="K33" s="39"/>
      <c r="L33" s="13"/>
      <c r="M33" s="13"/>
      <c r="N33" s="819"/>
      <c r="O33" s="819"/>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c r="AY33" s="13"/>
    </row>
    <row r="34" spans="1:51" ht="27" customHeight="1" hidden="1">
      <c r="A34" s="13"/>
      <c r="B34" s="39"/>
      <c r="C34" s="793" t="s">
        <v>760</v>
      </c>
      <c r="D34" s="971" t="s">
        <v>762</v>
      </c>
      <c r="E34" s="971"/>
      <c r="F34" s="971"/>
      <c r="G34" s="971"/>
      <c r="H34" s="971"/>
      <c r="I34" s="971"/>
      <c r="J34" s="971"/>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13"/>
      <c r="AK34" s="13"/>
      <c r="AL34" s="13"/>
      <c r="AM34" s="13"/>
      <c r="AN34" s="13"/>
      <c r="AO34" s="13"/>
      <c r="AP34" s="13"/>
      <c r="AQ34" s="13"/>
      <c r="AR34" s="13"/>
      <c r="AS34" s="13"/>
      <c r="AT34" s="13"/>
      <c r="AU34" s="13"/>
      <c r="AV34" s="13"/>
      <c r="AW34" s="13"/>
      <c r="AX34" s="13"/>
      <c r="AY34" s="13"/>
    </row>
    <row r="35" spans="1:51" ht="31.5" customHeight="1" hidden="1">
      <c r="A35" s="13"/>
      <c r="B35" s="39"/>
      <c r="C35" s="793" t="s">
        <v>760</v>
      </c>
      <c r="D35" s="972" t="s">
        <v>773</v>
      </c>
      <c r="E35" s="972"/>
      <c r="F35" s="972"/>
      <c r="G35" s="972"/>
      <c r="H35" s="973" t="s">
        <v>719</v>
      </c>
      <c r="I35" s="973"/>
      <c r="J35" s="973"/>
      <c r="K35" s="39"/>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row>
    <row r="36" spans="1:51" ht="15" hidden="1">
      <c r="A36" s="13"/>
      <c r="B36" s="39"/>
      <c r="C36" s="39"/>
      <c r="D36" s="39"/>
      <c r="E36" s="39"/>
      <c r="F36" s="39"/>
      <c r="G36" s="39"/>
      <c r="H36" s="39"/>
      <c r="I36" s="39"/>
      <c r="J36" s="39"/>
      <c r="K36" s="39"/>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row>
    <row r="37" spans="1:51" ht="18.75" hidden="1">
      <c r="A37" s="22"/>
      <c r="B37" s="39"/>
      <c r="C37" s="956" t="s">
        <v>767</v>
      </c>
      <c r="D37" s="956"/>
      <c r="E37" s="956"/>
      <c r="F37" s="956"/>
      <c r="G37" s="39"/>
      <c r="H37" s="39"/>
      <c r="I37" s="39"/>
      <c r="J37" s="39"/>
      <c r="K37" s="39"/>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row>
    <row r="38" spans="1:51" s="12" customFormat="1" ht="27" customHeight="1" hidden="1">
      <c r="A38" s="13"/>
      <c r="B38" s="410"/>
      <c r="C38" s="934" t="s">
        <v>801</v>
      </c>
      <c r="D38" s="934"/>
      <c r="E38" s="934"/>
      <c r="F38" s="934"/>
      <c r="G38" s="934"/>
      <c r="H38" s="934"/>
      <c r="I38" s="934"/>
      <c r="J38" s="934"/>
      <c r="K38" s="3"/>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3"/>
      <c r="AY38" s="13"/>
    </row>
    <row r="39" spans="1:51" ht="15" hidden="1">
      <c r="A39" s="13"/>
      <c r="B39" s="39"/>
      <c r="D39" s="927" t="s">
        <v>402</v>
      </c>
      <c r="E39" s="927"/>
      <c r="F39" s="928"/>
      <c r="G39" s="543">
        <v>10</v>
      </c>
      <c r="H39" s="46"/>
      <c r="I39" s="39"/>
      <c r="J39" s="39"/>
      <c r="K39" s="39"/>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row>
    <row r="40" spans="1:51" ht="15" hidden="1">
      <c r="A40" s="13"/>
      <c r="B40" s="39"/>
      <c r="C40" s="39"/>
      <c r="D40" s="927" t="s">
        <v>860</v>
      </c>
      <c r="E40" s="927"/>
      <c r="F40" s="928"/>
      <c r="G40" s="544">
        <v>1.4</v>
      </c>
      <c r="H40" s="39"/>
      <c r="I40" s="39"/>
      <c r="J40" s="39"/>
      <c r="K40" s="39"/>
      <c r="L40" s="13"/>
      <c r="M40" s="13"/>
      <c r="N40" s="13"/>
      <c r="O40" s="13"/>
      <c r="P40" s="13"/>
      <c r="Q40" s="13"/>
      <c r="R40" s="13"/>
      <c r="S40" s="13"/>
      <c r="T40" s="13"/>
      <c r="U40" s="13"/>
      <c r="V40" s="13"/>
      <c r="W40" s="13"/>
      <c r="X40" s="13"/>
      <c r="Y40" s="13"/>
      <c r="Z40" s="13"/>
      <c r="AA40" s="13"/>
      <c r="AB40" s="13"/>
      <c r="AC40" s="13"/>
      <c r="AD40" s="13"/>
      <c r="AE40" s="13"/>
      <c r="AF40" s="13"/>
      <c r="AG40" s="13"/>
      <c r="AH40" s="13"/>
      <c r="AI40" s="13"/>
      <c r="AJ40" s="13"/>
      <c r="AK40" s="13"/>
      <c r="AL40" s="13"/>
      <c r="AM40" s="13"/>
      <c r="AN40" s="13"/>
      <c r="AO40" s="13"/>
      <c r="AP40" s="13"/>
      <c r="AQ40" s="13"/>
      <c r="AR40" s="13"/>
      <c r="AS40" s="13"/>
      <c r="AT40" s="13"/>
      <c r="AU40" s="13"/>
      <c r="AV40" s="13"/>
      <c r="AW40" s="13"/>
      <c r="AX40" s="13"/>
      <c r="AY40" s="13"/>
    </row>
    <row r="41" spans="1:51" ht="15" hidden="1">
      <c r="A41" s="13"/>
      <c r="B41" s="39"/>
      <c r="C41" s="39"/>
      <c r="D41" s="927" t="s">
        <v>861</v>
      </c>
      <c r="E41" s="927"/>
      <c r="F41" s="928"/>
      <c r="G41" s="544">
        <v>3</v>
      </c>
      <c r="H41" s="39"/>
      <c r="I41" s="39"/>
      <c r="J41" s="39"/>
      <c r="K41" s="39"/>
      <c r="L41" s="13"/>
      <c r="M41" s="13"/>
      <c r="N41" s="13"/>
      <c r="O41" s="13"/>
      <c r="P41" s="13"/>
      <c r="Q41" s="13"/>
      <c r="R41" s="13"/>
      <c r="S41" s="13"/>
      <c r="T41" s="13"/>
      <c r="U41" s="13"/>
      <c r="V41" s="13"/>
      <c r="W41" s="13"/>
      <c r="X41" s="13"/>
      <c r="Y41" s="13"/>
      <c r="Z41" s="13"/>
      <c r="AA41" s="13"/>
      <c r="AB41" s="13"/>
      <c r="AC41" s="13"/>
      <c r="AD41" s="13"/>
      <c r="AE41" s="13"/>
      <c r="AF41" s="13"/>
      <c r="AG41" s="13"/>
      <c r="AH41" s="13"/>
      <c r="AI41" s="13"/>
      <c r="AJ41" s="13"/>
      <c r="AK41" s="13"/>
      <c r="AL41" s="13"/>
      <c r="AM41" s="13"/>
      <c r="AN41" s="13"/>
      <c r="AO41" s="13"/>
      <c r="AP41" s="13"/>
      <c r="AQ41" s="13"/>
      <c r="AR41" s="13"/>
      <c r="AS41" s="13"/>
      <c r="AT41" s="13"/>
      <c r="AU41" s="13"/>
      <c r="AV41" s="13"/>
      <c r="AW41" s="13"/>
      <c r="AX41" s="13"/>
      <c r="AY41" s="13"/>
    </row>
    <row r="42" spans="1:51" ht="15" hidden="1">
      <c r="A42" s="13"/>
      <c r="B42" s="39"/>
      <c r="C42" s="39"/>
      <c r="D42" s="927" t="s">
        <v>862</v>
      </c>
      <c r="E42" s="927"/>
      <c r="F42" s="928"/>
      <c r="G42" s="544">
        <v>2</v>
      </c>
      <c r="H42" s="39"/>
      <c r="I42" s="39"/>
      <c r="J42" s="39"/>
      <c r="K42" s="39"/>
      <c r="L42" s="13"/>
      <c r="M42" s="13"/>
      <c r="N42" s="13"/>
      <c r="O42" s="13"/>
      <c r="P42" s="13"/>
      <c r="Q42" s="13"/>
      <c r="R42" s="13"/>
      <c r="S42" s="13"/>
      <c r="T42" s="13"/>
      <c r="U42" s="13"/>
      <c r="V42" s="13"/>
      <c r="W42" s="13"/>
      <c r="X42" s="13"/>
      <c r="Y42" s="13"/>
      <c r="Z42" s="13"/>
      <c r="AA42" s="13"/>
      <c r="AB42" s="13"/>
      <c r="AC42" s="13"/>
      <c r="AD42" s="13"/>
      <c r="AE42" s="13"/>
      <c r="AF42" s="13"/>
      <c r="AG42" s="13"/>
      <c r="AH42" s="13"/>
      <c r="AI42" s="13"/>
      <c r="AJ42" s="13"/>
      <c r="AK42" s="13"/>
      <c r="AL42" s="13"/>
      <c r="AM42" s="13"/>
      <c r="AN42" s="13"/>
      <c r="AO42" s="13"/>
      <c r="AP42" s="13"/>
      <c r="AQ42" s="13"/>
      <c r="AR42" s="13"/>
      <c r="AS42" s="13"/>
      <c r="AT42" s="13"/>
      <c r="AU42" s="13"/>
      <c r="AV42" s="13"/>
      <c r="AW42" s="13"/>
      <c r="AX42" s="13"/>
      <c r="AY42" s="13"/>
    </row>
    <row r="43" spans="1:51" ht="15" hidden="1">
      <c r="A43" s="13"/>
      <c r="B43" s="39"/>
      <c r="C43" s="39"/>
      <c r="D43" s="927" t="s">
        <v>871</v>
      </c>
      <c r="E43" s="927"/>
      <c r="F43" s="928"/>
      <c r="G43" s="543">
        <v>300</v>
      </c>
      <c r="H43" s="39"/>
      <c r="I43" s="39"/>
      <c r="J43" s="39"/>
      <c r="K43" s="39"/>
      <c r="L43" s="13"/>
      <c r="M43" s="13"/>
      <c r="N43" s="13"/>
      <c r="O43" s="13"/>
      <c r="P43" s="13"/>
      <c r="Q43" s="13"/>
      <c r="R43" s="13"/>
      <c r="S43" s="13"/>
      <c r="T43" s="13"/>
      <c r="U43" s="13"/>
      <c r="V43" s="13"/>
      <c r="W43" s="13"/>
      <c r="X43" s="13"/>
      <c r="Y43" s="13"/>
      <c r="Z43" s="13"/>
      <c r="AA43" s="13"/>
      <c r="AB43" s="13"/>
      <c r="AC43" s="13"/>
      <c r="AD43" s="13"/>
      <c r="AE43" s="13"/>
      <c r="AF43" s="13"/>
      <c r="AG43" s="13"/>
      <c r="AH43" s="13"/>
      <c r="AI43" s="13"/>
      <c r="AJ43" s="13"/>
      <c r="AK43" s="13"/>
      <c r="AL43" s="13"/>
      <c r="AM43" s="13"/>
      <c r="AN43" s="13"/>
      <c r="AO43" s="13"/>
      <c r="AP43" s="13"/>
      <c r="AQ43" s="13"/>
      <c r="AR43" s="13"/>
      <c r="AS43" s="13"/>
      <c r="AT43" s="13"/>
      <c r="AU43" s="13"/>
      <c r="AV43" s="13"/>
      <c r="AW43" s="13"/>
      <c r="AX43" s="13"/>
      <c r="AY43" s="13"/>
    </row>
    <row r="44" spans="1:51" ht="15" hidden="1">
      <c r="A44" s="13"/>
      <c r="B44" s="39"/>
      <c r="C44" s="39"/>
      <c r="D44" s="927" t="s">
        <v>872</v>
      </c>
      <c r="E44" s="927"/>
      <c r="F44" s="928"/>
      <c r="G44" s="543">
        <v>1200</v>
      </c>
      <c r="H44" s="39"/>
      <c r="I44" s="39"/>
      <c r="J44" s="39"/>
      <c r="K44" s="39"/>
      <c r="L44" s="13"/>
      <c r="M44" s="13"/>
      <c r="N44" s="13"/>
      <c r="O44" s="13"/>
      <c r="P44" s="13"/>
      <c r="Q44" s="13"/>
      <c r="R44" s="13"/>
      <c r="S44" s="13"/>
      <c r="T44" s="13"/>
      <c r="U44" s="13"/>
      <c r="V44" s="13"/>
      <c r="W44" s="13"/>
      <c r="X44" s="13"/>
      <c r="Y44" s="13"/>
      <c r="Z44" s="13"/>
      <c r="AA44" s="13"/>
      <c r="AB44" s="13"/>
      <c r="AC44" s="13"/>
      <c r="AD44" s="13"/>
      <c r="AE44" s="13"/>
      <c r="AF44" s="13"/>
      <c r="AG44" s="13"/>
      <c r="AH44" s="13"/>
      <c r="AI44" s="13"/>
      <c r="AJ44" s="13"/>
      <c r="AK44" s="13"/>
      <c r="AL44" s="13"/>
      <c r="AM44" s="13"/>
      <c r="AN44" s="13"/>
      <c r="AO44" s="13"/>
      <c r="AP44" s="13"/>
      <c r="AQ44" s="13"/>
      <c r="AR44" s="13"/>
      <c r="AS44" s="13"/>
      <c r="AT44" s="13"/>
      <c r="AU44" s="13"/>
      <c r="AV44" s="13"/>
      <c r="AW44" s="13"/>
      <c r="AX44" s="13"/>
      <c r="AY44" s="13"/>
    </row>
    <row r="45" spans="1:51" ht="15" hidden="1">
      <c r="A45" s="13"/>
      <c r="B45" s="39"/>
      <c r="C45" s="39"/>
      <c r="D45" s="927" t="s">
        <v>873</v>
      </c>
      <c r="E45" s="927"/>
      <c r="F45" s="928"/>
      <c r="G45" s="543">
        <v>15000</v>
      </c>
      <c r="H45" s="39"/>
      <c r="I45" s="39"/>
      <c r="J45" s="39"/>
      <c r="K45" s="39"/>
      <c r="L45" s="13"/>
      <c r="M45" s="13"/>
      <c r="N45" s="13"/>
      <c r="O45" s="13"/>
      <c r="P45" s="13"/>
      <c r="Q45" s="13"/>
      <c r="R45" s="13"/>
      <c r="S45" s="13"/>
      <c r="T45" s="13"/>
      <c r="U45" s="13"/>
      <c r="V45" s="13"/>
      <c r="W45" s="13"/>
      <c r="X45" s="13"/>
      <c r="Y45" s="13"/>
      <c r="Z45" s="13"/>
      <c r="AA45" s="13"/>
      <c r="AB45" s="13"/>
      <c r="AC45" s="13"/>
      <c r="AD45" s="13"/>
      <c r="AE45" s="13"/>
      <c r="AF45" s="13"/>
      <c r="AG45" s="13"/>
      <c r="AH45" s="13"/>
      <c r="AI45" s="13"/>
      <c r="AJ45" s="13"/>
      <c r="AK45" s="13"/>
      <c r="AL45" s="13"/>
      <c r="AM45" s="13"/>
      <c r="AN45" s="13"/>
      <c r="AO45" s="13"/>
      <c r="AP45" s="13"/>
      <c r="AQ45" s="13"/>
      <c r="AR45" s="13"/>
      <c r="AS45" s="13"/>
      <c r="AT45" s="13"/>
      <c r="AU45" s="13"/>
      <c r="AV45" s="13"/>
      <c r="AW45" s="13"/>
      <c r="AX45" s="13"/>
      <c r="AY45" s="13"/>
    </row>
    <row r="46" spans="1:51" ht="15" hidden="1">
      <c r="A46" s="13"/>
      <c r="B46" s="39"/>
      <c r="C46" s="39"/>
      <c r="D46" s="39"/>
      <c r="E46" s="39"/>
      <c r="F46" s="39"/>
      <c r="G46" s="39"/>
      <c r="H46" s="39"/>
      <c r="I46" s="39"/>
      <c r="J46" s="39"/>
      <c r="K46" s="39"/>
      <c r="L46" s="13"/>
      <c r="M46" s="13"/>
      <c r="N46" s="13"/>
      <c r="O46" s="13"/>
      <c r="P46" s="13"/>
      <c r="Q46" s="13"/>
      <c r="R46" s="13"/>
      <c r="S46" s="13"/>
      <c r="T46" s="13"/>
      <c r="U46" s="13"/>
      <c r="V46" s="13"/>
      <c r="W46" s="13"/>
      <c r="X46" s="13"/>
      <c r="Y46" s="13"/>
      <c r="Z46" s="13"/>
      <c r="AA46" s="13"/>
      <c r="AB46" s="13"/>
      <c r="AC46" s="13"/>
      <c r="AD46" s="13"/>
      <c r="AE46" s="13"/>
      <c r="AF46" s="13"/>
      <c r="AG46" s="13"/>
      <c r="AH46" s="13"/>
      <c r="AI46" s="13"/>
      <c r="AJ46" s="13"/>
      <c r="AK46" s="13"/>
      <c r="AL46" s="13"/>
      <c r="AM46" s="13"/>
      <c r="AN46" s="13"/>
      <c r="AO46" s="13"/>
      <c r="AP46" s="13"/>
      <c r="AQ46" s="13"/>
      <c r="AR46" s="13"/>
      <c r="AS46" s="13"/>
      <c r="AT46" s="13"/>
      <c r="AU46" s="13"/>
      <c r="AV46" s="13"/>
      <c r="AW46" s="13"/>
      <c r="AX46" s="13"/>
      <c r="AY46" s="13"/>
    </row>
    <row r="47" spans="1:34" s="12" customFormat="1" ht="51" customHeight="1" hidden="1">
      <c r="A47" s="13"/>
      <c r="B47" s="39"/>
      <c r="C47" s="39"/>
      <c r="E47" s="967" t="s">
        <v>846</v>
      </c>
      <c r="F47" s="967"/>
      <c r="G47" s="967"/>
      <c r="H47" s="967"/>
      <c r="I47" s="967"/>
      <c r="J47" s="302"/>
      <c r="K47" s="39"/>
      <c r="L47" s="13"/>
      <c r="M47" s="13"/>
      <c r="N47" s="13"/>
      <c r="O47" s="13"/>
      <c r="P47" s="13"/>
      <c r="Q47" s="13"/>
      <c r="R47" s="13"/>
      <c r="S47" s="13"/>
      <c r="T47" s="13"/>
      <c r="U47" s="13"/>
      <c r="V47" s="13"/>
      <c r="W47" s="13"/>
      <c r="X47" s="13"/>
      <c r="Y47" s="13"/>
      <c r="Z47" s="13"/>
      <c r="AA47" s="13"/>
      <c r="AB47" s="13"/>
      <c r="AC47" s="13"/>
      <c r="AD47" s="13"/>
      <c r="AE47" s="13"/>
      <c r="AF47" s="13"/>
      <c r="AG47" s="13"/>
      <c r="AH47" s="13"/>
    </row>
    <row r="48" spans="1:51" ht="66.75" customHeight="1" hidden="1">
      <c r="A48" s="13"/>
      <c r="B48" s="39"/>
      <c r="C48" s="39"/>
      <c r="D48" s="39"/>
      <c r="E48" s="967" t="str">
        <f>"According to the American Hotel &amp; Lodging Association (AH&amp;LA), implementing a linen and towel reuse program that allows guests to choose whether or not to have their linens and towels laundered daily can reduce a hotel's laundry load by approximately "&amp;Defaults!B43*100&amp;" percent. This reduces the amount of water, energy, detergent, and labor needed to clean laundry each day and decreases the wear and tear on linens and towels."</f>
        <v>According to the American Hotel &amp; Lodging Association (AH&amp;LA), implementing a linen and towel reuse program that allows guests to choose whether or not to have their linens and towels laundered daily can reduce a hotel's laundry load by approximately 17 percent. This reduces the amount of water, energy, detergent, and labor needed to clean laundry each day and decreases the wear and tear on linens and towels.</v>
      </c>
      <c r="F48" s="967"/>
      <c r="G48" s="967"/>
      <c r="H48" s="967"/>
      <c r="I48" s="967"/>
      <c r="J48" s="39"/>
      <c r="K48" s="39"/>
      <c r="L48" s="13"/>
      <c r="M48" s="13"/>
      <c r="N48" s="13"/>
      <c r="O48" s="13"/>
      <c r="P48" s="13"/>
      <c r="Q48" s="13"/>
      <c r="R48" s="13"/>
      <c r="S48" s="13"/>
      <c r="T48" s="13"/>
      <c r="U48" s="13"/>
      <c r="V48" s="13"/>
      <c r="W48" s="13"/>
      <c r="X48" s="13"/>
      <c r="Y48" s="13"/>
      <c r="Z48" s="13"/>
      <c r="AA48" s="13"/>
      <c r="AB48" s="13"/>
      <c r="AC48" s="13"/>
      <c r="AD48" s="13"/>
      <c r="AE48" s="13"/>
      <c r="AF48" s="13"/>
      <c r="AG48" s="13"/>
      <c r="AH48" s="13"/>
      <c r="AI48" s="13"/>
      <c r="AJ48" s="13"/>
      <c r="AK48" s="13"/>
      <c r="AL48" s="13"/>
      <c r="AM48" s="13"/>
      <c r="AN48" s="13"/>
      <c r="AO48" s="13"/>
      <c r="AP48" s="13"/>
      <c r="AQ48" s="13"/>
      <c r="AR48" s="13"/>
      <c r="AS48" s="13"/>
      <c r="AT48" s="13"/>
      <c r="AU48" s="13"/>
      <c r="AV48" s="13"/>
      <c r="AW48" s="13"/>
      <c r="AX48" s="13"/>
      <c r="AY48" s="13"/>
    </row>
    <row r="49" spans="1:51" ht="15">
      <c r="A49" s="13"/>
      <c r="B49" s="654" t="s">
        <v>877</v>
      </c>
      <c r="C49" s="37"/>
      <c r="D49" s="37"/>
      <c r="E49" s="37"/>
      <c r="F49" s="37"/>
      <c r="G49" s="37"/>
      <c r="H49" s="37"/>
      <c r="I49" s="37"/>
      <c r="J49" s="37"/>
      <c r="K49" s="37"/>
      <c r="L49" s="13"/>
      <c r="M49" s="13"/>
      <c r="N49" s="13"/>
      <c r="O49" s="13"/>
      <c r="P49" s="13"/>
      <c r="Q49" s="13"/>
      <c r="R49" s="13"/>
      <c r="S49" s="13"/>
      <c r="T49" s="13"/>
      <c r="U49" s="13"/>
      <c r="V49" s="13"/>
      <c r="W49" s="13"/>
      <c r="X49" s="13"/>
      <c r="Y49" s="13"/>
      <c r="Z49" s="13"/>
      <c r="AA49" s="13"/>
      <c r="AB49" s="13"/>
      <c r="AC49" s="13"/>
      <c r="AD49" s="13"/>
      <c r="AE49" s="13"/>
      <c r="AF49" s="13"/>
      <c r="AG49" s="13"/>
      <c r="AH49" s="13"/>
      <c r="AI49" s="13"/>
      <c r="AJ49" s="13"/>
      <c r="AK49" s="13"/>
      <c r="AL49" s="13"/>
      <c r="AM49" s="13"/>
      <c r="AN49" s="13"/>
      <c r="AO49" s="13"/>
      <c r="AP49" s="13"/>
      <c r="AQ49" s="13"/>
      <c r="AR49" s="13"/>
      <c r="AS49" s="13"/>
      <c r="AT49" s="13"/>
      <c r="AU49" s="13"/>
      <c r="AV49" s="13"/>
      <c r="AW49" s="13"/>
      <c r="AX49" s="13"/>
      <c r="AY49" s="13"/>
    </row>
    <row r="50" spans="1:51" ht="15">
      <c r="A50" s="13"/>
      <c r="B50" s="37"/>
      <c r="C50" s="37"/>
      <c r="D50" s="37"/>
      <c r="E50" s="37"/>
      <c r="F50" s="37"/>
      <c r="G50" s="37"/>
      <c r="H50" s="37"/>
      <c r="I50" s="37"/>
      <c r="J50" s="37"/>
      <c r="K50" s="37"/>
      <c r="L50" s="13"/>
      <c r="M50" s="13"/>
      <c r="N50" s="13"/>
      <c r="O50" s="13"/>
      <c r="P50" s="13"/>
      <c r="Q50" s="13"/>
      <c r="R50" s="13"/>
      <c r="S50" s="13"/>
      <c r="T50" s="13"/>
      <c r="U50" s="13"/>
      <c r="V50" s="13"/>
      <c r="W50" s="13"/>
      <c r="X50" s="13"/>
      <c r="Y50" s="13"/>
      <c r="Z50" s="13"/>
      <c r="AA50" s="13"/>
      <c r="AB50" s="13"/>
      <c r="AC50" s="13"/>
      <c r="AD50" s="13"/>
      <c r="AE50" s="13"/>
      <c r="AF50" s="13"/>
      <c r="AG50" s="13"/>
      <c r="AH50" s="13"/>
      <c r="AI50" s="13"/>
      <c r="AJ50" s="13"/>
      <c r="AK50" s="13"/>
      <c r="AL50" s="13"/>
      <c r="AM50" s="13"/>
      <c r="AN50" s="13"/>
      <c r="AO50" s="13"/>
      <c r="AP50" s="13"/>
      <c r="AQ50" s="13"/>
      <c r="AR50" s="13"/>
      <c r="AS50" s="13"/>
      <c r="AT50" s="13"/>
      <c r="AU50" s="13"/>
      <c r="AV50" s="13"/>
      <c r="AW50" s="13"/>
      <c r="AX50" s="13"/>
      <c r="AY50" s="13"/>
    </row>
    <row r="51" spans="1:51" ht="15">
      <c r="A51" s="13"/>
      <c r="B51" s="37"/>
      <c r="C51" s="37"/>
      <c r="D51" s="37"/>
      <c r="E51" s="37"/>
      <c r="F51" s="37"/>
      <c r="G51" s="37"/>
      <c r="H51" s="37"/>
      <c r="I51" s="37"/>
      <c r="J51" s="37"/>
      <c r="K51" s="37"/>
      <c r="L51" s="13"/>
      <c r="M51" s="13"/>
      <c r="N51" s="13"/>
      <c r="O51" s="13"/>
      <c r="P51" s="13"/>
      <c r="Q51" s="13"/>
      <c r="R51" s="13"/>
      <c r="S51" s="13"/>
      <c r="T51" s="13"/>
      <c r="U51" s="13"/>
      <c r="V51" s="13"/>
      <c r="W51" s="13"/>
      <c r="X51" s="13"/>
      <c r="Y51" s="13"/>
      <c r="Z51" s="13"/>
      <c r="AA51" s="13"/>
      <c r="AB51" s="13"/>
      <c r="AC51" s="13"/>
      <c r="AD51" s="13"/>
      <c r="AE51" s="13"/>
      <c r="AF51" s="13"/>
      <c r="AG51" s="13"/>
      <c r="AH51" s="13"/>
      <c r="AI51" s="13"/>
      <c r="AJ51" s="13"/>
      <c r="AK51" s="13"/>
      <c r="AL51" s="13"/>
      <c r="AM51" s="13"/>
      <c r="AN51" s="13"/>
      <c r="AO51" s="13"/>
      <c r="AP51" s="13"/>
      <c r="AQ51" s="13"/>
      <c r="AR51" s="13"/>
      <c r="AS51" s="13"/>
      <c r="AT51" s="13"/>
      <c r="AU51" s="13"/>
      <c r="AV51" s="13"/>
      <c r="AW51" s="13"/>
      <c r="AX51" s="13"/>
      <c r="AY51" s="13"/>
    </row>
    <row r="52" spans="1:51" ht="15">
      <c r="A52" s="13"/>
      <c r="B52" s="37"/>
      <c r="C52" s="37"/>
      <c r="D52" s="37"/>
      <c r="E52" s="37"/>
      <c r="F52" s="37"/>
      <c r="G52" s="37"/>
      <c r="H52" s="37"/>
      <c r="I52" s="37"/>
      <c r="J52" s="37"/>
      <c r="K52" s="37"/>
      <c r="L52" s="13"/>
      <c r="M52" s="13"/>
      <c r="N52" s="13"/>
      <c r="O52" s="13"/>
      <c r="P52" s="13"/>
      <c r="Q52" s="13"/>
      <c r="R52" s="13"/>
      <c r="S52" s="13"/>
      <c r="T52" s="13"/>
      <c r="U52" s="13"/>
      <c r="V52" s="13"/>
      <c r="W52" s="13"/>
      <c r="X52" s="13"/>
      <c r="Y52" s="13"/>
      <c r="Z52" s="13"/>
      <c r="AA52" s="13"/>
      <c r="AB52" s="13"/>
      <c r="AC52" s="13"/>
      <c r="AD52" s="13"/>
      <c r="AE52" s="13"/>
      <c r="AF52" s="13"/>
      <c r="AG52" s="13"/>
      <c r="AH52" s="13"/>
      <c r="AI52" s="13"/>
      <c r="AJ52" s="13"/>
      <c r="AK52" s="13"/>
      <c r="AL52" s="13"/>
      <c r="AM52" s="13"/>
      <c r="AN52" s="13"/>
      <c r="AO52" s="13"/>
      <c r="AP52" s="13"/>
      <c r="AQ52" s="13"/>
      <c r="AR52" s="13"/>
      <c r="AS52" s="13"/>
      <c r="AT52" s="13"/>
      <c r="AU52" s="13"/>
      <c r="AV52" s="13"/>
      <c r="AW52" s="13"/>
      <c r="AX52" s="13"/>
      <c r="AY52" s="13"/>
    </row>
    <row r="53" spans="1:51" ht="15">
      <c r="A53" s="13"/>
      <c r="B53" s="37"/>
      <c r="C53" s="37"/>
      <c r="D53" s="37"/>
      <c r="E53" s="37"/>
      <c r="F53" s="37"/>
      <c r="G53" s="37"/>
      <c r="H53" s="37"/>
      <c r="I53" s="37"/>
      <c r="J53" s="37"/>
      <c r="K53" s="37"/>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c r="AT53" s="13"/>
      <c r="AU53" s="13"/>
      <c r="AV53" s="13"/>
      <c r="AW53" s="13"/>
      <c r="AX53" s="13"/>
      <c r="AY53" s="13"/>
    </row>
    <row r="54" spans="1:51" ht="15">
      <c r="A54" s="13"/>
      <c r="B54" s="37"/>
      <c r="C54" s="37"/>
      <c r="D54" s="37"/>
      <c r="E54" s="37"/>
      <c r="F54" s="37"/>
      <c r="G54" s="37"/>
      <c r="H54" s="37"/>
      <c r="I54" s="37"/>
      <c r="J54" s="37"/>
      <c r="K54" s="37"/>
      <c r="L54" s="13"/>
      <c r="M54" s="13"/>
      <c r="N54" s="13"/>
      <c r="O54" s="13"/>
      <c r="P54" s="13"/>
      <c r="Q54" s="13"/>
      <c r="R54" s="13"/>
      <c r="S54" s="13"/>
      <c r="T54" s="13"/>
      <c r="U54" s="13"/>
      <c r="V54" s="13"/>
      <c r="W54" s="13"/>
      <c r="X54" s="13"/>
      <c r="Y54" s="13"/>
      <c r="Z54" s="13"/>
      <c r="AA54" s="13"/>
      <c r="AB54" s="13"/>
      <c r="AC54" s="13"/>
      <c r="AD54" s="13"/>
      <c r="AE54" s="13"/>
      <c r="AF54" s="13"/>
      <c r="AG54" s="13"/>
      <c r="AH54" s="13"/>
      <c r="AI54" s="13"/>
      <c r="AJ54" s="13"/>
      <c r="AK54" s="13"/>
      <c r="AL54" s="13"/>
      <c r="AM54" s="13"/>
      <c r="AN54" s="13"/>
      <c r="AO54" s="13"/>
      <c r="AP54" s="13"/>
      <c r="AQ54" s="13"/>
      <c r="AR54" s="13"/>
      <c r="AS54" s="13"/>
      <c r="AT54" s="13"/>
      <c r="AU54" s="13"/>
      <c r="AV54" s="13"/>
      <c r="AW54" s="13"/>
      <c r="AX54" s="13"/>
      <c r="AY54" s="13"/>
    </row>
    <row r="55" spans="1:51" ht="15">
      <c r="A55" s="13"/>
      <c r="B55" s="37"/>
      <c r="C55" s="37"/>
      <c r="D55" s="37"/>
      <c r="E55" s="37"/>
      <c r="F55" s="37"/>
      <c r="G55" s="37"/>
      <c r="H55" s="37"/>
      <c r="I55" s="37"/>
      <c r="J55" s="37"/>
      <c r="K55" s="37"/>
      <c r="L55" s="13"/>
      <c r="M55" s="13"/>
      <c r="N55" s="13"/>
      <c r="O55" s="13"/>
      <c r="P55" s="13"/>
      <c r="Q55" s="13"/>
      <c r="R55" s="13"/>
      <c r="S55" s="13"/>
      <c r="T55" s="13"/>
      <c r="U55" s="13"/>
      <c r="V55" s="13"/>
      <c r="W55" s="13"/>
      <c r="X55" s="13"/>
      <c r="Y55" s="13"/>
      <c r="Z55" s="13"/>
      <c r="AA55" s="13"/>
      <c r="AB55" s="13"/>
      <c r="AC55" s="13"/>
      <c r="AD55" s="13"/>
      <c r="AE55" s="13"/>
      <c r="AF55" s="13"/>
      <c r="AG55" s="13"/>
      <c r="AH55" s="13"/>
      <c r="AI55" s="13"/>
      <c r="AJ55" s="13"/>
      <c r="AK55" s="13"/>
      <c r="AL55" s="13"/>
      <c r="AM55" s="13"/>
      <c r="AN55" s="13"/>
      <c r="AO55" s="13"/>
      <c r="AP55" s="13"/>
      <c r="AQ55" s="13"/>
      <c r="AR55" s="13"/>
      <c r="AS55" s="13"/>
      <c r="AT55" s="13"/>
      <c r="AU55" s="13"/>
      <c r="AV55" s="13"/>
      <c r="AW55" s="13"/>
      <c r="AX55" s="13"/>
      <c r="AY55" s="13"/>
    </row>
    <row r="56" spans="1:51" ht="15">
      <c r="A56" s="13"/>
      <c r="B56" s="37"/>
      <c r="C56" s="37"/>
      <c r="D56" s="37"/>
      <c r="E56" s="37"/>
      <c r="F56" s="37"/>
      <c r="G56" s="37"/>
      <c r="H56" s="37"/>
      <c r="I56" s="37"/>
      <c r="J56" s="37"/>
      <c r="K56" s="37"/>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3"/>
      <c r="AK56" s="13"/>
      <c r="AL56" s="13"/>
      <c r="AM56" s="13"/>
      <c r="AN56" s="13"/>
      <c r="AO56" s="13"/>
      <c r="AP56" s="13"/>
      <c r="AQ56" s="13"/>
      <c r="AR56" s="13"/>
      <c r="AS56" s="13"/>
      <c r="AT56" s="13"/>
      <c r="AU56" s="13"/>
      <c r="AV56" s="13"/>
      <c r="AW56" s="13"/>
      <c r="AX56" s="13"/>
      <c r="AY56" s="13"/>
    </row>
    <row r="57" spans="1:51" ht="15">
      <c r="A57" s="13"/>
      <c r="B57" s="37"/>
      <c r="C57" s="37"/>
      <c r="D57" s="37"/>
      <c r="E57" s="37"/>
      <c r="F57" s="37"/>
      <c r="G57" s="37"/>
      <c r="H57" s="37"/>
      <c r="I57" s="37"/>
      <c r="J57" s="37"/>
      <c r="K57" s="37"/>
      <c r="L57" s="13"/>
      <c r="M57" s="13"/>
      <c r="N57" s="13"/>
      <c r="O57" s="13"/>
      <c r="P57" s="13"/>
      <c r="Q57" s="13"/>
      <c r="R57" s="13"/>
      <c r="S57" s="13"/>
      <c r="T57" s="13"/>
      <c r="U57" s="13"/>
      <c r="V57" s="13"/>
      <c r="W57" s="13"/>
      <c r="X57" s="13"/>
      <c r="Y57" s="13"/>
      <c r="Z57" s="13"/>
      <c r="AA57" s="13"/>
      <c r="AB57" s="13"/>
      <c r="AC57" s="13"/>
      <c r="AD57" s="13"/>
      <c r="AE57" s="13"/>
      <c r="AF57" s="13"/>
      <c r="AG57" s="13"/>
      <c r="AH57" s="13"/>
      <c r="AI57" s="13"/>
      <c r="AJ57" s="13"/>
      <c r="AK57" s="13"/>
      <c r="AL57" s="13"/>
      <c r="AM57" s="13"/>
      <c r="AN57" s="13"/>
      <c r="AO57" s="13"/>
      <c r="AP57" s="13"/>
      <c r="AQ57" s="13"/>
      <c r="AR57" s="13"/>
      <c r="AS57" s="13"/>
      <c r="AT57" s="13"/>
      <c r="AU57" s="13"/>
      <c r="AV57" s="13"/>
      <c r="AW57" s="13"/>
      <c r="AX57" s="13"/>
      <c r="AY57" s="13"/>
    </row>
    <row r="58" spans="1:51" ht="15">
      <c r="A58" s="13"/>
      <c r="B58" s="37"/>
      <c r="C58" s="37"/>
      <c r="D58" s="37"/>
      <c r="E58" s="37"/>
      <c r="F58" s="37"/>
      <c r="G58" s="37"/>
      <c r="H58" s="37"/>
      <c r="I58" s="37"/>
      <c r="J58" s="37"/>
      <c r="K58" s="37"/>
      <c r="L58" s="13"/>
      <c r="M58" s="13"/>
      <c r="N58" s="13"/>
      <c r="O58" s="13"/>
      <c r="P58" s="13"/>
      <c r="Q58" s="13"/>
      <c r="R58" s="13"/>
      <c r="S58" s="13"/>
      <c r="T58" s="13"/>
      <c r="U58" s="13"/>
      <c r="V58" s="13"/>
      <c r="W58" s="13"/>
      <c r="X58" s="13"/>
      <c r="Y58" s="13"/>
      <c r="Z58" s="13"/>
      <c r="AA58" s="13"/>
      <c r="AB58" s="13"/>
      <c r="AC58" s="13"/>
      <c r="AD58" s="13"/>
      <c r="AE58" s="13"/>
      <c r="AF58" s="13"/>
      <c r="AG58" s="13"/>
      <c r="AH58" s="13"/>
      <c r="AI58" s="13"/>
      <c r="AJ58" s="13"/>
      <c r="AK58" s="13"/>
      <c r="AL58" s="13"/>
      <c r="AM58" s="13"/>
      <c r="AN58" s="13"/>
      <c r="AO58" s="13"/>
      <c r="AP58" s="13"/>
      <c r="AQ58" s="13"/>
      <c r="AR58" s="13"/>
      <c r="AS58" s="13"/>
      <c r="AT58" s="13"/>
      <c r="AU58" s="13"/>
      <c r="AV58" s="13"/>
      <c r="AW58" s="13"/>
      <c r="AX58" s="13"/>
      <c r="AY58" s="13"/>
    </row>
    <row r="59" spans="1:51" ht="15">
      <c r="A59" s="13"/>
      <c r="B59" s="37"/>
      <c r="C59" s="37"/>
      <c r="D59" s="37"/>
      <c r="E59" s="37"/>
      <c r="F59" s="37"/>
      <c r="G59" s="37"/>
      <c r="H59" s="37"/>
      <c r="I59" s="37"/>
      <c r="J59" s="37"/>
      <c r="K59" s="37"/>
      <c r="L59" s="13"/>
      <c r="M59" s="13"/>
      <c r="N59" s="13"/>
      <c r="O59" s="13"/>
      <c r="P59" s="13"/>
      <c r="Q59" s="13"/>
      <c r="R59" s="13"/>
      <c r="S59" s="13"/>
      <c r="T59" s="13"/>
      <c r="U59" s="13"/>
      <c r="V59" s="13"/>
      <c r="W59" s="13"/>
      <c r="X59" s="13"/>
      <c r="Y59" s="13"/>
      <c r="Z59" s="13"/>
      <c r="AA59" s="13"/>
      <c r="AB59" s="13"/>
      <c r="AC59" s="13"/>
      <c r="AD59" s="13"/>
      <c r="AE59" s="13"/>
      <c r="AF59" s="13"/>
      <c r="AG59" s="13"/>
      <c r="AH59" s="13"/>
      <c r="AI59" s="13"/>
      <c r="AJ59" s="13"/>
      <c r="AK59" s="13"/>
      <c r="AL59" s="13"/>
      <c r="AM59" s="13"/>
      <c r="AN59" s="13"/>
      <c r="AO59" s="13"/>
      <c r="AP59" s="13"/>
      <c r="AQ59" s="13"/>
      <c r="AR59" s="13"/>
      <c r="AS59" s="13"/>
      <c r="AT59" s="13"/>
      <c r="AU59" s="13"/>
      <c r="AV59" s="13"/>
      <c r="AW59" s="13"/>
      <c r="AX59" s="13"/>
      <c r="AY59" s="13"/>
    </row>
    <row r="60" spans="1:51" ht="15">
      <c r="A60" s="13"/>
      <c r="B60" s="37"/>
      <c r="C60" s="37"/>
      <c r="D60" s="37"/>
      <c r="E60" s="37"/>
      <c r="F60" s="37"/>
      <c r="G60" s="37"/>
      <c r="H60" s="37"/>
      <c r="I60" s="37"/>
      <c r="J60" s="37"/>
      <c r="K60" s="37"/>
      <c r="L60" s="13"/>
      <c r="M60" s="13"/>
      <c r="N60" s="13"/>
      <c r="O60" s="13"/>
      <c r="P60" s="13"/>
      <c r="Q60" s="13"/>
      <c r="R60" s="13"/>
      <c r="S60" s="13"/>
      <c r="T60" s="13"/>
      <c r="U60" s="13"/>
      <c r="V60" s="13"/>
      <c r="W60" s="13"/>
      <c r="X60" s="13"/>
      <c r="Y60" s="13"/>
      <c r="Z60" s="13"/>
      <c r="AA60" s="13"/>
      <c r="AB60" s="13"/>
      <c r="AC60" s="13"/>
      <c r="AD60" s="13"/>
      <c r="AE60" s="13"/>
      <c r="AF60" s="13"/>
      <c r="AG60" s="13"/>
      <c r="AH60" s="13"/>
      <c r="AI60" s="13"/>
      <c r="AJ60" s="13"/>
      <c r="AK60" s="13"/>
      <c r="AL60" s="13"/>
      <c r="AM60" s="13"/>
      <c r="AN60" s="13"/>
      <c r="AO60" s="13"/>
      <c r="AP60" s="13"/>
      <c r="AQ60" s="13"/>
      <c r="AR60" s="13"/>
      <c r="AS60" s="13"/>
      <c r="AT60" s="13"/>
      <c r="AU60" s="13"/>
      <c r="AV60" s="13"/>
      <c r="AW60" s="13"/>
      <c r="AX60" s="13"/>
      <c r="AY60" s="13"/>
    </row>
    <row r="61" spans="1:51" ht="15">
      <c r="A61" s="13"/>
      <c r="B61" s="37"/>
      <c r="C61" s="37"/>
      <c r="D61" s="37"/>
      <c r="E61" s="37"/>
      <c r="F61" s="37"/>
      <c r="G61" s="37"/>
      <c r="H61" s="37"/>
      <c r="I61" s="37"/>
      <c r="J61" s="37"/>
      <c r="K61" s="37"/>
      <c r="L61" s="13"/>
      <c r="M61" s="13"/>
      <c r="N61" s="13"/>
      <c r="O61" s="13"/>
      <c r="P61" s="13"/>
      <c r="Q61" s="13"/>
      <c r="R61" s="13"/>
      <c r="S61" s="13"/>
      <c r="T61" s="13"/>
      <c r="U61" s="13"/>
      <c r="V61" s="13"/>
      <c r="W61" s="13"/>
      <c r="X61" s="13"/>
      <c r="Y61" s="13"/>
      <c r="Z61" s="13"/>
      <c r="AA61" s="13"/>
      <c r="AB61" s="13"/>
      <c r="AC61" s="13"/>
      <c r="AD61" s="13"/>
      <c r="AE61" s="13"/>
      <c r="AF61" s="13"/>
      <c r="AG61" s="13"/>
      <c r="AH61" s="13"/>
      <c r="AI61" s="13"/>
      <c r="AJ61" s="13"/>
      <c r="AK61" s="13"/>
      <c r="AL61" s="13"/>
      <c r="AM61" s="13"/>
      <c r="AN61" s="13"/>
      <c r="AO61" s="13"/>
      <c r="AP61" s="13"/>
      <c r="AQ61" s="13"/>
      <c r="AR61" s="13"/>
      <c r="AS61" s="13"/>
      <c r="AT61" s="13"/>
      <c r="AU61" s="13"/>
      <c r="AV61" s="13"/>
      <c r="AW61" s="13"/>
      <c r="AX61" s="13"/>
      <c r="AY61" s="13"/>
    </row>
    <row r="62" spans="1:51" ht="15">
      <c r="A62" s="13"/>
      <c r="B62" s="37"/>
      <c r="C62" s="37"/>
      <c r="D62" s="37"/>
      <c r="E62" s="37"/>
      <c r="F62" s="37"/>
      <c r="G62" s="37"/>
      <c r="H62" s="37"/>
      <c r="I62" s="37"/>
      <c r="J62" s="37"/>
      <c r="K62" s="37"/>
      <c r="L62" s="13"/>
      <c r="M62" s="13"/>
      <c r="N62" s="13"/>
      <c r="O62" s="13"/>
      <c r="P62" s="13"/>
      <c r="Q62" s="13"/>
      <c r="R62" s="13"/>
      <c r="S62" s="13"/>
      <c r="T62" s="13"/>
      <c r="U62" s="13"/>
      <c r="V62" s="13"/>
      <c r="W62" s="13"/>
      <c r="X62" s="13"/>
      <c r="Y62" s="13"/>
      <c r="Z62" s="13"/>
      <c r="AA62" s="13"/>
      <c r="AB62" s="13"/>
      <c r="AC62" s="13"/>
      <c r="AD62" s="13"/>
      <c r="AE62" s="13"/>
      <c r="AF62" s="13"/>
      <c r="AG62" s="13"/>
      <c r="AH62" s="13"/>
      <c r="AI62" s="13"/>
      <c r="AJ62" s="13"/>
      <c r="AK62" s="13"/>
      <c r="AL62" s="13"/>
      <c r="AM62" s="13"/>
      <c r="AN62" s="13"/>
      <c r="AO62" s="13"/>
      <c r="AP62" s="13"/>
      <c r="AQ62" s="13"/>
      <c r="AR62" s="13"/>
      <c r="AS62" s="13"/>
      <c r="AT62" s="13"/>
      <c r="AU62" s="13"/>
      <c r="AV62" s="13"/>
      <c r="AW62" s="13"/>
      <c r="AX62" s="13"/>
      <c r="AY62" s="13"/>
    </row>
    <row r="63" spans="1:51" ht="15">
      <c r="A63" s="13"/>
      <c r="B63" s="37"/>
      <c r="C63" s="37"/>
      <c r="D63" s="37"/>
      <c r="E63" s="37"/>
      <c r="F63" s="37"/>
      <c r="G63" s="37"/>
      <c r="H63" s="37"/>
      <c r="I63" s="37"/>
      <c r="J63" s="37"/>
      <c r="K63" s="37"/>
      <c r="L63" s="13"/>
      <c r="M63" s="13"/>
      <c r="N63" s="13"/>
      <c r="O63" s="13"/>
      <c r="P63" s="13"/>
      <c r="Q63" s="13"/>
      <c r="R63" s="13"/>
      <c r="S63" s="13"/>
      <c r="T63" s="13"/>
      <c r="U63" s="13"/>
      <c r="V63" s="13"/>
      <c r="W63" s="13"/>
      <c r="X63" s="13"/>
      <c r="Y63" s="13"/>
      <c r="Z63" s="13"/>
      <c r="AA63" s="13"/>
      <c r="AB63" s="13"/>
      <c r="AC63" s="13"/>
      <c r="AD63" s="13"/>
      <c r="AE63" s="13"/>
      <c r="AF63" s="13"/>
      <c r="AG63" s="13"/>
      <c r="AH63" s="13"/>
      <c r="AI63" s="13"/>
      <c r="AJ63" s="13"/>
      <c r="AK63" s="13"/>
      <c r="AL63" s="13"/>
      <c r="AM63" s="13"/>
      <c r="AN63" s="13"/>
      <c r="AO63" s="13"/>
      <c r="AP63" s="13"/>
      <c r="AQ63" s="13"/>
      <c r="AR63" s="13"/>
      <c r="AS63" s="13"/>
      <c r="AT63" s="13"/>
      <c r="AU63" s="13"/>
      <c r="AV63" s="13"/>
      <c r="AW63" s="13"/>
      <c r="AX63" s="13"/>
      <c r="AY63" s="13"/>
    </row>
    <row r="64" spans="1:51" ht="15">
      <c r="A64" s="13"/>
      <c r="B64" s="37"/>
      <c r="C64" s="37"/>
      <c r="D64" s="37"/>
      <c r="E64" s="37"/>
      <c r="F64" s="37"/>
      <c r="G64" s="37"/>
      <c r="H64" s="37"/>
      <c r="I64" s="37"/>
      <c r="J64" s="37"/>
      <c r="K64" s="37"/>
      <c r="L64" s="13"/>
      <c r="M64" s="13"/>
      <c r="N64" s="13"/>
      <c r="O64" s="13"/>
      <c r="P64" s="13"/>
      <c r="Q64" s="13"/>
      <c r="R64" s="13"/>
      <c r="S64" s="13"/>
      <c r="T64" s="13"/>
      <c r="U64" s="13"/>
      <c r="V64" s="13"/>
      <c r="W64" s="13"/>
      <c r="X64" s="13"/>
      <c r="Y64" s="13"/>
      <c r="Z64" s="13"/>
      <c r="AA64" s="13"/>
      <c r="AB64" s="13"/>
      <c r="AC64" s="13"/>
      <c r="AD64" s="13"/>
      <c r="AE64" s="13"/>
      <c r="AF64" s="13"/>
      <c r="AG64" s="13"/>
      <c r="AH64" s="13"/>
      <c r="AI64" s="13"/>
      <c r="AJ64" s="13"/>
      <c r="AK64" s="13"/>
      <c r="AL64" s="13"/>
      <c r="AM64" s="13"/>
      <c r="AN64" s="13"/>
      <c r="AO64" s="13"/>
      <c r="AP64" s="13"/>
      <c r="AQ64" s="13"/>
      <c r="AR64" s="13"/>
      <c r="AS64" s="13"/>
      <c r="AT64" s="13"/>
      <c r="AU64" s="13"/>
      <c r="AV64" s="13"/>
      <c r="AW64" s="13"/>
      <c r="AX64" s="13"/>
      <c r="AY64" s="13"/>
    </row>
    <row r="65" spans="1:51" ht="15">
      <c r="A65" s="13"/>
      <c r="B65" s="37"/>
      <c r="C65" s="37"/>
      <c r="D65" s="37"/>
      <c r="E65" s="37"/>
      <c r="F65" s="37"/>
      <c r="G65" s="37"/>
      <c r="H65" s="37"/>
      <c r="I65" s="37"/>
      <c r="J65" s="37"/>
      <c r="K65" s="37"/>
      <c r="L65" s="13"/>
      <c r="M65" s="13"/>
      <c r="N65" s="13"/>
      <c r="O65" s="13"/>
      <c r="P65" s="13"/>
      <c r="Q65" s="13"/>
      <c r="R65" s="13"/>
      <c r="S65" s="13"/>
      <c r="T65" s="13"/>
      <c r="U65" s="13"/>
      <c r="V65" s="13"/>
      <c r="W65" s="13"/>
      <c r="X65" s="13"/>
      <c r="Y65" s="13"/>
      <c r="Z65" s="13"/>
      <c r="AA65" s="13"/>
      <c r="AB65" s="13"/>
      <c r="AC65" s="13"/>
      <c r="AD65" s="13"/>
      <c r="AE65" s="13"/>
      <c r="AF65" s="13"/>
      <c r="AG65" s="13"/>
      <c r="AH65" s="13"/>
      <c r="AI65" s="13"/>
      <c r="AJ65" s="13"/>
      <c r="AK65" s="13"/>
      <c r="AL65" s="13"/>
      <c r="AM65" s="13"/>
      <c r="AN65" s="13"/>
      <c r="AO65" s="13"/>
      <c r="AP65" s="13"/>
      <c r="AQ65" s="13"/>
      <c r="AR65" s="13"/>
      <c r="AS65" s="13"/>
      <c r="AT65" s="13"/>
      <c r="AU65" s="13"/>
      <c r="AV65" s="13"/>
      <c r="AW65" s="13"/>
      <c r="AX65" s="13"/>
      <c r="AY65" s="13"/>
    </row>
    <row r="66" spans="1:51" ht="15">
      <c r="A66" s="13"/>
      <c r="B66" s="37"/>
      <c r="C66" s="37"/>
      <c r="D66" s="37"/>
      <c r="E66" s="37"/>
      <c r="F66" s="37"/>
      <c r="G66" s="37"/>
      <c r="H66" s="37"/>
      <c r="I66" s="37"/>
      <c r="J66" s="37"/>
      <c r="K66" s="37"/>
      <c r="L66" s="13"/>
      <c r="M66" s="13"/>
      <c r="N66" s="13"/>
      <c r="O66" s="13"/>
      <c r="P66" s="13"/>
      <c r="Q66" s="13"/>
      <c r="R66" s="13"/>
      <c r="S66" s="13"/>
      <c r="T66" s="13"/>
      <c r="U66" s="13"/>
      <c r="V66" s="13"/>
      <c r="W66" s="13"/>
      <c r="X66" s="13"/>
      <c r="Y66" s="13"/>
      <c r="Z66" s="13"/>
      <c r="AA66" s="13"/>
      <c r="AB66" s="13"/>
      <c r="AC66" s="13"/>
      <c r="AD66" s="13"/>
      <c r="AE66" s="13"/>
      <c r="AF66" s="13"/>
      <c r="AG66" s="13"/>
      <c r="AH66" s="13"/>
      <c r="AI66" s="13"/>
      <c r="AJ66" s="13"/>
      <c r="AK66" s="13"/>
      <c r="AL66" s="13"/>
      <c r="AM66" s="13"/>
      <c r="AN66" s="13"/>
      <c r="AO66" s="13"/>
      <c r="AP66" s="13"/>
      <c r="AQ66" s="13"/>
      <c r="AR66" s="13"/>
      <c r="AS66" s="13"/>
      <c r="AT66" s="13"/>
      <c r="AU66" s="13"/>
      <c r="AV66" s="13"/>
      <c r="AW66" s="13"/>
      <c r="AX66" s="13"/>
      <c r="AY66" s="13"/>
    </row>
    <row r="67" spans="1:51" ht="15">
      <c r="A67" s="13"/>
      <c r="B67" s="37"/>
      <c r="C67" s="37"/>
      <c r="D67" s="37"/>
      <c r="E67" s="37"/>
      <c r="F67" s="37"/>
      <c r="G67" s="37"/>
      <c r="H67" s="37"/>
      <c r="I67" s="37"/>
      <c r="J67" s="37"/>
      <c r="K67" s="37"/>
      <c r="L67" s="13"/>
      <c r="M67" s="13"/>
      <c r="N67" s="13"/>
      <c r="O67" s="13"/>
      <c r="P67" s="13"/>
      <c r="Q67" s="13"/>
      <c r="R67" s="13"/>
      <c r="S67" s="13"/>
      <c r="T67" s="13"/>
      <c r="U67" s="13"/>
      <c r="V67" s="13"/>
      <c r="W67" s="13"/>
      <c r="X67" s="13"/>
      <c r="Y67" s="13"/>
      <c r="Z67" s="13"/>
      <c r="AA67" s="13"/>
      <c r="AB67" s="13"/>
      <c r="AC67" s="13"/>
      <c r="AD67" s="13"/>
      <c r="AE67" s="13"/>
      <c r="AF67" s="13"/>
      <c r="AG67" s="13"/>
      <c r="AH67" s="13"/>
      <c r="AI67" s="13"/>
      <c r="AJ67" s="13"/>
      <c r="AK67" s="13"/>
      <c r="AL67" s="13"/>
      <c r="AM67" s="13"/>
      <c r="AN67" s="13"/>
      <c r="AO67" s="13"/>
      <c r="AP67" s="13"/>
      <c r="AQ67" s="13"/>
      <c r="AR67" s="13"/>
      <c r="AS67" s="13"/>
      <c r="AT67" s="13"/>
      <c r="AU67" s="13"/>
      <c r="AV67" s="13"/>
      <c r="AW67" s="13"/>
      <c r="AX67" s="13"/>
      <c r="AY67" s="13"/>
    </row>
    <row r="68" spans="1:51" ht="15">
      <c r="A68" s="13"/>
      <c r="B68" s="37"/>
      <c r="C68" s="37"/>
      <c r="D68" s="37"/>
      <c r="E68" s="37"/>
      <c r="F68" s="37"/>
      <c r="G68" s="37"/>
      <c r="H68" s="37"/>
      <c r="I68" s="37"/>
      <c r="J68" s="37"/>
      <c r="K68" s="37"/>
      <c r="L68" s="13"/>
      <c r="M68" s="13"/>
      <c r="N68" s="13"/>
      <c r="O68" s="13"/>
      <c r="P68" s="13"/>
      <c r="Q68" s="13"/>
      <c r="R68" s="13"/>
      <c r="S68" s="13"/>
      <c r="T68" s="13"/>
      <c r="U68" s="13"/>
      <c r="V68" s="13"/>
      <c r="W68" s="13"/>
      <c r="X68" s="13"/>
      <c r="Y68" s="13"/>
      <c r="Z68" s="13"/>
      <c r="AA68" s="13"/>
      <c r="AB68" s="13"/>
      <c r="AC68" s="13"/>
      <c r="AD68" s="13"/>
      <c r="AE68" s="13"/>
      <c r="AF68" s="13"/>
      <c r="AG68" s="13"/>
      <c r="AH68" s="13"/>
      <c r="AI68" s="13"/>
      <c r="AJ68" s="13"/>
      <c r="AK68" s="13"/>
      <c r="AL68" s="13"/>
      <c r="AM68" s="13"/>
      <c r="AN68" s="13"/>
      <c r="AO68" s="13"/>
      <c r="AP68" s="13"/>
      <c r="AQ68" s="13"/>
      <c r="AR68" s="13"/>
      <c r="AS68" s="13"/>
      <c r="AT68" s="13"/>
      <c r="AU68" s="13"/>
      <c r="AV68" s="13"/>
      <c r="AW68" s="13"/>
      <c r="AX68" s="13"/>
      <c r="AY68" s="13"/>
    </row>
    <row r="69" spans="1:51" ht="15">
      <c r="A69" s="13"/>
      <c r="B69" s="37"/>
      <c r="C69" s="37"/>
      <c r="D69" s="37"/>
      <c r="E69" s="37"/>
      <c r="F69" s="37"/>
      <c r="G69" s="37"/>
      <c r="H69" s="37"/>
      <c r="I69" s="37"/>
      <c r="J69" s="37"/>
      <c r="K69" s="37"/>
      <c r="L69" s="13"/>
      <c r="M69" s="13"/>
      <c r="N69" s="13"/>
      <c r="O69" s="13"/>
      <c r="P69" s="13"/>
      <c r="Q69" s="13"/>
      <c r="R69" s="13"/>
      <c r="S69" s="13"/>
      <c r="T69" s="13"/>
      <c r="U69" s="13"/>
      <c r="V69" s="13"/>
      <c r="W69" s="13"/>
      <c r="X69" s="13"/>
      <c r="Y69" s="13"/>
      <c r="Z69" s="13"/>
      <c r="AA69" s="13"/>
      <c r="AB69" s="13"/>
      <c r="AC69" s="13"/>
      <c r="AD69" s="13"/>
      <c r="AE69" s="13"/>
      <c r="AF69" s="13"/>
      <c r="AG69" s="13"/>
      <c r="AH69" s="13"/>
      <c r="AI69" s="13"/>
      <c r="AJ69" s="13"/>
      <c r="AK69" s="13"/>
      <c r="AL69" s="13"/>
      <c r="AM69" s="13"/>
      <c r="AN69" s="13"/>
      <c r="AO69" s="13"/>
      <c r="AP69" s="13"/>
      <c r="AQ69" s="13"/>
      <c r="AR69" s="13"/>
      <c r="AS69" s="13"/>
      <c r="AT69" s="13"/>
      <c r="AU69" s="13"/>
      <c r="AV69" s="13"/>
      <c r="AW69" s="13"/>
      <c r="AX69" s="13"/>
      <c r="AY69" s="13"/>
    </row>
    <row r="70" spans="1:51" ht="15">
      <c r="A70" s="13"/>
      <c r="B70" s="37"/>
      <c r="C70" s="37"/>
      <c r="D70" s="37"/>
      <c r="E70" s="37"/>
      <c r="F70" s="37"/>
      <c r="G70" s="37"/>
      <c r="H70" s="37"/>
      <c r="I70" s="37"/>
      <c r="J70" s="37"/>
      <c r="K70" s="37"/>
      <c r="L70" s="13"/>
      <c r="M70" s="13"/>
      <c r="N70" s="13"/>
      <c r="O70" s="13"/>
      <c r="P70" s="13"/>
      <c r="Q70" s="13"/>
      <c r="R70" s="13"/>
      <c r="S70" s="13"/>
      <c r="T70" s="13"/>
      <c r="U70" s="13"/>
      <c r="V70" s="13"/>
      <c r="W70" s="13"/>
      <c r="X70" s="13"/>
      <c r="Y70" s="13"/>
      <c r="Z70" s="13"/>
      <c r="AA70" s="13"/>
      <c r="AB70" s="13"/>
      <c r="AC70" s="13"/>
      <c r="AD70" s="13"/>
      <c r="AE70" s="13"/>
      <c r="AF70" s="13"/>
      <c r="AG70" s="13"/>
      <c r="AH70" s="13"/>
      <c r="AI70" s="13"/>
      <c r="AJ70" s="13"/>
      <c r="AK70" s="13"/>
      <c r="AL70" s="13"/>
      <c r="AM70" s="13"/>
      <c r="AN70" s="13"/>
      <c r="AO70" s="13"/>
      <c r="AP70" s="13"/>
      <c r="AQ70" s="13"/>
      <c r="AR70" s="13"/>
      <c r="AS70" s="13"/>
      <c r="AT70" s="13"/>
      <c r="AU70" s="13"/>
      <c r="AV70" s="13"/>
      <c r="AW70" s="13"/>
      <c r="AX70" s="13"/>
      <c r="AY70" s="13"/>
    </row>
    <row r="71" spans="1:51" ht="15">
      <c r="A71" s="13"/>
      <c r="B71" s="37"/>
      <c r="C71" s="37"/>
      <c r="D71" s="37"/>
      <c r="E71" s="37"/>
      <c r="F71" s="37"/>
      <c r="G71" s="37"/>
      <c r="H71" s="37"/>
      <c r="I71" s="37"/>
      <c r="J71" s="37"/>
      <c r="K71" s="37"/>
      <c r="L71" s="13"/>
      <c r="M71" s="13"/>
      <c r="N71" s="13"/>
      <c r="O71" s="13"/>
      <c r="P71" s="13"/>
      <c r="Q71" s="13"/>
      <c r="R71" s="13"/>
      <c r="S71" s="13"/>
      <c r="T71" s="13"/>
      <c r="U71" s="13"/>
      <c r="V71" s="13"/>
      <c r="W71" s="13"/>
      <c r="X71" s="13"/>
      <c r="Y71" s="13"/>
      <c r="Z71" s="13"/>
      <c r="AA71" s="13"/>
      <c r="AB71" s="13"/>
      <c r="AC71" s="13"/>
      <c r="AD71" s="13"/>
      <c r="AE71" s="13"/>
      <c r="AF71" s="13"/>
      <c r="AG71" s="13"/>
      <c r="AH71" s="13"/>
      <c r="AI71" s="13"/>
      <c r="AJ71" s="13"/>
      <c r="AK71" s="13"/>
      <c r="AL71" s="13"/>
      <c r="AM71" s="13"/>
      <c r="AN71" s="13"/>
      <c r="AO71" s="13"/>
      <c r="AP71" s="13"/>
      <c r="AQ71" s="13"/>
      <c r="AR71" s="13"/>
      <c r="AS71" s="13"/>
      <c r="AT71" s="13"/>
      <c r="AU71" s="13"/>
      <c r="AV71" s="13"/>
      <c r="AW71" s="13"/>
      <c r="AX71" s="13"/>
      <c r="AY71" s="13"/>
    </row>
    <row r="72" spans="1:51" ht="15">
      <c r="A72" s="13"/>
      <c r="B72" s="37"/>
      <c r="C72" s="37"/>
      <c r="D72" s="37"/>
      <c r="E72" s="37"/>
      <c r="F72" s="37"/>
      <c r="G72" s="37"/>
      <c r="H72" s="37"/>
      <c r="I72" s="37"/>
      <c r="J72" s="37"/>
      <c r="K72" s="37"/>
      <c r="L72" s="13"/>
      <c r="M72" s="13"/>
      <c r="N72" s="13"/>
      <c r="O72" s="13"/>
      <c r="P72" s="13"/>
      <c r="Q72" s="13"/>
      <c r="R72" s="13"/>
      <c r="S72" s="13"/>
      <c r="T72" s="13"/>
      <c r="U72" s="13"/>
      <c r="V72" s="13"/>
      <c r="W72" s="13"/>
      <c r="X72" s="13"/>
      <c r="Y72" s="13"/>
      <c r="Z72" s="13"/>
      <c r="AA72" s="13"/>
      <c r="AB72" s="13"/>
      <c r="AC72" s="13"/>
      <c r="AD72" s="13"/>
      <c r="AE72" s="13"/>
      <c r="AF72" s="13"/>
      <c r="AG72" s="13"/>
      <c r="AH72" s="13"/>
      <c r="AI72" s="13"/>
      <c r="AJ72" s="13"/>
      <c r="AK72" s="13"/>
      <c r="AL72" s="13"/>
      <c r="AM72" s="13"/>
      <c r="AN72" s="13"/>
      <c r="AO72" s="13"/>
      <c r="AP72" s="13"/>
      <c r="AQ72" s="13"/>
      <c r="AR72" s="13"/>
      <c r="AS72" s="13"/>
      <c r="AT72" s="13"/>
      <c r="AU72" s="13"/>
      <c r="AV72" s="13"/>
      <c r="AW72" s="13"/>
      <c r="AX72" s="13"/>
      <c r="AY72" s="13"/>
    </row>
    <row r="73" spans="1:51" ht="15">
      <c r="A73" s="13"/>
      <c r="B73" s="37"/>
      <c r="C73" s="37"/>
      <c r="D73" s="37"/>
      <c r="E73" s="37"/>
      <c r="F73" s="37"/>
      <c r="G73" s="37"/>
      <c r="H73" s="37"/>
      <c r="I73" s="37"/>
      <c r="J73" s="37"/>
      <c r="K73" s="37"/>
      <c r="L73" s="13"/>
      <c r="M73" s="13"/>
      <c r="N73" s="13"/>
      <c r="O73" s="13"/>
      <c r="P73" s="13"/>
      <c r="Q73" s="13"/>
      <c r="R73" s="13"/>
      <c r="S73" s="13"/>
      <c r="T73" s="13"/>
      <c r="U73" s="13"/>
      <c r="V73" s="13"/>
      <c r="W73" s="13"/>
      <c r="X73" s="13"/>
      <c r="Y73" s="13"/>
      <c r="Z73" s="13"/>
      <c r="AA73" s="13"/>
      <c r="AB73" s="13"/>
      <c r="AC73" s="13"/>
      <c r="AD73" s="13"/>
      <c r="AE73" s="13"/>
      <c r="AF73" s="13"/>
      <c r="AG73" s="13"/>
      <c r="AH73" s="13"/>
      <c r="AI73" s="13"/>
      <c r="AJ73" s="13"/>
      <c r="AK73" s="13"/>
      <c r="AL73" s="13"/>
      <c r="AM73" s="13"/>
      <c r="AN73" s="13"/>
      <c r="AO73" s="13"/>
      <c r="AP73" s="13"/>
      <c r="AQ73" s="13"/>
      <c r="AR73" s="13"/>
      <c r="AS73" s="13"/>
      <c r="AT73" s="13"/>
      <c r="AU73" s="13"/>
      <c r="AV73" s="13"/>
      <c r="AW73" s="13"/>
      <c r="AX73" s="13"/>
      <c r="AY73" s="13"/>
    </row>
    <row r="74" spans="1:51" ht="15">
      <c r="A74" s="13"/>
      <c r="B74" s="37"/>
      <c r="C74" s="37"/>
      <c r="D74" s="37"/>
      <c r="E74" s="37"/>
      <c r="F74" s="37"/>
      <c r="G74" s="37"/>
      <c r="H74" s="37"/>
      <c r="I74" s="37"/>
      <c r="J74" s="37"/>
      <c r="K74" s="37"/>
      <c r="L74" s="13"/>
      <c r="M74" s="13"/>
      <c r="N74" s="13"/>
      <c r="O74" s="13"/>
      <c r="P74" s="13"/>
      <c r="Q74" s="13"/>
      <c r="R74" s="13"/>
      <c r="S74" s="13"/>
      <c r="T74" s="13"/>
      <c r="U74" s="13"/>
      <c r="V74" s="13"/>
      <c r="W74" s="13"/>
      <c r="X74" s="13"/>
      <c r="Y74" s="13"/>
      <c r="Z74" s="13"/>
      <c r="AA74" s="13"/>
      <c r="AB74" s="13"/>
      <c r="AC74" s="13"/>
      <c r="AD74" s="13"/>
      <c r="AE74" s="13"/>
      <c r="AF74" s="13"/>
      <c r="AG74" s="13"/>
      <c r="AH74" s="13"/>
      <c r="AI74" s="13"/>
      <c r="AJ74" s="13"/>
      <c r="AK74" s="13"/>
      <c r="AL74" s="13"/>
      <c r="AM74" s="13"/>
      <c r="AN74" s="13"/>
      <c r="AO74" s="13"/>
      <c r="AP74" s="13"/>
      <c r="AQ74" s="13"/>
      <c r="AR74" s="13"/>
      <c r="AS74" s="13"/>
      <c r="AT74" s="13"/>
      <c r="AU74" s="13"/>
      <c r="AV74" s="13"/>
      <c r="AW74" s="13"/>
      <c r="AX74" s="13"/>
      <c r="AY74" s="13"/>
    </row>
    <row r="75" spans="1:51" ht="15">
      <c r="A75" s="13"/>
      <c r="B75" s="37"/>
      <c r="C75" s="37"/>
      <c r="D75" s="37"/>
      <c r="E75" s="37"/>
      <c r="F75" s="37"/>
      <c r="G75" s="37"/>
      <c r="H75" s="37"/>
      <c r="I75" s="37"/>
      <c r="J75" s="37"/>
      <c r="K75" s="37"/>
      <c r="L75" s="13"/>
      <c r="M75" s="13"/>
      <c r="N75" s="13"/>
      <c r="O75" s="13"/>
      <c r="P75" s="13"/>
      <c r="Q75" s="13"/>
      <c r="R75" s="13"/>
      <c r="S75" s="13"/>
      <c r="T75" s="13"/>
      <c r="U75" s="13"/>
      <c r="V75" s="13"/>
      <c r="W75" s="13"/>
      <c r="X75" s="13"/>
      <c r="Y75" s="13"/>
      <c r="Z75" s="13"/>
      <c r="AA75" s="13"/>
      <c r="AB75" s="13"/>
      <c r="AC75" s="13"/>
      <c r="AD75" s="13"/>
      <c r="AE75" s="13"/>
      <c r="AF75" s="13"/>
      <c r="AG75" s="13"/>
      <c r="AH75" s="13"/>
      <c r="AI75" s="13"/>
      <c r="AJ75" s="13"/>
      <c r="AK75" s="13"/>
      <c r="AL75" s="13"/>
      <c r="AM75" s="13"/>
      <c r="AN75" s="13"/>
      <c r="AO75" s="13"/>
      <c r="AP75" s="13"/>
      <c r="AQ75" s="13"/>
      <c r="AR75" s="13"/>
      <c r="AS75" s="13"/>
      <c r="AT75" s="13"/>
      <c r="AU75" s="13"/>
      <c r="AV75" s="13"/>
      <c r="AW75" s="13"/>
      <c r="AX75" s="13"/>
      <c r="AY75" s="13"/>
    </row>
    <row r="76" spans="1:51" ht="15">
      <c r="A76" s="13"/>
      <c r="B76" s="37"/>
      <c r="C76" s="37"/>
      <c r="D76" s="37"/>
      <c r="E76" s="37"/>
      <c r="F76" s="37"/>
      <c r="G76" s="37"/>
      <c r="H76" s="37"/>
      <c r="I76" s="37"/>
      <c r="J76" s="37"/>
      <c r="K76" s="37"/>
      <c r="L76" s="13"/>
      <c r="M76" s="13"/>
      <c r="N76" s="13"/>
      <c r="O76" s="13"/>
      <c r="P76" s="13"/>
      <c r="Q76" s="13"/>
      <c r="R76" s="13"/>
      <c r="S76" s="13"/>
      <c r="T76" s="13"/>
      <c r="U76" s="13"/>
      <c r="V76" s="13"/>
      <c r="W76" s="13"/>
      <c r="X76" s="13"/>
      <c r="Y76" s="13"/>
      <c r="Z76" s="13"/>
      <c r="AA76" s="13"/>
      <c r="AB76" s="13"/>
      <c r="AC76" s="13"/>
      <c r="AD76" s="13"/>
      <c r="AE76" s="13"/>
      <c r="AF76" s="13"/>
      <c r="AG76" s="13"/>
      <c r="AH76" s="13"/>
      <c r="AI76" s="13"/>
      <c r="AJ76" s="13"/>
      <c r="AK76" s="13"/>
      <c r="AL76" s="13"/>
      <c r="AM76" s="13"/>
      <c r="AN76" s="13"/>
      <c r="AO76" s="13"/>
      <c r="AP76" s="13"/>
      <c r="AQ76" s="13"/>
      <c r="AR76" s="13"/>
      <c r="AS76" s="13"/>
      <c r="AT76" s="13"/>
      <c r="AU76" s="13"/>
      <c r="AV76" s="13"/>
      <c r="AW76" s="13"/>
      <c r="AX76" s="13"/>
      <c r="AY76" s="13"/>
    </row>
    <row r="77" spans="1:51" ht="15">
      <c r="A77" s="13"/>
      <c r="B77" s="37"/>
      <c r="C77" s="37"/>
      <c r="D77" s="37"/>
      <c r="E77" s="37"/>
      <c r="F77" s="37"/>
      <c r="G77" s="37"/>
      <c r="H77" s="37"/>
      <c r="I77" s="37"/>
      <c r="J77" s="37"/>
      <c r="K77" s="37"/>
      <c r="L77" s="13"/>
      <c r="M77" s="13"/>
      <c r="N77" s="13"/>
      <c r="O77" s="13"/>
      <c r="P77" s="13"/>
      <c r="Q77" s="13"/>
      <c r="R77" s="13"/>
      <c r="S77" s="13"/>
      <c r="T77" s="13"/>
      <c r="U77" s="13"/>
      <c r="V77" s="13"/>
      <c r="W77" s="13"/>
      <c r="X77" s="13"/>
      <c r="Y77" s="13"/>
      <c r="Z77" s="13"/>
      <c r="AA77" s="13"/>
      <c r="AB77" s="13"/>
      <c r="AC77" s="13"/>
      <c r="AD77" s="13"/>
      <c r="AE77" s="13"/>
      <c r="AF77" s="13"/>
      <c r="AG77" s="13"/>
      <c r="AH77" s="13"/>
      <c r="AI77" s="13"/>
      <c r="AJ77" s="13"/>
      <c r="AK77" s="13"/>
      <c r="AL77" s="13"/>
      <c r="AM77" s="13"/>
      <c r="AN77" s="13"/>
      <c r="AO77" s="13"/>
      <c r="AP77" s="13"/>
      <c r="AQ77" s="13"/>
      <c r="AR77" s="13"/>
      <c r="AS77" s="13"/>
      <c r="AT77" s="13"/>
      <c r="AU77" s="13"/>
      <c r="AV77" s="13"/>
      <c r="AW77" s="13"/>
      <c r="AX77" s="13"/>
      <c r="AY77" s="13"/>
    </row>
    <row r="78" spans="1:51" ht="15">
      <c r="A78" s="13"/>
      <c r="B78" s="37"/>
      <c r="C78" s="37"/>
      <c r="D78" s="37"/>
      <c r="E78" s="37"/>
      <c r="F78" s="37"/>
      <c r="G78" s="37"/>
      <c r="H78" s="37"/>
      <c r="I78" s="37"/>
      <c r="J78" s="37"/>
      <c r="K78" s="37"/>
      <c r="L78" s="13"/>
      <c r="M78" s="13"/>
      <c r="N78" s="13"/>
      <c r="O78" s="13"/>
      <c r="P78" s="13"/>
      <c r="Q78" s="13"/>
      <c r="R78" s="13"/>
      <c r="S78" s="13"/>
      <c r="T78" s="13"/>
      <c r="U78" s="13"/>
      <c r="V78" s="13"/>
      <c r="W78" s="13"/>
      <c r="X78" s="13"/>
      <c r="Y78" s="13"/>
      <c r="Z78" s="13"/>
      <c r="AA78" s="13"/>
      <c r="AB78" s="13"/>
      <c r="AC78" s="13"/>
      <c r="AD78" s="13"/>
      <c r="AE78" s="13"/>
      <c r="AF78" s="13"/>
      <c r="AG78" s="13"/>
      <c r="AH78" s="13"/>
      <c r="AI78" s="13"/>
      <c r="AJ78" s="13"/>
      <c r="AK78" s="13"/>
      <c r="AL78" s="13"/>
      <c r="AM78" s="13"/>
      <c r="AN78" s="13"/>
      <c r="AO78" s="13"/>
      <c r="AP78" s="13"/>
      <c r="AQ78" s="13"/>
      <c r="AR78" s="13"/>
      <c r="AS78" s="13"/>
      <c r="AT78" s="13"/>
      <c r="AU78" s="13"/>
      <c r="AV78" s="13"/>
      <c r="AW78" s="13"/>
      <c r="AX78" s="13"/>
      <c r="AY78" s="13"/>
    </row>
    <row r="79" spans="1:51" ht="15">
      <c r="A79" s="13"/>
      <c r="B79" s="37"/>
      <c r="C79" s="37"/>
      <c r="D79" s="37"/>
      <c r="E79" s="37"/>
      <c r="F79" s="37"/>
      <c r="G79" s="37"/>
      <c r="H79" s="37"/>
      <c r="I79" s="37"/>
      <c r="J79" s="37"/>
      <c r="K79" s="37"/>
      <c r="L79" s="13"/>
      <c r="M79" s="13"/>
      <c r="N79" s="13"/>
      <c r="O79" s="13"/>
      <c r="P79" s="13"/>
      <c r="Q79" s="13"/>
      <c r="R79" s="13"/>
      <c r="S79" s="13"/>
      <c r="T79" s="13"/>
      <c r="U79" s="13"/>
      <c r="V79" s="13"/>
      <c r="W79" s="13"/>
      <c r="X79" s="13"/>
      <c r="Y79" s="13"/>
      <c r="Z79" s="13"/>
      <c r="AA79" s="13"/>
      <c r="AB79" s="13"/>
      <c r="AC79" s="13"/>
      <c r="AD79" s="13"/>
      <c r="AE79" s="13"/>
      <c r="AF79" s="13"/>
      <c r="AG79" s="13"/>
      <c r="AH79" s="13"/>
      <c r="AI79" s="13"/>
      <c r="AJ79" s="13"/>
      <c r="AK79" s="13"/>
      <c r="AL79" s="13"/>
      <c r="AM79" s="13"/>
      <c r="AN79" s="13"/>
      <c r="AO79" s="13"/>
      <c r="AP79" s="13"/>
      <c r="AQ79" s="13"/>
      <c r="AR79" s="13"/>
      <c r="AS79" s="13"/>
      <c r="AT79" s="13"/>
      <c r="AU79" s="13"/>
      <c r="AV79" s="13"/>
      <c r="AW79" s="13"/>
      <c r="AX79" s="13"/>
      <c r="AY79" s="13"/>
    </row>
    <row r="80" spans="1:51" ht="15">
      <c r="A80" s="13"/>
      <c r="B80" s="37"/>
      <c r="C80" s="37"/>
      <c r="D80" s="37"/>
      <c r="E80" s="37"/>
      <c r="F80" s="37"/>
      <c r="G80" s="37"/>
      <c r="H80" s="37"/>
      <c r="I80" s="37"/>
      <c r="J80" s="37"/>
      <c r="K80" s="37"/>
      <c r="L80" s="13"/>
      <c r="M80" s="13"/>
      <c r="N80" s="13"/>
      <c r="O80" s="13"/>
      <c r="P80" s="13"/>
      <c r="Q80" s="13"/>
      <c r="R80" s="13"/>
      <c r="S80" s="13"/>
      <c r="T80" s="13"/>
      <c r="U80" s="13"/>
      <c r="V80" s="13"/>
      <c r="W80" s="13"/>
      <c r="X80" s="13"/>
      <c r="Y80" s="13"/>
      <c r="Z80" s="13"/>
      <c r="AA80" s="13"/>
      <c r="AB80" s="13"/>
      <c r="AC80" s="13"/>
      <c r="AD80" s="13"/>
      <c r="AE80" s="13"/>
      <c r="AF80" s="13"/>
      <c r="AG80" s="13"/>
      <c r="AH80" s="13"/>
      <c r="AI80" s="13"/>
      <c r="AJ80" s="13"/>
      <c r="AK80" s="13"/>
      <c r="AL80" s="13"/>
      <c r="AM80" s="13"/>
      <c r="AN80" s="13"/>
      <c r="AO80" s="13"/>
      <c r="AP80" s="13"/>
      <c r="AQ80" s="13"/>
      <c r="AR80" s="13"/>
      <c r="AS80" s="13"/>
      <c r="AT80" s="13"/>
      <c r="AU80" s="13"/>
      <c r="AV80" s="13"/>
      <c r="AW80" s="13"/>
      <c r="AX80" s="13"/>
      <c r="AY80" s="13"/>
    </row>
    <row r="81" spans="1:51" ht="15">
      <c r="A81" s="13"/>
      <c r="B81" s="37"/>
      <c r="C81" s="37"/>
      <c r="D81" s="37"/>
      <c r="E81" s="37"/>
      <c r="F81" s="37"/>
      <c r="G81" s="37"/>
      <c r="H81" s="37"/>
      <c r="I81" s="37"/>
      <c r="J81" s="37"/>
      <c r="K81" s="37"/>
      <c r="L81" s="13"/>
      <c r="M81" s="13"/>
      <c r="N81" s="13"/>
      <c r="O81" s="13"/>
      <c r="P81" s="13"/>
      <c r="Q81" s="13"/>
      <c r="R81" s="13"/>
      <c r="S81" s="13"/>
      <c r="T81" s="13"/>
      <c r="U81" s="13"/>
      <c r="V81" s="13"/>
      <c r="W81" s="13"/>
      <c r="X81" s="13"/>
      <c r="Y81" s="13"/>
      <c r="Z81" s="13"/>
      <c r="AA81" s="13"/>
      <c r="AB81" s="13"/>
      <c r="AC81" s="13"/>
      <c r="AD81" s="13"/>
      <c r="AE81" s="13"/>
      <c r="AF81" s="13"/>
      <c r="AG81" s="13"/>
      <c r="AH81" s="13"/>
      <c r="AI81" s="13"/>
      <c r="AJ81" s="13"/>
      <c r="AK81" s="13"/>
      <c r="AL81" s="13"/>
      <c r="AM81" s="13"/>
      <c r="AN81" s="13"/>
      <c r="AO81" s="13"/>
      <c r="AP81" s="13"/>
      <c r="AQ81" s="13"/>
      <c r="AR81" s="13"/>
      <c r="AS81" s="13"/>
      <c r="AT81" s="13"/>
      <c r="AU81" s="13"/>
      <c r="AV81" s="13"/>
      <c r="AW81" s="13"/>
      <c r="AX81" s="13"/>
      <c r="AY81" s="13"/>
    </row>
    <row r="82" spans="1:51" ht="15">
      <c r="A82" s="13"/>
      <c r="B82" s="37"/>
      <c r="C82" s="37"/>
      <c r="D82" s="37"/>
      <c r="E82" s="37"/>
      <c r="F82" s="37"/>
      <c r="G82" s="37"/>
      <c r="H82" s="37"/>
      <c r="I82" s="37"/>
      <c r="J82" s="37"/>
      <c r="K82" s="37"/>
      <c r="L82" s="13"/>
      <c r="M82" s="13"/>
      <c r="N82" s="13"/>
      <c r="O82" s="13"/>
      <c r="P82" s="13"/>
      <c r="Q82" s="13"/>
      <c r="R82" s="13"/>
      <c r="S82" s="13"/>
      <c r="T82" s="13"/>
      <c r="U82" s="13"/>
      <c r="V82" s="13"/>
      <c r="W82" s="13"/>
      <c r="X82" s="13"/>
      <c r="Y82" s="13"/>
      <c r="Z82" s="13"/>
      <c r="AA82" s="13"/>
      <c r="AB82" s="13"/>
      <c r="AC82" s="13"/>
      <c r="AD82" s="13"/>
      <c r="AE82" s="13"/>
      <c r="AF82" s="13"/>
      <c r="AG82" s="13"/>
      <c r="AH82" s="13"/>
      <c r="AI82" s="13"/>
      <c r="AJ82" s="13"/>
      <c r="AK82" s="13"/>
      <c r="AL82" s="13"/>
      <c r="AM82" s="13"/>
      <c r="AN82" s="13"/>
      <c r="AO82" s="13"/>
      <c r="AP82" s="13"/>
      <c r="AQ82" s="13"/>
      <c r="AR82" s="13"/>
      <c r="AS82" s="13"/>
      <c r="AT82" s="13"/>
      <c r="AU82" s="13"/>
      <c r="AV82" s="13"/>
      <c r="AW82" s="13"/>
      <c r="AX82" s="13"/>
      <c r="AY82" s="13"/>
    </row>
    <row r="83" spans="1:51" ht="15">
      <c r="A83" s="13"/>
      <c r="B83" s="37"/>
      <c r="C83" s="37"/>
      <c r="D83" s="37"/>
      <c r="E83" s="37"/>
      <c r="F83" s="37"/>
      <c r="G83" s="37"/>
      <c r="H83" s="37"/>
      <c r="I83" s="37"/>
      <c r="J83" s="37"/>
      <c r="K83" s="37"/>
      <c r="L83" s="13"/>
      <c r="M83" s="13"/>
      <c r="N83" s="13"/>
      <c r="O83" s="13"/>
      <c r="P83" s="13"/>
      <c r="Q83" s="13"/>
      <c r="R83" s="13"/>
      <c r="S83" s="13"/>
      <c r="T83" s="13"/>
      <c r="U83" s="13"/>
      <c r="V83" s="13"/>
      <c r="W83" s="13"/>
      <c r="X83" s="13"/>
      <c r="Y83" s="13"/>
      <c r="Z83" s="13"/>
      <c r="AA83" s="13"/>
      <c r="AB83" s="13"/>
      <c r="AC83" s="13"/>
      <c r="AD83" s="13"/>
      <c r="AE83" s="13"/>
      <c r="AF83" s="13"/>
      <c r="AG83" s="13"/>
      <c r="AH83" s="13"/>
      <c r="AI83" s="13"/>
      <c r="AJ83" s="13"/>
      <c r="AK83" s="13"/>
      <c r="AL83" s="13"/>
      <c r="AM83" s="13"/>
      <c r="AN83" s="13"/>
      <c r="AO83" s="13"/>
      <c r="AP83" s="13"/>
      <c r="AQ83" s="13"/>
      <c r="AR83" s="13"/>
      <c r="AS83" s="13"/>
      <c r="AT83" s="13"/>
      <c r="AU83" s="13"/>
      <c r="AV83" s="13"/>
      <c r="AW83" s="13"/>
      <c r="AX83" s="13"/>
      <c r="AY83" s="13"/>
    </row>
    <row r="84" spans="1:51" ht="15">
      <c r="A84" s="13"/>
      <c r="B84" s="37"/>
      <c r="C84" s="37"/>
      <c r="D84" s="37"/>
      <c r="E84" s="37"/>
      <c r="F84" s="37"/>
      <c r="G84" s="37"/>
      <c r="H84" s="37"/>
      <c r="I84" s="37"/>
      <c r="J84" s="37"/>
      <c r="K84" s="37"/>
      <c r="L84" s="13"/>
      <c r="M84" s="13"/>
      <c r="N84" s="13"/>
      <c r="O84" s="13"/>
      <c r="P84" s="13"/>
      <c r="Q84" s="13"/>
      <c r="R84" s="13"/>
      <c r="S84" s="13"/>
      <c r="T84" s="13"/>
      <c r="U84" s="13"/>
      <c r="V84" s="13"/>
      <c r="W84" s="13"/>
      <c r="X84" s="13"/>
      <c r="Y84" s="13"/>
      <c r="Z84" s="13"/>
      <c r="AA84" s="13"/>
      <c r="AB84" s="13"/>
      <c r="AC84" s="13"/>
      <c r="AD84" s="13"/>
      <c r="AE84" s="13"/>
      <c r="AF84" s="13"/>
      <c r="AG84" s="13"/>
      <c r="AH84" s="13"/>
      <c r="AI84" s="13"/>
      <c r="AJ84" s="13"/>
      <c r="AK84" s="13"/>
      <c r="AL84" s="13"/>
      <c r="AM84" s="13"/>
      <c r="AN84" s="13"/>
      <c r="AO84" s="13"/>
      <c r="AP84" s="13"/>
      <c r="AQ84" s="13"/>
      <c r="AR84" s="13"/>
      <c r="AS84" s="13"/>
      <c r="AT84" s="13"/>
      <c r="AU84" s="13"/>
      <c r="AV84" s="13"/>
      <c r="AW84" s="13"/>
      <c r="AX84" s="13"/>
      <c r="AY84" s="13"/>
    </row>
    <row r="85" spans="1:51" ht="15">
      <c r="A85" s="13"/>
      <c r="B85" s="37"/>
      <c r="C85" s="37"/>
      <c r="D85" s="37"/>
      <c r="E85" s="37"/>
      <c r="F85" s="37"/>
      <c r="G85" s="37"/>
      <c r="H85" s="37"/>
      <c r="I85" s="37"/>
      <c r="J85" s="37"/>
      <c r="K85" s="37"/>
      <c r="L85" s="13"/>
      <c r="M85" s="13"/>
      <c r="N85" s="13"/>
      <c r="O85" s="13"/>
      <c r="P85" s="13"/>
      <c r="Q85" s="13"/>
      <c r="R85" s="13"/>
      <c r="S85" s="13"/>
      <c r="T85" s="13"/>
      <c r="U85" s="13"/>
      <c r="V85" s="13"/>
      <c r="W85" s="13"/>
      <c r="X85" s="13"/>
      <c r="Y85" s="13"/>
      <c r="Z85" s="13"/>
      <c r="AA85" s="13"/>
      <c r="AB85" s="13"/>
      <c r="AC85" s="13"/>
      <c r="AD85" s="13"/>
      <c r="AE85" s="13"/>
      <c r="AF85" s="13"/>
      <c r="AG85" s="13"/>
      <c r="AH85" s="13"/>
      <c r="AI85" s="13"/>
      <c r="AJ85" s="13"/>
      <c r="AK85" s="13"/>
      <c r="AL85" s="13"/>
      <c r="AM85" s="13"/>
      <c r="AN85" s="13"/>
      <c r="AO85" s="13"/>
      <c r="AP85" s="13"/>
      <c r="AQ85" s="13"/>
      <c r="AR85" s="13"/>
      <c r="AS85" s="13"/>
      <c r="AT85" s="13"/>
      <c r="AU85" s="13"/>
      <c r="AV85" s="13"/>
      <c r="AW85" s="13"/>
      <c r="AX85" s="13"/>
      <c r="AY85" s="13"/>
    </row>
    <row r="86" spans="1:51" ht="15">
      <c r="A86" s="13"/>
      <c r="B86" s="37"/>
      <c r="C86" s="37"/>
      <c r="D86" s="37"/>
      <c r="E86" s="37"/>
      <c r="F86" s="37"/>
      <c r="G86" s="37"/>
      <c r="H86" s="37"/>
      <c r="I86" s="37"/>
      <c r="J86" s="37"/>
      <c r="K86" s="37"/>
      <c r="L86" s="13"/>
      <c r="M86" s="13"/>
      <c r="N86" s="13"/>
      <c r="O86" s="13"/>
      <c r="P86" s="13"/>
      <c r="Q86" s="13"/>
      <c r="R86" s="13"/>
      <c r="S86" s="13"/>
      <c r="T86" s="13"/>
      <c r="U86" s="13"/>
      <c r="V86" s="13"/>
      <c r="W86" s="13"/>
      <c r="X86" s="13"/>
      <c r="Y86" s="13"/>
      <c r="Z86" s="13"/>
      <c r="AA86" s="13"/>
      <c r="AB86" s="13"/>
      <c r="AC86" s="13"/>
      <c r="AD86" s="13"/>
      <c r="AE86" s="13"/>
      <c r="AF86" s="13"/>
      <c r="AG86" s="13"/>
      <c r="AH86" s="13"/>
      <c r="AI86" s="13"/>
      <c r="AJ86" s="13"/>
      <c r="AK86" s="13"/>
      <c r="AL86" s="13"/>
      <c r="AM86" s="13"/>
      <c r="AN86" s="13"/>
      <c r="AO86" s="13"/>
      <c r="AP86" s="13"/>
      <c r="AQ86" s="13"/>
      <c r="AR86" s="13"/>
      <c r="AS86" s="13"/>
      <c r="AT86" s="13"/>
      <c r="AU86" s="13"/>
      <c r="AV86" s="13"/>
      <c r="AW86" s="13"/>
      <c r="AX86" s="13"/>
      <c r="AY86" s="13"/>
    </row>
    <row r="87" spans="1:51" ht="15">
      <c r="A87" s="13"/>
      <c r="B87" s="37"/>
      <c r="C87" s="37"/>
      <c r="D87" s="37"/>
      <c r="E87" s="37"/>
      <c r="F87" s="37"/>
      <c r="G87" s="37"/>
      <c r="H87" s="37"/>
      <c r="I87" s="37"/>
      <c r="J87" s="37"/>
      <c r="K87" s="37"/>
      <c r="L87" s="13"/>
      <c r="M87" s="13"/>
      <c r="N87" s="13"/>
      <c r="O87" s="13"/>
      <c r="P87" s="13"/>
      <c r="Q87" s="13"/>
      <c r="R87" s="13"/>
      <c r="S87" s="13"/>
      <c r="T87" s="13"/>
      <c r="U87" s="13"/>
      <c r="V87" s="13"/>
      <c r="W87" s="13"/>
      <c r="X87" s="13"/>
      <c r="Y87" s="13"/>
      <c r="Z87" s="13"/>
      <c r="AA87" s="13"/>
      <c r="AB87" s="13"/>
      <c r="AC87" s="13"/>
      <c r="AD87" s="13"/>
      <c r="AE87" s="13"/>
      <c r="AF87" s="13"/>
      <c r="AG87" s="13"/>
      <c r="AH87" s="13"/>
      <c r="AI87" s="13"/>
      <c r="AJ87" s="13"/>
      <c r="AK87" s="13"/>
      <c r="AL87" s="13"/>
      <c r="AM87" s="13"/>
      <c r="AN87" s="13"/>
      <c r="AO87" s="13"/>
      <c r="AP87" s="13"/>
      <c r="AQ87" s="13"/>
      <c r="AR87" s="13"/>
      <c r="AS87" s="13"/>
      <c r="AT87" s="13"/>
      <c r="AU87" s="13"/>
      <c r="AV87" s="13"/>
      <c r="AW87" s="13"/>
      <c r="AX87" s="13"/>
      <c r="AY87" s="13"/>
    </row>
    <row r="88" spans="1:51" ht="15">
      <c r="A88" s="13"/>
      <c r="B88" s="37"/>
      <c r="C88" s="37"/>
      <c r="D88" s="37"/>
      <c r="E88" s="37"/>
      <c r="F88" s="37"/>
      <c r="G88" s="37"/>
      <c r="H88" s="37"/>
      <c r="I88" s="37"/>
      <c r="J88" s="37"/>
      <c r="K88" s="37"/>
      <c r="L88" s="13"/>
      <c r="M88" s="13"/>
      <c r="N88" s="13"/>
      <c r="O88" s="13"/>
      <c r="P88" s="13"/>
      <c r="Q88" s="13"/>
      <c r="R88" s="13"/>
      <c r="S88" s="13"/>
      <c r="T88" s="13"/>
      <c r="U88" s="13"/>
      <c r="V88" s="13"/>
      <c r="W88" s="13"/>
      <c r="X88" s="13"/>
      <c r="Y88" s="13"/>
      <c r="Z88" s="13"/>
      <c r="AA88" s="13"/>
      <c r="AB88" s="13"/>
      <c r="AC88" s="13"/>
      <c r="AD88" s="13"/>
      <c r="AE88" s="13"/>
      <c r="AF88" s="13"/>
      <c r="AG88" s="13"/>
      <c r="AH88" s="13"/>
      <c r="AI88" s="13"/>
      <c r="AJ88" s="13"/>
      <c r="AK88" s="13"/>
      <c r="AL88" s="13"/>
      <c r="AM88" s="13"/>
      <c r="AN88" s="13"/>
      <c r="AO88" s="13"/>
      <c r="AP88" s="13"/>
      <c r="AQ88" s="13"/>
      <c r="AR88" s="13"/>
      <c r="AS88" s="13"/>
      <c r="AT88" s="13"/>
      <c r="AU88" s="13"/>
      <c r="AV88" s="13"/>
      <c r="AW88" s="13"/>
      <c r="AX88" s="13"/>
      <c r="AY88" s="13"/>
    </row>
    <row r="89" spans="1:51" ht="15">
      <c r="A89" s="13"/>
      <c r="B89" s="37"/>
      <c r="C89" s="37"/>
      <c r="D89" s="37"/>
      <c r="E89" s="37"/>
      <c r="F89" s="37"/>
      <c r="G89" s="37"/>
      <c r="H89" s="37"/>
      <c r="I89" s="37"/>
      <c r="J89" s="37"/>
      <c r="K89" s="37"/>
      <c r="L89" s="13"/>
      <c r="M89" s="13"/>
      <c r="N89" s="13"/>
      <c r="O89" s="13"/>
      <c r="P89" s="13"/>
      <c r="Q89" s="13"/>
      <c r="R89" s="13"/>
      <c r="S89" s="13"/>
      <c r="T89" s="13"/>
      <c r="U89" s="13"/>
      <c r="V89" s="13"/>
      <c r="W89" s="13"/>
      <c r="X89" s="13"/>
      <c r="Y89" s="13"/>
      <c r="Z89" s="13"/>
      <c r="AA89" s="13"/>
      <c r="AB89" s="13"/>
      <c r="AC89" s="13"/>
      <c r="AD89" s="13"/>
      <c r="AE89" s="13"/>
      <c r="AF89" s="13"/>
      <c r="AG89" s="13"/>
      <c r="AH89" s="13"/>
      <c r="AI89" s="13"/>
      <c r="AJ89" s="13"/>
      <c r="AK89" s="13"/>
      <c r="AL89" s="13"/>
      <c r="AM89" s="13"/>
      <c r="AN89" s="13"/>
      <c r="AO89" s="13"/>
      <c r="AP89" s="13"/>
      <c r="AQ89" s="13"/>
      <c r="AR89" s="13"/>
      <c r="AS89" s="13"/>
      <c r="AT89" s="13"/>
      <c r="AU89" s="13"/>
      <c r="AV89" s="13"/>
      <c r="AW89" s="13"/>
      <c r="AX89" s="13"/>
      <c r="AY89" s="13"/>
    </row>
    <row r="90" spans="1:51" ht="15">
      <c r="A90" s="13"/>
      <c r="B90" s="37"/>
      <c r="C90" s="37"/>
      <c r="D90" s="37"/>
      <c r="E90" s="37"/>
      <c r="F90" s="37"/>
      <c r="G90" s="37"/>
      <c r="H90" s="37"/>
      <c r="I90" s="37"/>
      <c r="J90" s="37"/>
      <c r="K90" s="37"/>
      <c r="L90" s="13"/>
      <c r="M90" s="13"/>
      <c r="N90" s="13"/>
      <c r="O90" s="13"/>
      <c r="P90" s="13"/>
      <c r="Q90" s="13"/>
      <c r="R90" s="13"/>
      <c r="S90" s="13"/>
      <c r="T90" s="13"/>
      <c r="U90" s="13"/>
      <c r="V90" s="13"/>
      <c r="W90" s="13"/>
      <c r="X90" s="13"/>
      <c r="Y90" s="13"/>
      <c r="Z90" s="13"/>
      <c r="AA90" s="13"/>
      <c r="AB90" s="13"/>
      <c r="AC90" s="13"/>
      <c r="AD90" s="13"/>
      <c r="AE90" s="13"/>
      <c r="AF90" s="13"/>
      <c r="AG90" s="13"/>
      <c r="AH90" s="13"/>
      <c r="AI90" s="13"/>
      <c r="AJ90" s="13"/>
      <c r="AK90" s="13"/>
      <c r="AL90" s="13"/>
      <c r="AM90" s="13"/>
      <c r="AN90" s="13"/>
      <c r="AO90" s="13"/>
      <c r="AP90" s="13"/>
      <c r="AQ90" s="13"/>
      <c r="AR90" s="13"/>
      <c r="AS90" s="13"/>
      <c r="AT90" s="13"/>
      <c r="AU90" s="13"/>
      <c r="AV90" s="13"/>
      <c r="AW90" s="13"/>
      <c r="AX90" s="13"/>
      <c r="AY90" s="13"/>
    </row>
    <row r="91" spans="1:51" ht="15">
      <c r="A91" s="13"/>
      <c r="B91" s="37"/>
      <c r="C91" s="37"/>
      <c r="D91" s="37"/>
      <c r="E91" s="37"/>
      <c r="F91" s="37"/>
      <c r="G91" s="37"/>
      <c r="H91" s="37"/>
      <c r="I91" s="37"/>
      <c r="J91" s="37"/>
      <c r="K91" s="37"/>
      <c r="L91" s="13"/>
      <c r="M91" s="13"/>
      <c r="N91" s="13"/>
      <c r="O91" s="13"/>
      <c r="P91" s="13"/>
      <c r="Q91" s="13"/>
      <c r="R91" s="13"/>
      <c r="S91" s="13"/>
      <c r="T91" s="13"/>
      <c r="U91" s="13"/>
      <c r="V91" s="13"/>
      <c r="W91" s="13"/>
      <c r="X91" s="13"/>
      <c r="Y91" s="13"/>
      <c r="Z91" s="13"/>
      <c r="AA91" s="13"/>
      <c r="AB91" s="13"/>
      <c r="AC91" s="13"/>
      <c r="AD91" s="13"/>
      <c r="AE91" s="13"/>
      <c r="AF91" s="13"/>
      <c r="AG91" s="13"/>
      <c r="AH91" s="13"/>
      <c r="AI91" s="13"/>
      <c r="AJ91" s="13"/>
      <c r="AK91" s="13"/>
      <c r="AL91" s="13"/>
      <c r="AM91" s="13"/>
      <c r="AN91" s="13"/>
      <c r="AO91" s="13"/>
      <c r="AP91" s="13"/>
      <c r="AQ91" s="13"/>
      <c r="AR91" s="13"/>
      <c r="AS91" s="13"/>
      <c r="AT91" s="13"/>
      <c r="AU91" s="13"/>
      <c r="AV91" s="13"/>
      <c r="AW91" s="13"/>
      <c r="AX91" s="13"/>
      <c r="AY91" s="13"/>
    </row>
    <row r="92" spans="1:51" ht="15">
      <c r="A92" s="13"/>
      <c r="B92" s="37"/>
      <c r="C92" s="37"/>
      <c r="D92" s="37"/>
      <c r="E92" s="37"/>
      <c r="F92" s="37"/>
      <c r="G92" s="37"/>
      <c r="H92" s="37"/>
      <c r="I92" s="37"/>
      <c r="J92" s="37"/>
      <c r="K92" s="37"/>
      <c r="L92" s="13"/>
      <c r="M92" s="13"/>
      <c r="N92" s="13"/>
      <c r="O92" s="13"/>
      <c r="P92" s="13"/>
      <c r="Q92" s="13"/>
      <c r="R92" s="13"/>
      <c r="S92" s="13"/>
      <c r="T92" s="13"/>
      <c r="U92" s="13"/>
      <c r="V92" s="13"/>
      <c r="W92" s="13"/>
      <c r="X92" s="13"/>
      <c r="Y92" s="13"/>
      <c r="Z92" s="13"/>
      <c r="AA92" s="13"/>
      <c r="AB92" s="13"/>
      <c r="AC92" s="13"/>
      <c r="AD92" s="13"/>
      <c r="AE92" s="13"/>
      <c r="AF92" s="13"/>
      <c r="AG92" s="13"/>
      <c r="AH92" s="13"/>
      <c r="AI92" s="13"/>
      <c r="AJ92" s="13"/>
      <c r="AK92" s="13"/>
      <c r="AL92" s="13"/>
      <c r="AM92" s="13"/>
      <c r="AN92" s="13"/>
      <c r="AO92" s="13"/>
      <c r="AP92" s="13"/>
      <c r="AQ92" s="13"/>
      <c r="AR92" s="13"/>
      <c r="AS92" s="13"/>
      <c r="AT92" s="13"/>
      <c r="AU92" s="13"/>
      <c r="AV92" s="13"/>
      <c r="AW92" s="13"/>
      <c r="AX92" s="13"/>
      <c r="AY92" s="13"/>
    </row>
    <row r="93" spans="1:51" ht="15">
      <c r="A93" s="13"/>
      <c r="B93" s="37"/>
      <c r="C93" s="37"/>
      <c r="D93" s="37"/>
      <c r="E93" s="37"/>
      <c r="F93" s="37"/>
      <c r="G93" s="37"/>
      <c r="H93" s="37"/>
      <c r="I93" s="37"/>
      <c r="J93" s="37"/>
      <c r="K93" s="37"/>
      <c r="L93" s="13"/>
      <c r="M93" s="13"/>
      <c r="N93" s="13"/>
      <c r="O93" s="13"/>
      <c r="P93" s="13"/>
      <c r="Q93" s="13"/>
      <c r="R93" s="13"/>
      <c r="S93" s="13"/>
      <c r="T93" s="13"/>
      <c r="U93" s="13"/>
      <c r="V93" s="13"/>
      <c r="W93" s="13"/>
      <c r="X93" s="13"/>
      <c r="Y93" s="13"/>
      <c r="Z93" s="13"/>
      <c r="AA93" s="13"/>
      <c r="AB93" s="13"/>
      <c r="AC93" s="13"/>
      <c r="AD93" s="13"/>
      <c r="AE93" s="13"/>
      <c r="AF93" s="13"/>
      <c r="AG93" s="13"/>
      <c r="AH93" s="13"/>
      <c r="AI93" s="13"/>
      <c r="AJ93" s="13"/>
      <c r="AK93" s="13"/>
      <c r="AL93" s="13"/>
      <c r="AM93" s="13"/>
      <c r="AN93" s="13"/>
      <c r="AO93" s="13"/>
      <c r="AP93" s="13"/>
      <c r="AQ93" s="13"/>
      <c r="AR93" s="13"/>
      <c r="AS93" s="13"/>
      <c r="AT93" s="13"/>
      <c r="AU93" s="13"/>
      <c r="AV93" s="13"/>
      <c r="AW93" s="13"/>
      <c r="AX93" s="13"/>
      <c r="AY93" s="13"/>
    </row>
    <row r="94" spans="1:51" ht="15">
      <c r="A94" s="13"/>
      <c r="B94" s="37"/>
      <c r="C94" s="37"/>
      <c r="D94" s="37"/>
      <c r="E94" s="37"/>
      <c r="F94" s="37"/>
      <c r="G94" s="37"/>
      <c r="H94" s="37"/>
      <c r="I94" s="37"/>
      <c r="J94" s="37"/>
      <c r="K94" s="37"/>
      <c r="L94" s="13"/>
      <c r="M94" s="13"/>
      <c r="N94" s="13"/>
      <c r="O94" s="13"/>
      <c r="P94" s="13"/>
      <c r="Q94" s="13"/>
      <c r="R94" s="13"/>
      <c r="S94" s="13"/>
      <c r="T94" s="13"/>
      <c r="U94" s="13"/>
      <c r="V94" s="13"/>
      <c r="W94" s="13"/>
      <c r="X94" s="13"/>
      <c r="Y94" s="13"/>
      <c r="Z94" s="13"/>
      <c r="AA94" s="13"/>
      <c r="AB94" s="13"/>
      <c r="AC94" s="13"/>
      <c r="AD94" s="13"/>
      <c r="AE94" s="13"/>
      <c r="AF94" s="13"/>
      <c r="AG94" s="13"/>
      <c r="AH94" s="13"/>
      <c r="AI94" s="13"/>
      <c r="AJ94" s="13"/>
      <c r="AK94" s="13"/>
      <c r="AL94" s="13"/>
      <c r="AM94" s="13"/>
      <c r="AN94" s="13"/>
      <c r="AO94" s="13"/>
      <c r="AP94" s="13"/>
      <c r="AQ94" s="13"/>
      <c r="AR94" s="13"/>
      <c r="AS94" s="13"/>
      <c r="AT94" s="13"/>
      <c r="AU94" s="13"/>
      <c r="AV94" s="13"/>
      <c r="AW94" s="13"/>
      <c r="AX94" s="13"/>
      <c r="AY94" s="13"/>
    </row>
    <row r="95" spans="1:51" ht="15">
      <c r="A95" s="13"/>
      <c r="B95" s="37"/>
      <c r="C95" s="37"/>
      <c r="D95" s="37"/>
      <c r="E95" s="37"/>
      <c r="F95" s="37"/>
      <c r="G95" s="37"/>
      <c r="H95" s="37"/>
      <c r="I95" s="37"/>
      <c r="J95" s="37"/>
      <c r="K95" s="37"/>
      <c r="L95" s="13"/>
      <c r="M95" s="13"/>
      <c r="N95" s="13"/>
      <c r="O95" s="13"/>
      <c r="P95" s="13"/>
      <c r="Q95" s="13"/>
      <c r="R95" s="13"/>
      <c r="S95" s="13"/>
      <c r="T95" s="13"/>
      <c r="U95" s="13"/>
      <c r="V95" s="13"/>
      <c r="W95" s="13"/>
      <c r="X95" s="13"/>
      <c r="Y95" s="13"/>
      <c r="Z95" s="13"/>
      <c r="AA95" s="13"/>
      <c r="AB95" s="13"/>
      <c r="AC95" s="13"/>
      <c r="AD95" s="13"/>
      <c r="AE95" s="13"/>
      <c r="AF95" s="13"/>
      <c r="AG95" s="13"/>
      <c r="AH95" s="13"/>
      <c r="AI95" s="13"/>
      <c r="AJ95" s="13"/>
      <c r="AK95" s="13"/>
      <c r="AL95" s="13"/>
      <c r="AM95" s="13"/>
      <c r="AN95" s="13"/>
      <c r="AO95" s="13"/>
      <c r="AP95" s="13"/>
      <c r="AQ95" s="13"/>
      <c r="AR95" s="13"/>
      <c r="AS95" s="13"/>
      <c r="AT95" s="13"/>
      <c r="AU95" s="13"/>
      <c r="AV95" s="13"/>
      <c r="AW95" s="13"/>
      <c r="AX95" s="13"/>
      <c r="AY95" s="13"/>
    </row>
    <row r="96" spans="1:51" ht="15">
      <c r="A96" s="13"/>
      <c r="B96" s="37"/>
      <c r="C96" s="37"/>
      <c r="D96" s="37"/>
      <c r="E96" s="37"/>
      <c r="F96" s="37"/>
      <c r="G96" s="37"/>
      <c r="H96" s="37"/>
      <c r="I96" s="37"/>
      <c r="J96" s="37"/>
      <c r="K96" s="37"/>
      <c r="L96" s="13"/>
      <c r="M96" s="13"/>
      <c r="N96" s="13"/>
      <c r="O96" s="13"/>
      <c r="P96" s="13"/>
      <c r="Q96" s="13"/>
      <c r="R96" s="13"/>
      <c r="S96" s="13"/>
      <c r="T96" s="13"/>
      <c r="U96" s="13"/>
      <c r="V96" s="13"/>
      <c r="W96" s="13"/>
      <c r="X96" s="13"/>
      <c r="Y96" s="13"/>
      <c r="Z96" s="13"/>
      <c r="AA96" s="13"/>
      <c r="AB96" s="13"/>
      <c r="AC96" s="13"/>
      <c r="AD96" s="13"/>
      <c r="AE96" s="13"/>
      <c r="AF96" s="13"/>
      <c r="AG96" s="13"/>
      <c r="AH96" s="13"/>
      <c r="AI96" s="13"/>
      <c r="AJ96" s="13"/>
      <c r="AK96" s="13"/>
      <c r="AL96" s="13"/>
      <c r="AM96" s="13"/>
      <c r="AN96" s="13"/>
      <c r="AO96" s="13"/>
      <c r="AP96" s="13"/>
      <c r="AQ96" s="13"/>
      <c r="AR96" s="13"/>
      <c r="AS96" s="13"/>
      <c r="AT96" s="13"/>
      <c r="AU96" s="13"/>
      <c r="AV96" s="13"/>
      <c r="AW96" s="13"/>
      <c r="AX96" s="13"/>
      <c r="AY96" s="13"/>
    </row>
    <row r="97" spans="1:51" ht="15">
      <c r="A97" s="13"/>
      <c r="B97" s="37"/>
      <c r="C97" s="37"/>
      <c r="D97" s="37"/>
      <c r="E97" s="37"/>
      <c r="F97" s="37"/>
      <c r="G97" s="37"/>
      <c r="H97" s="37"/>
      <c r="I97" s="37"/>
      <c r="J97" s="37"/>
      <c r="K97" s="37"/>
      <c r="L97" s="13"/>
      <c r="M97" s="13"/>
      <c r="N97" s="13"/>
      <c r="O97" s="13"/>
      <c r="P97" s="13"/>
      <c r="Q97" s="13"/>
      <c r="R97" s="13"/>
      <c r="S97" s="13"/>
      <c r="T97" s="13"/>
      <c r="U97" s="13"/>
      <c r="V97" s="13"/>
      <c r="W97" s="13"/>
      <c r="X97" s="13"/>
      <c r="Y97" s="13"/>
      <c r="Z97" s="13"/>
      <c r="AA97" s="13"/>
      <c r="AB97" s="13"/>
      <c r="AC97" s="13"/>
      <c r="AD97" s="13"/>
      <c r="AE97" s="13"/>
      <c r="AF97" s="13"/>
      <c r="AG97" s="13"/>
      <c r="AH97" s="13"/>
      <c r="AI97" s="13"/>
      <c r="AJ97" s="13"/>
      <c r="AK97" s="13"/>
      <c r="AL97" s="13"/>
      <c r="AM97" s="13"/>
      <c r="AN97" s="13"/>
      <c r="AO97" s="13"/>
      <c r="AP97" s="13"/>
      <c r="AQ97" s="13"/>
      <c r="AR97" s="13"/>
      <c r="AS97" s="13"/>
      <c r="AT97" s="13"/>
      <c r="AU97" s="13"/>
      <c r="AV97" s="13"/>
      <c r="AW97" s="13"/>
      <c r="AX97" s="13"/>
      <c r="AY97" s="13"/>
    </row>
    <row r="98" spans="1:51" ht="15">
      <c r="A98" s="13"/>
      <c r="B98" s="37"/>
      <c r="C98" s="37"/>
      <c r="D98" s="37"/>
      <c r="E98" s="37"/>
      <c r="F98" s="37"/>
      <c r="G98" s="37"/>
      <c r="H98" s="37"/>
      <c r="I98" s="37"/>
      <c r="J98" s="37"/>
      <c r="K98" s="37"/>
      <c r="L98" s="13"/>
      <c r="M98" s="13"/>
      <c r="N98" s="13"/>
      <c r="O98" s="13"/>
      <c r="P98" s="13"/>
      <c r="Q98" s="13"/>
      <c r="R98" s="13"/>
      <c r="S98" s="13"/>
      <c r="T98" s="13"/>
      <c r="U98" s="13"/>
      <c r="V98" s="13"/>
      <c r="W98" s="13"/>
      <c r="X98" s="13"/>
      <c r="Y98" s="13"/>
      <c r="Z98" s="13"/>
      <c r="AA98" s="13"/>
      <c r="AB98" s="13"/>
      <c r="AC98" s="13"/>
      <c r="AD98" s="13"/>
      <c r="AE98" s="13"/>
      <c r="AF98" s="13"/>
      <c r="AG98" s="13"/>
      <c r="AH98" s="13"/>
      <c r="AI98" s="13"/>
      <c r="AJ98" s="13"/>
      <c r="AK98" s="13"/>
      <c r="AL98" s="13"/>
      <c r="AM98" s="13"/>
      <c r="AN98" s="13"/>
      <c r="AO98" s="13"/>
      <c r="AP98" s="13"/>
      <c r="AQ98" s="13"/>
      <c r="AR98" s="13"/>
      <c r="AS98" s="13"/>
      <c r="AT98" s="13"/>
      <c r="AU98" s="13"/>
      <c r="AV98" s="13"/>
      <c r="AW98" s="13"/>
      <c r="AX98" s="13"/>
      <c r="AY98" s="13"/>
    </row>
    <row r="99" spans="1:51" ht="15">
      <c r="A99" s="13"/>
      <c r="B99" s="37"/>
      <c r="C99" s="37"/>
      <c r="D99" s="37"/>
      <c r="E99" s="37"/>
      <c r="F99" s="37"/>
      <c r="G99" s="37"/>
      <c r="H99" s="37"/>
      <c r="I99" s="37"/>
      <c r="J99" s="37"/>
      <c r="K99" s="37"/>
      <c r="L99" s="13"/>
      <c r="M99" s="13"/>
      <c r="N99" s="13"/>
      <c r="O99" s="13"/>
      <c r="P99" s="13"/>
      <c r="Q99" s="13"/>
      <c r="R99" s="13"/>
      <c r="S99" s="13"/>
      <c r="T99" s="13"/>
      <c r="U99" s="13"/>
      <c r="V99" s="13"/>
      <c r="W99" s="13"/>
      <c r="X99" s="13"/>
      <c r="Y99" s="13"/>
      <c r="Z99" s="13"/>
      <c r="AA99" s="13"/>
      <c r="AB99" s="13"/>
      <c r="AC99" s="13"/>
      <c r="AD99" s="13"/>
      <c r="AE99" s="13"/>
      <c r="AF99" s="13"/>
      <c r="AG99" s="13"/>
      <c r="AH99" s="13"/>
      <c r="AI99" s="13"/>
      <c r="AJ99" s="13"/>
      <c r="AK99" s="13"/>
      <c r="AL99" s="13"/>
      <c r="AM99" s="13"/>
      <c r="AN99" s="13"/>
      <c r="AO99" s="13"/>
      <c r="AP99" s="13"/>
      <c r="AQ99" s="13"/>
      <c r="AR99" s="13"/>
      <c r="AS99" s="13"/>
      <c r="AT99" s="13"/>
      <c r="AU99" s="13"/>
      <c r="AV99" s="13"/>
      <c r="AW99" s="13"/>
      <c r="AX99" s="13"/>
      <c r="AY99" s="13"/>
    </row>
    <row r="100" spans="1:51" ht="15">
      <c r="A100" s="13"/>
      <c r="B100" s="37"/>
      <c r="C100" s="37"/>
      <c r="D100" s="37"/>
      <c r="E100" s="37"/>
      <c r="F100" s="37"/>
      <c r="G100" s="37"/>
      <c r="H100" s="37"/>
      <c r="I100" s="37"/>
      <c r="J100" s="37"/>
      <c r="K100" s="37"/>
      <c r="L100" s="13"/>
      <c r="M100" s="13"/>
      <c r="N100" s="13"/>
      <c r="O100" s="13"/>
      <c r="P100" s="13"/>
      <c r="Q100" s="13"/>
      <c r="R100" s="13"/>
      <c r="S100" s="13"/>
      <c r="T100" s="13"/>
      <c r="U100" s="13"/>
      <c r="V100" s="13"/>
      <c r="W100" s="13"/>
      <c r="X100" s="13"/>
      <c r="Y100" s="13"/>
      <c r="Z100" s="13"/>
      <c r="AA100" s="13"/>
      <c r="AB100" s="13"/>
      <c r="AC100" s="13"/>
      <c r="AD100" s="13"/>
      <c r="AE100" s="13"/>
      <c r="AF100" s="13"/>
      <c r="AG100" s="13"/>
      <c r="AH100" s="13"/>
      <c r="AI100" s="13"/>
      <c r="AJ100" s="13"/>
      <c r="AK100" s="13"/>
      <c r="AL100" s="13"/>
      <c r="AM100" s="13"/>
      <c r="AN100" s="13"/>
      <c r="AO100" s="13"/>
      <c r="AP100" s="13"/>
      <c r="AQ100" s="13"/>
      <c r="AR100" s="13"/>
      <c r="AS100" s="13"/>
      <c r="AT100" s="13"/>
      <c r="AU100" s="13"/>
      <c r="AV100" s="13"/>
      <c r="AW100" s="13"/>
      <c r="AX100" s="13"/>
      <c r="AY100" s="13"/>
    </row>
    <row r="101" spans="1:51" ht="15">
      <c r="A101" s="13"/>
      <c r="B101" s="37"/>
      <c r="C101" s="37"/>
      <c r="D101" s="37"/>
      <c r="E101" s="37"/>
      <c r="F101" s="37"/>
      <c r="G101" s="37"/>
      <c r="H101" s="37"/>
      <c r="I101" s="37"/>
      <c r="J101" s="37"/>
      <c r="K101" s="37"/>
      <c r="L101" s="13"/>
      <c r="M101" s="13"/>
      <c r="N101" s="13"/>
      <c r="O101" s="13"/>
      <c r="P101" s="13"/>
      <c r="Q101" s="13"/>
      <c r="R101" s="13"/>
      <c r="S101" s="13"/>
      <c r="T101" s="13"/>
      <c r="U101" s="13"/>
      <c r="V101" s="13"/>
      <c r="W101" s="13"/>
      <c r="X101" s="13"/>
      <c r="Y101" s="13"/>
      <c r="Z101" s="13"/>
      <c r="AA101" s="13"/>
      <c r="AB101" s="13"/>
      <c r="AC101" s="13"/>
      <c r="AD101" s="13"/>
      <c r="AE101" s="13"/>
      <c r="AF101" s="13"/>
      <c r="AG101" s="13"/>
      <c r="AH101" s="13"/>
      <c r="AI101" s="13"/>
      <c r="AJ101" s="13"/>
      <c r="AK101" s="13"/>
      <c r="AL101" s="13"/>
      <c r="AM101" s="13"/>
      <c r="AN101" s="13"/>
      <c r="AO101" s="13"/>
      <c r="AP101" s="13"/>
      <c r="AQ101" s="13"/>
      <c r="AR101" s="13"/>
      <c r="AS101" s="13"/>
      <c r="AT101" s="13"/>
      <c r="AU101" s="13"/>
      <c r="AV101" s="13"/>
      <c r="AW101" s="13"/>
      <c r="AX101" s="13"/>
      <c r="AY101" s="13"/>
    </row>
    <row r="102" spans="1:51" ht="15">
      <c r="A102" s="13"/>
      <c r="B102" s="37"/>
      <c r="C102" s="37"/>
      <c r="D102" s="37"/>
      <c r="E102" s="37"/>
      <c r="F102" s="37"/>
      <c r="G102" s="37"/>
      <c r="H102" s="37"/>
      <c r="I102" s="37"/>
      <c r="J102" s="37"/>
      <c r="K102" s="37"/>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c r="AY102" s="13"/>
    </row>
    <row r="103" spans="1:51" ht="15">
      <c r="A103" s="13"/>
      <c r="B103" s="37"/>
      <c r="C103" s="37"/>
      <c r="D103" s="37"/>
      <c r="E103" s="37"/>
      <c r="F103" s="37"/>
      <c r="G103" s="37"/>
      <c r="H103" s="37"/>
      <c r="I103" s="37"/>
      <c r="J103" s="37"/>
      <c r="K103" s="37"/>
      <c r="L103" s="13"/>
      <c r="M103" s="13"/>
      <c r="N103" s="13"/>
      <c r="O103" s="13"/>
      <c r="P103" s="13"/>
      <c r="Q103" s="13"/>
      <c r="R103" s="13"/>
      <c r="S103" s="13"/>
      <c r="T103" s="13"/>
      <c r="U103" s="13"/>
      <c r="V103" s="13"/>
      <c r="W103" s="13"/>
      <c r="X103" s="13"/>
      <c r="Y103" s="13"/>
      <c r="Z103" s="13"/>
      <c r="AA103" s="13"/>
      <c r="AB103" s="13"/>
      <c r="AC103" s="13"/>
      <c r="AD103" s="13"/>
      <c r="AE103" s="13"/>
      <c r="AF103" s="13"/>
      <c r="AG103" s="13"/>
      <c r="AH103" s="13"/>
      <c r="AI103" s="13"/>
      <c r="AJ103" s="13"/>
      <c r="AK103" s="13"/>
      <c r="AL103" s="13"/>
      <c r="AM103" s="13"/>
      <c r="AN103" s="13"/>
      <c r="AO103" s="13"/>
      <c r="AP103" s="13"/>
      <c r="AQ103" s="13"/>
      <c r="AR103" s="13"/>
      <c r="AS103" s="13"/>
      <c r="AT103" s="13"/>
      <c r="AU103" s="13"/>
      <c r="AV103" s="13"/>
      <c r="AW103" s="13"/>
      <c r="AX103" s="13"/>
      <c r="AY103" s="13"/>
    </row>
    <row r="104" spans="1:51" ht="15">
      <c r="A104" s="13"/>
      <c r="B104" s="37"/>
      <c r="C104" s="37"/>
      <c r="D104" s="37"/>
      <c r="E104" s="37"/>
      <c r="F104" s="37"/>
      <c r="G104" s="37"/>
      <c r="H104" s="37"/>
      <c r="I104" s="37"/>
      <c r="J104" s="37"/>
      <c r="K104" s="37"/>
      <c r="L104" s="13"/>
      <c r="M104" s="13"/>
      <c r="N104" s="13"/>
      <c r="O104" s="13"/>
      <c r="P104" s="13"/>
      <c r="Q104" s="13"/>
      <c r="R104" s="13"/>
      <c r="S104" s="13"/>
      <c r="T104" s="13"/>
      <c r="U104" s="13"/>
      <c r="V104" s="13"/>
      <c r="W104" s="13"/>
      <c r="X104" s="13"/>
      <c r="Y104" s="13"/>
      <c r="Z104" s="13"/>
      <c r="AA104" s="13"/>
      <c r="AB104" s="13"/>
      <c r="AC104" s="13"/>
      <c r="AD104" s="13"/>
      <c r="AE104" s="13"/>
      <c r="AF104" s="13"/>
      <c r="AG104" s="13"/>
      <c r="AH104" s="13"/>
      <c r="AI104" s="13"/>
      <c r="AJ104" s="13"/>
      <c r="AK104" s="13"/>
      <c r="AL104" s="13"/>
      <c r="AM104" s="13"/>
      <c r="AN104" s="13"/>
      <c r="AO104" s="13"/>
      <c r="AP104" s="13"/>
      <c r="AQ104" s="13"/>
      <c r="AR104" s="13"/>
      <c r="AS104" s="13"/>
      <c r="AT104" s="13"/>
      <c r="AU104" s="13"/>
      <c r="AV104" s="13"/>
      <c r="AW104" s="13"/>
      <c r="AX104" s="13"/>
      <c r="AY104" s="13"/>
    </row>
    <row r="105" spans="1:51" ht="15">
      <c r="A105" s="13"/>
      <c r="B105" s="37"/>
      <c r="C105" s="37"/>
      <c r="D105" s="37"/>
      <c r="E105" s="37"/>
      <c r="F105" s="37"/>
      <c r="G105" s="37"/>
      <c r="H105" s="37"/>
      <c r="I105" s="37"/>
      <c r="J105" s="37"/>
      <c r="K105" s="37"/>
      <c r="L105" s="13"/>
      <c r="M105" s="13"/>
      <c r="N105" s="13"/>
      <c r="O105" s="13"/>
      <c r="P105" s="13"/>
      <c r="Q105" s="13"/>
      <c r="R105" s="13"/>
      <c r="S105" s="13"/>
      <c r="T105" s="13"/>
      <c r="U105" s="13"/>
      <c r="V105" s="13"/>
      <c r="W105" s="13"/>
      <c r="X105" s="13"/>
      <c r="Y105" s="13"/>
      <c r="Z105" s="13"/>
      <c r="AA105" s="13"/>
      <c r="AB105" s="13"/>
      <c r="AC105" s="13"/>
      <c r="AD105" s="13"/>
      <c r="AE105" s="13"/>
      <c r="AF105" s="13"/>
      <c r="AG105" s="13"/>
      <c r="AH105" s="13"/>
      <c r="AI105" s="13"/>
      <c r="AJ105" s="13"/>
      <c r="AK105" s="13"/>
      <c r="AL105" s="13"/>
      <c r="AM105" s="13"/>
      <c r="AN105" s="13"/>
      <c r="AO105" s="13"/>
      <c r="AP105" s="13"/>
      <c r="AQ105" s="13"/>
      <c r="AR105" s="13"/>
      <c r="AS105" s="13"/>
      <c r="AT105" s="13"/>
      <c r="AU105" s="13"/>
      <c r="AV105" s="13"/>
      <c r="AW105" s="13"/>
      <c r="AX105" s="13"/>
      <c r="AY105" s="13"/>
    </row>
    <row r="106" spans="1:51" ht="15">
      <c r="A106" s="13"/>
      <c r="B106" s="37"/>
      <c r="C106" s="37"/>
      <c r="D106" s="37"/>
      <c r="E106" s="37"/>
      <c r="F106" s="37"/>
      <c r="G106" s="37"/>
      <c r="H106" s="37"/>
      <c r="I106" s="37"/>
      <c r="J106" s="37"/>
      <c r="K106" s="37"/>
      <c r="L106" s="13"/>
      <c r="M106" s="13"/>
      <c r="N106" s="13"/>
      <c r="O106" s="13"/>
      <c r="P106" s="13"/>
      <c r="Q106" s="13"/>
      <c r="R106" s="13"/>
      <c r="S106" s="13"/>
      <c r="T106" s="13"/>
      <c r="U106" s="13"/>
      <c r="V106" s="13"/>
      <c r="W106" s="13"/>
      <c r="X106" s="13"/>
      <c r="Y106" s="13"/>
      <c r="Z106" s="13"/>
      <c r="AA106" s="13"/>
      <c r="AB106" s="13"/>
      <c r="AC106" s="13"/>
      <c r="AD106" s="13"/>
      <c r="AE106" s="13"/>
      <c r="AF106" s="13"/>
      <c r="AG106" s="13"/>
      <c r="AH106" s="13"/>
      <c r="AI106" s="13"/>
      <c r="AJ106" s="13"/>
      <c r="AK106" s="13"/>
      <c r="AL106" s="13"/>
      <c r="AM106" s="13"/>
      <c r="AN106" s="13"/>
      <c r="AO106" s="13"/>
      <c r="AP106" s="13"/>
      <c r="AQ106" s="13"/>
      <c r="AR106" s="13"/>
      <c r="AS106" s="13"/>
      <c r="AT106" s="13"/>
      <c r="AU106" s="13"/>
      <c r="AV106" s="13"/>
      <c r="AW106" s="13"/>
      <c r="AX106" s="13"/>
      <c r="AY106" s="13"/>
    </row>
    <row r="107" spans="1:51" ht="15">
      <c r="A107" s="13"/>
      <c r="B107" s="37"/>
      <c r="C107" s="37"/>
      <c r="D107" s="37"/>
      <c r="E107" s="37"/>
      <c r="F107" s="37"/>
      <c r="G107" s="37"/>
      <c r="H107" s="37"/>
      <c r="I107" s="37"/>
      <c r="J107" s="37"/>
      <c r="K107" s="37"/>
      <c r="L107" s="13"/>
      <c r="M107" s="13"/>
      <c r="N107" s="13"/>
      <c r="O107" s="13"/>
      <c r="P107" s="13"/>
      <c r="Q107" s="13"/>
      <c r="R107" s="13"/>
      <c r="S107" s="13"/>
      <c r="T107" s="13"/>
      <c r="U107" s="13"/>
      <c r="V107" s="13"/>
      <c r="W107" s="13"/>
      <c r="X107" s="13"/>
      <c r="Y107" s="13"/>
      <c r="Z107" s="13"/>
      <c r="AA107" s="13"/>
      <c r="AB107" s="13"/>
      <c r="AC107" s="13"/>
      <c r="AD107" s="13"/>
      <c r="AE107" s="13"/>
      <c r="AF107" s="13"/>
      <c r="AG107" s="13"/>
      <c r="AH107" s="13"/>
      <c r="AI107" s="13"/>
      <c r="AJ107" s="13"/>
      <c r="AK107" s="13"/>
      <c r="AL107" s="13"/>
      <c r="AM107" s="13"/>
      <c r="AN107" s="13"/>
      <c r="AO107" s="13"/>
      <c r="AP107" s="13"/>
      <c r="AQ107" s="13"/>
      <c r="AR107" s="13"/>
      <c r="AS107" s="13"/>
      <c r="AT107" s="13"/>
      <c r="AU107" s="13"/>
      <c r="AV107" s="13"/>
      <c r="AW107" s="13"/>
      <c r="AX107" s="13"/>
      <c r="AY107" s="13"/>
    </row>
    <row r="108" spans="1:51" ht="15">
      <c r="A108" s="13"/>
      <c r="B108" s="37"/>
      <c r="C108" s="37"/>
      <c r="D108" s="37"/>
      <c r="E108" s="37"/>
      <c r="F108" s="37"/>
      <c r="G108" s="37"/>
      <c r="H108" s="37"/>
      <c r="I108" s="37"/>
      <c r="J108" s="37"/>
      <c r="K108" s="37"/>
      <c r="L108" s="13"/>
      <c r="M108" s="13"/>
      <c r="N108" s="13"/>
      <c r="O108" s="13"/>
      <c r="P108" s="13"/>
      <c r="Q108" s="13"/>
      <c r="R108" s="13"/>
      <c r="S108" s="13"/>
      <c r="T108" s="13"/>
      <c r="U108" s="13"/>
      <c r="V108" s="13"/>
      <c r="W108" s="13"/>
      <c r="X108" s="13"/>
      <c r="Y108" s="13"/>
      <c r="Z108" s="13"/>
      <c r="AA108" s="13"/>
      <c r="AB108" s="13"/>
      <c r="AC108" s="13"/>
      <c r="AD108" s="13"/>
      <c r="AE108" s="13"/>
      <c r="AF108" s="13"/>
      <c r="AG108" s="13"/>
      <c r="AH108" s="13"/>
      <c r="AI108" s="13"/>
      <c r="AJ108" s="13"/>
      <c r="AK108" s="13"/>
      <c r="AL108" s="13"/>
      <c r="AM108" s="13"/>
      <c r="AN108" s="13"/>
      <c r="AO108" s="13"/>
      <c r="AP108" s="13"/>
      <c r="AQ108" s="13"/>
      <c r="AR108" s="13"/>
      <c r="AS108" s="13"/>
      <c r="AT108" s="13"/>
      <c r="AU108" s="13"/>
      <c r="AV108" s="13"/>
      <c r="AW108" s="13"/>
      <c r="AX108" s="13"/>
      <c r="AY108" s="13"/>
    </row>
    <row r="109" spans="1:51" ht="15">
      <c r="A109" s="13"/>
      <c r="B109" s="37"/>
      <c r="C109" s="37"/>
      <c r="D109" s="37"/>
      <c r="E109" s="37"/>
      <c r="F109" s="37"/>
      <c r="G109" s="37"/>
      <c r="H109" s="37"/>
      <c r="I109" s="37"/>
      <c r="J109" s="37"/>
      <c r="K109" s="37"/>
      <c r="L109" s="13"/>
      <c r="M109" s="13"/>
      <c r="N109" s="13"/>
      <c r="O109" s="13"/>
      <c r="P109" s="13"/>
      <c r="Q109" s="13"/>
      <c r="R109" s="13"/>
      <c r="S109" s="13"/>
      <c r="T109" s="13"/>
      <c r="U109" s="13"/>
      <c r="V109" s="13"/>
      <c r="W109" s="13"/>
      <c r="X109" s="13"/>
      <c r="Y109" s="13"/>
      <c r="Z109" s="13"/>
      <c r="AA109" s="13"/>
      <c r="AB109" s="13"/>
      <c r="AC109" s="13"/>
      <c r="AD109" s="13"/>
      <c r="AE109" s="13"/>
      <c r="AF109" s="13"/>
      <c r="AG109" s="13"/>
      <c r="AH109" s="13"/>
      <c r="AI109" s="13"/>
      <c r="AJ109" s="13"/>
      <c r="AK109" s="13"/>
      <c r="AL109" s="13"/>
      <c r="AM109" s="13"/>
      <c r="AN109" s="13"/>
      <c r="AO109" s="13"/>
      <c r="AP109" s="13"/>
      <c r="AQ109" s="13"/>
      <c r="AR109" s="13"/>
      <c r="AS109" s="13"/>
      <c r="AT109" s="13"/>
      <c r="AU109" s="13"/>
      <c r="AV109" s="13"/>
      <c r="AW109" s="13"/>
      <c r="AX109" s="13"/>
      <c r="AY109" s="13"/>
    </row>
    <row r="110" spans="1:51" ht="15">
      <c r="A110" s="13"/>
      <c r="B110" s="37"/>
      <c r="C110" s="37"/>
      <c r="D110" s="37"/>
      <c r="E110" s="37"/>
      <c r="F110" s="37"/>
      <c r="G110" s="37"/>
      <c r="H110" s="37"/>
      <c r="I110" s="37"/>
      <c r="J110" s="37"/>
      <c r="K110" s="37"/>
      <c r="L110" s="13"/>
      <c r="M110" s="13"/>
      <c r="N110" s="13"/>
      <c r="O110" s="13"/>
      <c r="P110" s="13"/>
      <c r="Q110" s="13"/>
      <c r="R110" s="13"/>
      <c r="S110" s="13"/>
      <c r="T110" s="13"/>
      <c r="U110" s="13"/>
      <c r="V110" s="13"/>
      <c r="W110" s="13"/>
      <c r="X110" s="13"/>
      <c r="Y110" s="13"/>
      <c r="Z110" s="13"/>
      <c r="AA110" s="13"/>
      <c r="AB110" s="13"/>
      <c r="AC110" s="13"/>
      <c r="AD110" s="13"/>
      <c r="AE110" s="13"/>
      <c r="AF110" s="13"/>
      <c r="AG110" s="13"/>
      <c r="AH110" s="13"/>
      <c r="AI110" s="13"/>
      <c r="AJ110" s="13"/>
      <c r="AK110" s="13"/>
      <c r="AL110" s="13"/>
      <c r="AM110" s="13"/>
      <c r="AN110" s="13"/>
      <c r="AO110" s="13"/>
      <c r="AP110" s="13"/>
      <c r="AQ110" s="13"/>
      <c r="AR110" s="13"/>
      <c r="AS110" s="13"/>
      <c r="AT110" s="13"/>
      <c r="AU110" s="13"/>
      <c r="AV110" s="13"/>
      <c r="AW110" s="13"/>
      <c r="AX110" s="13"/>
      <c r="AY110" s="13"/>
    </row>
    <row r="111" spans="1:51" ht="15">
      <c r="A111" s="13"/>
      <c r="B111" s="37"/>
      <c r="C111" s="37"/>
      <c r="D111" s="37"/>
      <c r="E111" s="37"/>
      <c r="F111" s="37"/>
      <c r="G111" s="37"/>
      <c r="H111" s="37"/>
      <c r="I111" s="37"/>
      <c r="J111" s="37"/>
      <c r="K111" s="37"/>
      <c r="L111" s="13"/>
      <c r="M111" s="13"/>
      <c r="N111" s="13"/>
      <c r="O111" s="13"/>
      <c r="P111" s="13"/>
      <c r="Q111" s="13"/>
      <c r="R111" s="13"/>
      <c r="S111" s="13"/>
      <c r="T111" s="13"/>
      <c r="U111" s="13"/>
      <c r="V111" s="13"/>
      <c r="W111" s="13"/>
      <c r="X111" s="13"/>
      <c r="Y111" s="13"/>
      <c r="Z111" s="13"/>
      <c r="AA111" s="13"/>
      <c r="AB111" s="13"/>
      <c r="AC111" s="13"/>
      <c r="AD111" s="13"/>
      <c r="AE111" s="13"/>
      <c r="AF111" s="13"/>
      <c r="AG111" s="13"/>
      <c r="AH111" s="13"/>
      <c r="AI111" s="13"/>
      <c r="AJ111" s="13"/>
      <c r="AK111" s="13"/>
      <c r="AL111" s="13"/>
      <c r="AM111" s="13"/>
      <c r="AN111" s="13"/>
      <c r="AO111" s="13"/>
      <c r="AP111" s="13"/>
      <c r="AQ111" s="13"/>
      <c r="AR111" s="13"/>
      <c r="AS111" s="13"/>
      <c r="AT111" s="13"/>
      <c r="AU111" s="13"/>
      <c r="AV111" s="13"/>
      <c r="AW111" s="13"/>
      <c r="AX111" s="13"/>
      <c r="AY111" s="13"/>
    </row>
    <row r="112" spans="1:51" ht="15">
      <c r="A112" s="13"/>
      <c r="B112" s="37"/>
      <c r="C112" s="37"/>
      <c r="D112" s="37"/>
      <c r="E112" s="37"/>
      <c r="F112" s="37"/>
      <c r="G112" s="37"/>
      <c r="H112" s="37"/>
      <c r="I112" s="37"/>
      <c r="J112" s="37"/>
      <c r="K112" s="37"/>
      <c r="L112" s="13"/>
      <c r="M112" s="13"/>
      <c r="N112" s="13"/>
      <c r="O112" s="13"/>
      <c r="P112" s="13"/>
      <c r="Q112" s="13"/>
      <c r="R112" s="13"/>
      <c r="S112" s="13"/>
      <c r="T112" s="13"/>
      <c r="U112" s="13"/>
      <c r="V112" s="13"/>
      <c r="W112" s="13"/>
      <c r="X112" s="13"/>
      <c r="Y112" s="13"/>
      <c r="Z112" s="13"/>
      <c r="AA112" s="13"/>
      <c r="AB112" s="13"/>
      <c r="AC112" s="13"/>
      <c r="AD112" s="13"/>
      <c r="AE112" s="13"/>
      <c r="AF112" s="13"/>
      <c r="AG112" s="13"/>
      <c r="AH112" s="13"/>
      <c r="AI112" s="13"/>
      <c r="AJ112" s="13"/>
      <c r="AK112" s="13"/>
      <c r="AL112" s="13"/>
      <c r="AM112" s="13"/>
      <c r="AN112" s="13"/>
      <c r="AO112" s="13"/>
      <c r="AP112" s="13"/>
      <c r="AQ112" s="13"/>
      <c r="AR112" s="13"/>
      <c r="AS112" s="13"/>
      <c r="AT112" s="13"/>
      <c r="AU112" s="13"/>
      <c r="AV112" s="13"/>
      <c r="AW112" s="13"/>
      <c r="AX112" s="13"/>
      <c r="AY112" s="13"/>
    </row>
    <row r="113" spans="1:51" ht="15">
      <c r="A113" s="13"/>
      <c r="B113" s="37"/>
      <c r="C113" s="37"/>
      <c r="D113" s="37"/>
      <c r="E113" s="37"/>
      <c r="F113" s="37"/>
      <c r="G113" s="37"/>
      <c r="H113" s="37"/>
      <c r="I113" s="37"/>
      <c r="J113" s="37"/>
      <c r="K113" s="37"/>
      <c r="L113" s="13"/>
      <c r="M113" s="13"/>
      <c r="N113" s="13"/>
      <c r="O113" s="13"/>
      <c r="P113" s="13"/>
      <c r="Q113" s="13"/>
      <c r="R113" s="13"/>
      <c r="S113" s="13"/>
      <c r="T113" s="13"/>
      <c r="U113" s="13"/>
      <c r="V113" s="13"/>
      <c r="W113" s="13"/>
      <c r="X113" s="13"/>
      <c r="Y113" s="13"/>
      <c r="Z113" s="13"/>
      <c r="AA113" s="13"/>
      <c r="AB113" s="13"/>
      <c r="AC113" s="13"/>
      <c r="AD113" s="13"/>
      <c r="AE113" s="13"/>
      <c r="AF113" s="13"/>
      <c r="AG113" s="13"/>
      <c r="AH113" s="13"/>
      <c r="AI113" s="13"/>
      <c r="AJ113" s="13"/>
      <c r="AK113" s="13"/>
      <c r="AL113" s="13"/>
      <c r="AM113" s="13"/>
      <c r="AN113" s="13"/>
      <c r="AO113" s="13"/>
      <c r="AP113" s="13"/>
      <c r="AQ113" s="13"/>
      <c r="AR113" s="13"/>
      <c r="AS113" s="13"/>
      <c r="AT113" s="13"/>
      <c r="AU113" s="13"/>
      <c r="AV113" s="13"/>
      <c r="AW113" s="13"/>
      <c r="AX113" s="13"/>
      <c r="AY113" s="13"/>
    </row>
    <row r="114" spans="1:51" ht="15">
      <c r="A114" s="13"/>
      <c r="B114" s="37"/>
      <c r="C114" s="37"/>
      <c r="D114" s="37"/>
      <c r="E114" s="37"/>
      <c r="F114" s="37"/>
      <c r="G114" s="37"/>
      <c r="H114" s="37"/>
      <c r="I114" s="37"/>
      <c r="J114" s="37"/>
      <c r="K114" s="37"/>
      <c r="L114" s="13"/>
      <c r="M114" s="13"/>
      <c r="N114" s="13"/>
      <c r="O114" s="13"/>
      <c r="P114" s="13"/>
      <c r="Q114" s="13"/>
      <c r="R114" s="13"/>
      <c r="S114" s="13"/>
      <c r="T114" s="13"/>
      <c r="U114" s="13"/>
      <c r="V114" s="13"/>
      <c r="W114" s="13"/>
      <c r="X114" s="13"/>
      <c r="Y114" s="13"/>
      <c r="Z114" s="13"/>
      <c r="AA114" s="13"/>
      <c r="AB114" s="13"/>
      <c r="AC114" s="13"/>
      <c r="AD114" s="13"/>
      <c r="AE114" s="13"/>
      <c r="AF114" s="13"/>
      <c r="AG114" s="13"/>
      <c r="AH114" s="13"/>
      <c r="AI114" s="13"/>
      <c r="AJ114" s="13"/>
      <c r="AK114" s="13"/>
      <c r="AL114" s="13"/>
      <c r="AM114" s="13"/>
      <c r="AN114" s="13"/>
      <c r="AO114" s="13"/>
      <c r="AP114" s="13"/>
      <c r="AQ114" s="13"/>
      <c r="AR114" s="13"/>
      <c r="AS114" s="13"/>
      <c r="AT114" s="13"/>
      <c r="AU114" s="13"/>
      <c r="AV114" s="13"/>
      <c r="AW114" s="13"/>
      <c r="AX114" s="13"/>
      <c r="AY114" s="13"/>
    </row>
    <row r="115" spans="1:51" ht="15">
      <c r="A115" s="13"/>
      <c r="B115" s="37"/>
      <c r="C115" s="37"/>
      <c r="D115" s="37"/>
      <c r="E115" s="37"/>
      <c r="F115" s="37"/>
      <c r="G115" s="37"/>
      <c r="H115" s="37"/>
      <c r="I115" s="37"/>
      <c r="J115" s="37"/>
      <c r="K115" s="37"/>
      <c r="L115" s="13"/>
      <c r="M115" s="13"/>
      <c r="N115" s="13"/>
      <c r="O115" s="13"/>
      <c r="P115" s="13"/>
      <c r="Q115" s="13"/>
      <c r="R115" s="13"/>
      <c r="S115" s="13"/>
      <c r="T115" s="13"/>
      <c r="U115" s="13"/>
      <c r="V115" s="13"/>
      <c r="W115" s="13"/>
      <c r="X115" s="13"/>
      <c r="Y115" s="13"/>
      <c r="Z115" s="13"/>
      <c r="AA115" s="13"/>
      <c r="AB115" s="13"/>
      <c r="AC115" s="13"/>
      <c r="AD115" s="13"/>
      <c r="AE115" s="13"/>
      <c r="AF115" s="13"/>
      <c r="AG115" s="13"/>
      <c r="AH115" s="13"/>
      <c r="AI115" s="13"/>
      <c r="AJ115" s="13"/>
      <c r="AK115" s="13"/>
      <c r="AL115" s="13"/>
      <c r="AM115" s="13"/>
      <c r="AN115" s="13"/>
      <c r="AO115" s="13"/>
      <c r="AP115" s="13"/>
      <c r="AQ115" s="13"/>
      <c r="AR115" s="13"/>
      <c r="AS115" s="13"/>
      <c r="AT115" s="13"/>
      <c r="AU115" s="13"/>
      <c r="AV115" s="13"/>
      <c r="AW115" s="13"/>
      <c r="AX115" s="13"/>
      <c r="AY115" s="13"/>
    </row>
    <row r="116" spans="1:51" ht="15">
      <c r="A116" s="13"/>
      <c r="B116" s="37"/>
      <c r="C116" s="37"/>
      <c r="D116" s="37"/>
      <c r="E116" s="37"/>
      <c r="F116" s="37"/>
      <c r="G116" s="37"/>
      <c r="H116" s="37"/>
      <c r="I116" s="37"/>
      <c r="J116" s="37"/>
      <c r="K116" s="37"/>
      <c r="L116" s="13"/>
      <c r="M116" s="13"/>
      <c r="N116" s="13"/>
      <c r="O116" s="13"/>
      <c r="P116" s="13"/>
      <c r="Q116" s="13"/>
      <c r="R116" s="13"/>
      <c r="S116" s="13"/>
      <c r="T116" s="13"/>
      <c r="U116" s="13"/>
      <c r="V116" s="13"/>
      <c r="W116" s="13"/>
      <c r="X116" s="13"/>
      <c r="Y116" s="13"/>
      <c r="Z116" s="13"/>
      <c r="AA116" s="13"/>
      <c r="AB116" s="13"/>
      <c r="AC116" s="13"/>
      <c r="AD116" s="13"/>
      <c r="AE116" s="13"/>
      <c r="AF116" s="13"/>
      <c r="AG116" s="13"/>
      <c r="AH116" s="13"/>
      <c r="AI116" s="13"/>
      <c r="AJ116" s="13"/>
      <c r="AK116" s="13"/>
      <c r="AL116" s="13"/>
      <c r="AM116" s="13"/>
      <c r="AN116" s="13"/>
      <c r="AO116" s="13"/>
      <c r="AP116" s="13"/>
      <c r="AQ116" s="13"/>
      <c r="AR116" s="13"/>
      <c r="AS116" s="13"/>
      <c r="AT116" s="13"/>
      <c r="AU116" s="13"/>
      <c r="AV116" s="13"/>
      <c r="AW116" s="13"/>
      <c r="AX116" s="13"/>
      <c r="AY116" s="13"/>
    </row>
    <row r="117" spans="1:51" ht="15">
      <c r="A117" s="13"/>
      <c r="B117" s="37"/>
      <c r="C117" s="37"/>
      <c r="D117" s="37"/>
      <c r="E117" s="37"/>
      <c r="F117" s="37"/>
      <c r="G117" s="37"/>
      <c r="H117" s="37"/>
      <c r="I117" s="37"/>
      <c r="J117" s="37"/>
      <c r="K117" s="37"/>
      <c r="L117" s="13"/>
      <c r="M117" s="13"/>
      <c r="N117" s="13"/>
      <c r="O117" s="13"/>
      <c r="P117" s="13"/>
      <c r="Q117" s="13"/>
      <c r="R117" s="13"/>
      <c r="S117" s="13"/>
      <c r="T117" s="13"/>
      <c r="U117" s="13"/>
      <c r="V117" s="13"/>
      <c r="W117" s="13"/>
      <c r="X117" s="13"/>
      <c r="Y117" s="13"/>
      <c r="Z117" s="13"/>
      <c r="AA117" s="13"/>
      <c r="AB117" s="13"/>
      <c r="AC117" s="13"/>
      <c r="AD117" s="13"/>
      <c r="AE117" s="13"/>
      <c r="AF117" s="13"/>
      <c r="AG117" s="13"/>
      <c r="AH117" s="13"/>
      <c r="AI117" s="13"/>
      <c r="AJ117" s="13"/>
      <c r="AK117" s="13"/>
      <c r="AL117" s="13"/>
      <c r="AM117" s="13"/>
      <c r="AN117" s="13"/>
      <c r="AO117" s="13"/>
      <c r="AP117" s="13"/>
      <c r="AQ117" s="13"/>
      <c r="AR117" s="13"/>
      <c r="AS117" s="13"/>
      <c r="AT117" s="13"/>
      <c r="AU117" s="13"/>
      <c r="AV117" s="13"/>
      <c r="AW117" s="13"/>
      <c r="AX117" s="13"/>
      <c r="AY117" s="13"/>
    </row>
    <row r="118" spans="1:51" ht="15">
      <c r="A118" s="13"/>
      <c r="B118" s="37"/>
      <c r="C118" s="37"/>
      <c r="D118" s="37"/>
      <c r="E118" s="37"/>
      <c r="F118" s="37"/>
      <c r="G118" s="37"/>
      <c r="H118" s="37"/>
      <c r="I118" s="37"/>
      <c r="J118" s="37"/>
      <c r="K118" s="37"/>
      <c r="L118" s="13"/>
      <c r="M118" s="13"/>
      <c r="N118" s="13"/>
      <c r="O118" s="13"/>
      <c r="P118" s="13"/>
      <c r="Q118" s="13"/>
      <c r="R118" s="13"/>
      <c r="S118" s="13"/>
      <c r="T118" s="13"/>
      <c r="U118" s="13"/>
      <c r="V118" s="13"/>
      <c r="W118" s="13"/>
      <c r="X118" s="13"/>
      <c r="Y118" s="13"/>
      <c r="Z118" s="13"/>
      <c r="AA118" s="13"/>
      <c r="AB118" s="13"/>
      <c r="AC118" s="13"/>
      <c r="AD118" s="13"/>
      <c r="AE118" s="13"/>
      <c r="AF118" s="13"/>
      <c r="AG118" s="13"/>
      <c r="AH118" s="13"/>
      <c r="AI118" s="13"/>
      <c r="AJ118" s="13"/>
      <c r="AK118" s="13"/>
      <c r="AL118" s="13"/>
      <c r="AM118" s="13"/>
      <c r="AN118" s="13"/>
      <c r="AO118" s="13"/>
      <c r="AP118" s="13"/>
      <c r="AQ118" s="13"/>
      <c r="AR118" s="13"/>
      <c r="AS118" s="13"/>
      <c r="AT118" s="13"/>
      <c r="AU118" s="13"/>
      <c r="AV118" s="13"/>
      <c r="AW118" s="13"/>
      <c r="AX118" s="13"/>
      <c r="AY118" s="13"/>
    </row>
    <row r="119" spans="1:51" ht="15">
      <c r="A119" s="13"/>
      <c r="B119" s="37"/>
      <c r="C119" s="37"/>
      <c r="D119" s="37"/>
      <c r="E119" s="37"/>
      <c r="F119" s="37"/>
      <c r="G119" s="37"/>
      <c r="H119" s="37"/>
      <c r="I119" s="37"/>
      <c r="J119" s="37"/>
      <c r="K119" s="37"/>
      <c r="L119" s="13"/>
      <c r="M119" s="13"/>
      <c r="N119" s="13"/>
      <c r="O119" s="13"/>
      <c r="P119" s="13"/>
      <c r="Q119" s="13"/>
      <c r="R119" s="13"/>
      <c r="S119" s="13"/>
      <c r="T119" s="13"/>
      <c r="U119" s="13"/>
      <c r="V119" s="13"/>
      <c r="W119" s="13"/>
      <c r="X119" s="13"/>
      <c r="Y119" s="13"/>
      <c r="Z119" s="13"/>
      <c r="AA119" s="13"/>
      <c r="AB119" s="13"/>
      <c r="AC119" s="13"/>
      <c r="AD119" s="13"/>
      <c r="AE119" s="13"/>
      <c r="AF119" s="13"/>
      <c r="AG119" s="13"/>
      <c r="AH119" s="13"/>
      <c r="AI119" s="13"/>
      <c r="AJ119" s="13"/>
      <c r="AK119" s="13"/>
      <c r="AL119" s="13"/>
      <c r="AM119" s="13"/>
      <c r="AN119" s="13"/>
      <c r="AO119" s="13"/>
      <c r="AP119" s="13"/>
      <c r="AQ119" s="13"/>
      <c r="AR119" s="13"/>
      <c r="AS119" s="13"/>
      <c r="AT119" s="13"/>
      <c r="AU119" s="13"/>
      <c r="AV119" s="13"/>
      <c r="AW119" s="13"/>
      <c r="AX119" s="13"/>
      <c r="AY119" s="13"/>
    </row>
    <row r="120" spans="1:51" ht="15">
      <c r="A120" s="13"/>
      <c r="B120" s="37"/>
      <c r="C120" s="37"/>
      <c r="D120" s="37"/>
      <c r="E120" s="37"/>
      <c r="F120" s="37"/>
      <c r="G120" s="37"/>
      <c r="H120" s="37"/>
      <c r="I120" s="37"/>
      <c r="J120" s="37"/>
      <c r="K120" s="37"/>
      <c r="L120" s="13"/>
      <c r="M120" s="13"/>
      <c r="N120" s="13"/>
      <c r="O120" s="13"/>
      <c r="P120" s="13"/>
      <c r="Q120" s="13"/>
      <c r="R120" s="13"/>
      <c r="S120" s="13"/>
      <c r="T120" s="13"/>
      <c r="U120" s="13"/>
      <c r="V120" s="13"/>
      <c r="W120" s="13"/>
      <c r="X120" s="13"/>
      <c r="Y120" s="13"/>
      <c r="Z120" s="13"/>
      <c r="AA120" s="13"/>
      <c r="AB120" s="13"/>
      <c r="AC120" s="13"/>
      <c r="AD120" s="13"/>
      <c r="AE120" s="13"/>
      <c r="AF120" s="13"/>
      <c r="AG120" s="13"/>
      <c r="AH120" s="13"/>
      <c r="AI120" s="13"/>
      <c r="AJ120" s="13"/>
      <c r="AK120" s="13"/>
      <c r="AL120" s="13"/>
      <c r="AM120" s="13"/>
      <c r="AN120" s="13"/>
      <c r="AO120" s="13"/>
      <c r="AP120" s="13"/>
      <c r="AQ120" s="13"/>
      <c r="AR120" s="13"/>
      <c r="AS120" s="13"/>
      <c r="AT120" s="13"/>
      <c r="AU120" s="13"/>
      <c r="AV120" s="13"/>
      <c r="AW120" s="13"/>
      <c r="AX120" s="13"/>
      <c r="AY120" s="13"/>
    </row>
    <row r="121" spans="1:51" ht="15">
      <c r="A121" s="13"/>
      <c r="B121" s="37"/>
      <c r="C121" s="37"/>
      <c r="D121" s="37"/>
      <c r="E121" s="37"/>
      <c r="F121" s="37"/>
      <c r="G121" s="37"/>
      <c r="H121" s="37"/>
      <c r="I121" s="37"/>
      <c r="J121" s="37"/>
      <c r="K121" s="37"/>
      <c r="L121" s="13"/>
      <c r="M121" s="13"/>
      <c r="N121" s="13"/>
      <c r="O121" s="13"/>
      <c r="P121" s="13"/>
      <c r="Q121" s="13"/>
      <c r="R121" s="13"/>
      <c r="S121" s="13"/>
      <c r="T121" s="13"/>
      <c r="U121" s="13"/>
      <c r="V121" s="13"/>
      <c r="W121" s="13"/>
      <c r="X121" s="13"/>
      <c r="Y121" s="13"/>
      <c r="Z121" s="13"/>
      <c r="AA121" s="13"/>
      <c r="AB121" s="13"/>
      <c r="AC121" s="13"/>
      <c r="AD121" s="13"/>
      <c r="AE121" s="13"/>
      <c r="AF121" s="13"/>
      <c r="AG121" s="13"/>
      <c r="AH121" s="13"/>
      <c r="AI121" s="13"/>
      <c r="AJ121" s="13"/>
      <c r="AK121" s="13"/>
      <c r="AL121" s="13"/>
      <c r="AM121" s="13"/>
      <c r="AN121" s="13"/>
      <c r="AO121" s="13"/>
      <c r="AP121" s="13"/>
      <c r="AQ121" s="13"/>
      <c r="AR121" s="13"/>
      <c r="AS121" s="13"/>
      <c r="AT121" s="13"/>
      <c r="AU121" s="13"/>
      <c r="AV121" s="13"/>
      <c r="AW121" s="13"/>
      <c r="AX121" s="13"/>
      <c r="AY121" s="13"/>
    </row>
    <row r="122" spans="1:51" ht="15">
      <c r="A122" s="13"/>
      <c r="B122" s="37"/>
      <c r="C122" s="37"/>
      <c r="D122" s="37"/>
      <c r="E122" s="37"/>
      <c r="F122" s="37"/>
      <c r="G122" s="37"/>
      <c r="H122" s="37"/>
      <c r="I122" s="37"/>
      <c r="J122" s="37"/>
      <c r="K122" s="37"/>
      <c r="L122" s="13"/>
      <c r="M122" s="13"/>
      <c r="N122" s="13"/>
      <c r="O122" s="13"/>
      <c r="P122" s="13"/>
      <c r="Q122" s="13"/>
      <c r="R122" s="13"/>
      <c r="S122" s="13"/>
      <c r="T122" s="13"/>
      <c r="U122" s="13"/>
      <c r="V122" s="13"/>
      <c r="W122" s="13"/>
      <c r="X122" s="13"/>
      <c r="Y122" s="13"/>
      <c r="Z122" s="13"/>
      <c r="AA122" s="13"/>
      <c r="AB122" s="13"/>
      <c r="AC122" s="13"/>
      <c r="AD122" s="13"/>
      <c r="AE122" s="13"/>
      <c r="AF122" s="13"/>
      <c r="AG122" s="13"/>
      <c r="AH122" s="13"/>
      <c r="AI122" s="13"/>
      <c r="AJ122" s="13"/>
      <c r="AK122" s="13"/>
      <c r="AL122" s="13"/>
      <c r="AM122" s="13"/>
      <c r="AN122" s="13"/>
      <c r="AO122" s="13"/>
      <c r="AP122" s="13"/>
      <c r="AQ122" s="13"/>
      <c r="AR122" s="13"/>
      <c r="AS122" s="13"/>
      <c r="AT122" s="13"/>
      <c r="AU122" s="13"/>
      <c r="AV122" s="13"/>
      <c r="AW122" s="13"/>
      <c r="AX122" s="13"/>
      <c r="AY122" s="13"/>
    </row>
    <row r="123" spans="1:51" ht="15">
      <c r="A123" s="13"/>
      <c r="B123" s="37"/>
      <c r="C123" s="37"/>
      <c r="D123" s="37"/>
      <c r="E123" s="37"/>
      <c r="F123" s="37"/>
      <c r="G123" s="37"/>
      <c r="H123" s="37"/>
      <c r="I123" s="37"/>
      <c r="J123" s="37"/>
      <c r="K123" s="37"/>
      <c r="L123" s="13"/>
      <c r="M123" s="13"/>
      <c r="N123" s="13"/>
      <c r="O123" s="13"/>
      <c r="P123" s="13"/>
      <c r="Q123" s="13"/>
      <c r="R123" s="13"/>
      <c r="S123" s="13"/>
      <c r="T123" s="13"/>
      <c r="U123" s="13"/>
      <c r="V123" s="13"/>
      <c r="W123" s="13"/>
      <c r="X123" s="13"/>
      <c r="Y123" s="13"/>
      <c r="Z123" s="13"/>
      <c r="AA123" s="13"/>
      <c r="AB123" s="13"/>
      <c r="AC123" s="13"/>
      <c r="AD123" s="13"/>
      <c r="AE123" s="13"/>
      <c r="AF123" s="13"/>
      <c r="AG123" s="13"/>
      <c r="AH123" s="13"/>
      <c r="AI123" s="13"/>
      <c r="AJ123" s="13"/>
      <c r="AK123" s="13"/>
      <c r="AL123" s="13"/>
      <c r="AM123" s="13"/>
      <c r="AN123" s="13"/>
      <c r="AO123" s="13"/>
      <c r="AP123" s="13"/>
      <c r="AQ123" s="13"/>
      <c r="AR123" s="13"/>
      <c r="AS123" s="13"/>
      <c r="AT123" s="13"/>
      <c r="AU123" s="13"/>
      <c r="AV123" s="13"/>
      <c r="AW123" s="13"/>
      <c r="AX123" s="13"/>
      <c r="AY123" s="13"/>
    </row>
    <row r="124" spans="1:51" ht="15">
      <c r="A124" s="13"/>
      <c r="B124" s="37"/>
      <c r="C124" s="37"/>
      <c r="D124" s="37"/>
      <c r="E124" s="37"/>
      <c r="F124" s="37"/>
      <c r="G124" s="37"/>
      <c r="H124" s="37"/>
      <c r="I124" s="37"/>
      <c r="J124" s="37"/>
      <c r="K124" s="37"/>
      <c r="L124" s="13"/>
      <c r="M124" s="13"/>
      <c r="N124" s="13"/>
      <c r="O124" s="13"/>
      <c r="P124" s="13"/>
      <c r="Q124" s="13"/>
      <c r="R124" s="13"/>
      <c r="S124" s="13"/>
      <c r="T124" s="13"/>
      <c r="U124" s="13"/>
      <c r="V124" s="13"/>
      <c r="W124" s="13"/>
      <c r="X124" s="13"/>
      <c r="Y124" s="13"/>
      <c r="Z124" s="13"/>
      <c r="AA124" s="13"/>
      <c r="AB124" s="13"/>
      <c r="AC124" s="13"/>
      <c r="AD124" s="13"/>
      <c r="AE124" s="13"/>
      <c r="AF124" s="13"/>
      <c r="AG124" s="13"/>
      <c r="AH124" s="13"/>
      <c r="AI124" s="13"/>
      <c r="AJ124" s="13"/>
      <c r="AK124" s="13"/>
      <c r="AL124" s="13"/>
      <c r="AM124" s="13"/>
      <c r="AN124" s="13"/>
      <c r="AO124" s="13"/>
      <c r="AP124" s="13"/>
      <c r="AQ124" s="13"/>
      <c r="AR124" s="13"/>
      <c r="AS124" s="13"/>
      <c r="AT124" s="13"/>
      <c r="AU124" s="13"/>
      <c r="AV124" s="13"/>
      <c r="AW124" s="13"/>
      <c r="AX124" s="13"/>
      <c r="AY124" s="13"/>
    </row>
    <row r="125" spans="1:51" ht="15">
      <c r="A125" s="13"/>
      <c r="B125" s="37"/>
      <c r="C125" s="37"/>
      <c r="D125" s="37"/>
      <c r="E125" s="37"/>
      <c r="F125" s="37"/>
      <c r="G125" s="37"/>
      <c r="H125" s="37"/>
      <c r="I125" s="37"/>
      <c r="J125" s="37"/>
      <c r="K125" s="37"/>
      <c r="L125" s="13"/>
      <c r="M125" s="13"/>
      <c r="N125" s="13"/>
      <c r="O125" s="13"/>
      <c r="P125" s="13"/>
      <c r="Q125" s="13"/>
      <c r="R125" s="13"/>
      <c r="S125" s="13"/>
      <c r="T125" s="13"/>
      <c r="U125" s="13"/>
      <c r="V125" s="13"/>
      <c r="W125" s="13"/>
      <c r="X125" s="13"/>
      <c r="Y125" s="13"/>
      <c r="Z125" s="13"/>
      <c r="AA125" s="13"/>
      <c r="AB125" s="13"/>
      <c r="AC125" s="13"/>
      <c r="AD125" s="13"/>
      <c r="AE125" s="13"/>
      <c r="AF125" s="13"/>
      <c r="AG125" s="13"/>
      <c r="AH125" s="13"/>
      <c r="AI125" s="13"/>
      <c r="AJ125" s="13"/>
      <c r="AK125" s="13"/>
      <c r="AL125" s="13"/>
      <c r="AM125" s="13"/>
      <c r="AN125" s="13"/>
      <c r="AO125" s="13"/>
      <c r="AP125" s="13"/>
      <c r="AQ125" s="13"/>
      <c r="AR125" s="13"/>
      <c r="AS125" s="13"/>
      <c r="AT125" s="13"/>
      <c r="AU125" s="13"/>
      <c r="AV125" s="13"/>
      <c r="AW125" s="13"/>
      <c r="AX125" s="13"/>
      <c r="AY125" s="13"/>
    </row>
    <row r="126" spans="1:51" ht="15">
      <c r="A126" s="13"/>
      <c r="B126" s="37"/>
      <c r="C126" s="37"/>
      <c r="D126" s="37"/>
      <c r="E126" s="37"/>
      <c r="F126" s="37"/>
      <c r="G126" s="37"/>
      <c r="H126" s="37"/>
      <c r="I126" s="37"/>
      <c r="J126" s="37"/>
      <c r="K126" s="37"/>
      <c r="L126" s="13"/>
      <c r="M126" s="13"/>
      <c r="N126" s="13"/>
      <c r="O126" s="13"/>
      <c r="P126" s="13"/>
      <c r="Q126" s="13"/>
      <c r="R126" s="13"/>
      <c r="S126" s="13"/>
      <c r="T126" s="13"/>
      <c r="U126" s="13"/>
      <c r="V126" s="13"/>
      <c r="W126" s="13"/>
      <c r="X126" s="13"/>
      <c r="Y126" s="13"/>
      <c r="Z126" s="13"/>
      <c r="AA126" s="13"/>
      <c r="AB126" s="13"/>
      <c r="AC126" s="13"/>
      <c r="AD126" s="13"/>
      <c r="AE126" s="13"/>
      <c r="AF126" s="13"/>
      <c r="AG126" s="13"/>
      <c r="AH126" s="13"/>
      <c r="AI126" s="13"/>
      <c r="AJ126" s="13"/>
      <c r="AK126" s="13"/>
      <c r="AL126" s="13"/>
      <c r="AM126" s="13"/>
      <c r="AN126" s="13"/>
      <c r="AO126" s="13"/>
      <c r="AP126" s="13"/>
      <c r="AQ126" s="13"/>
      <c r="AR126" s="13"/>
      <c r="AS126" s="13"/>
      <c r="AT126" s="13"/>
      <c r="AU126" s="13"/>
      <c r="AV126" s="13"/>
      <c r="AW126" s="13"/>
      <c r="AX126" s="13"/>
      <c r="AY126" s="13"/>
    </row>
    <row r="127" spans="1:51" ht="15">
      <c r="A127" s="13"/>
      <c r="B127" s="37"/>
      <c r="C127" s="37"/>
      <c r="D127" s="37"/>
      <c r="E127" s="37"/>
      <c r="F127" s="37"/>
      <c r="G127" s="37"/>
      <c r="H127" s="37"/>
      <c r="I127" s="37"/>
      <c r="J127" s="37"/>
      <c r="K127" s="37"/>
      <c r="L127" s="13"/>
      <c r="M127" s="13"/>
      <c r="N127" s="13"/>
      <c r="O127" s="13"/>
      <c r="P127" s="13"/>
      <c r="Q127" s="13"/>
      <c r="R127" s="13"/>
      <c r="S127" s="13"/>
      <c r="T127" s="13"/>
      <c r="U127" s="13"/>
      <c r="V127" s="13"/>
      <c r="W127" s="13"/>
      <c r="X127" s="13"/>
      <c r="Y127" s="13"/>
      <c r="Z127" s="13"/>
      <c r="AA127" s="13"/>
      <c r="AB127" s="13"/>
      <c r="AC127" s="13"/>
      <c r="AD127" s="13"/>
      <c r="AE127" s="13"/>
      <c r="AF127" s="13"/>
      <c r="AG127" s="13"/>
      <c r="AH127" s="13"/>
      <c r="AI127" s="13"/>
      <c r="AJ127" s="13"/>
      <c r="AK127" s="13"/>
      <c r="AL127" s="13"/>
      <c r="AM127" s="13"/>
      <c r="AN127" s="13"/>
      <c r="AO127" s="13"/>
      <c r="AP127" s="13"/>
      <c r="AQ127" s="13"/>
      <c r="AR127" s="13"/>
      <c r="AS127" s="13"/>
      <c r="AT127" s="13"/>
      <c r="AU127" s="13"/>
      <c r="AV127" s="13"/>
      <c r="AW127" s="13"/>
      <c r="AX127" s="13"/>
      <c r="AY127" s="13"/>
    </row>
    <row r="128" spans="1:51" ht="15">
      <c r="A128" s="13"/>
      <c r="B128" s="37"/>
      <c r="C128" s="37"/>
      <c r="D128" s="37"/>
      <c r="E128" s="37"/>
      <c r="F128" s="37"/>
      <c r="G128" s="37"/>
      <c r="H128" s="37"/>
      <c r="I128" s="37"/>
      <c r="J128" s="37"/>
      <c r="K128" s="37"/>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c r="AR128" s="13"/>
      <c r="AS128" s="13"/>
      <c r="AT128" s="13"/>
      <c r="AU128" s="13"/>
      <c r="AV128" s="13"/>
      <c r="AW128" s="13"/>
      <c r="AX128" s="13"/>
      <c r="AY128" s="13"/>
    </row>
    <row r="129" spans="1:51" ht="15">
      <c r="A129" s="13"/>
      <c r="B129" s="37"/>
      <c r="C129" s="37"/>
      <c r="D129" s="37"/>
      <c r="E129" s="37"/>
      <c r="F129" s="37"/>
      <c r="G129" s="37"/>
      <c r="H129" s="37"/>
      <c r="I129" s="37"/>
      <c r="J129" s="37"/>
      <c r="K129" s="37"/>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3"/>
      <c r="AY129" s="13"/>
    </row>
  </sheetData>
  <sheetProtection sheet="1" formatRows="0"/>
  <mergeCells count="34">
    <mergeCell ref="D45:F45"/>
    <mergeCell ref="D31:J31"/>
    <mergeCell ref="D39:F39"/>
    <mergeCell ref="D40:F40"/>
    <mergeCell ref="D41:F41"/>
    <mergeCell ref="D42:F42"/>
    <mergeCell ref="D43:F43"/>
    <mergeCell ref="D44:F44"/>
    <mergeCell ref="C38:J38"/>
    <mergeCell ref="D30:J30"/>
    <mergeCell ref="D32:J32"/>
    <mergeCell ref="D33:J33"/>
    <mergeCell ref="D34:J34"/>
    <mergeCell ref="D35:G35"/>
    <mergeCell ref="H35:J35"/>
    <mergeCell ref="B2:E2"/>
    <mergeCell ref="C6:F6"/>
    <mergeCell ref="C9:F9"/>
    <mergeCell ref="C7:F7"/>
    <mergeCell ref="C10:F10"/>
    <mergeCell ref="C8:F8"/>
    <mergeCell ref="B3:J3"/>
    <mergeCell ref="B4:J4"/>
    <mergeCell ref="B5:J5"/>
    <mergeCell ref="E48:I48"/>
    <mergeCell ref="E47:I47"/>
    <mergeCell ref="C12:F12"/>
    <mergeCell ref="C14:F14"/>
    <mergeCell ref="C11:F11"/>
    <mergeCell ref="C37:F37"/>
    <mergeCell ref="C13:F13"/>
    <mergeCell ref="C21:E21"/>
    <mergeCell ref="C29:J29"/>
    <mergeCell ref="C22:J22"/>
  </mergeCells>
  <dataValidations count="9">
    <dataValidation type="list" allowBlank="1" showInputMessage="1" showErrorMessage="1" prompt="Does your machine have a system to recycle water for reuse in the next wash?" sqref="G16:G19">
      <formula1>"Yes,No"</formula1>
    </dataValidation>
    <dataValidation type="list" allowBlank="1" showInputMessage="1" showErrorMessage="1" prompt="Does your machine have an ozone system?" sqref="H16:H19">
      <formula1>"Yes,No"</formula1>
    </dataValidation>
    <dataValidation type="list" allowBlank="1" showInputMessage="1" showErrorMessage="1" sqref="G8 G10">
      <formula1>"Yes,No"</formula1>
    </dataValidation>
    <dataValidation type="decimal" operator="greaterThan" allowBlank="1" showInputMessage="1" showErrorMessage="1" error="The average pounds of laundry washed daily must be greater than 0.  " sqref="G12">
      <formula1>0</formula1>
    </dataValidation>
    <dataValidation type="decimal" operator="greaterThan" allowBlank="1" showInputMessage="1" showErrorMessage="1" prompt="If you update this cell with hotel-specific information, scroll to row 12 and click the “&lt;&lt;Use Industry Default” button after doing so." error="Pounds of laundry generated per occupied room per day must be a value greater than 0." sqref="G39">
      <formula1>0</formula1>
    </dataValidation>
    <dataValidation type="decimal" operator="greaterThan" allowBlank="1" showInputMessage="1" showErrorMessage="1" error="Gallons of water used per pound of laundry must be a value greater than 0." sqref="G40:G45">
      <formula1>0</formula1>
    </dataValidation>
    <dataValidation type="decimal" operator="greaterThan" allowBlank="1" showInputMessage="1" showErrorMessage="1" error="Capacity of your laundry equipment must be greater than 0 lbs." sqref="F16:F19">
      <formula1>0</formula1>
    </dataValidation>
    <dataValidation type="whole" operator="greaterThan" allowBlank="1" showInputMessage="1" showErrorMessage="1" error="This number must be a whole number greater than 0." sqref="I16:I19">
      <formula1>0</formula1>
    </dataValidation>
    <dataValidation type="list" allowBlank="1" showInputMessage="1" showErrorMessage="1" sqref="E16:E19">
      <formula1>$P$15:$R$15</formula1>
    </dataValidation>
  </dataValidations>
  <hyperlinks>
    <hyperlink ref="H35" r:id="rId1" display="Laundry Equipment"/>
    <hyperlink ref="H35:J35" r:id="rId2" display="WaterSense at Work Section 3.6: Laundry Equipment"/>
  </hyperlinks>
  <printOptions/>
  <pageMargins left="0.7" right="0.7" top="0.75" bottom="0.75" header="0.3" footer="0.3"/>
  <pageSetup horizontalDpi="1200" verticalDpi="1200" orientation="portrait" r:id="rId5"/>
  <drawing r:id="rId4"/>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Eastern Research Group,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 Pickering</dc:creator>
  <cp:keywords/>
  <dc:description/>
  <cp:lastModifiedBy>RPickering</cp:lastModifiedBy>
  <cp:lastPrinted>2014-12-11T19:21:52Z</cp:lastPrinted>
  <dcterms:created xsi:type="dcterms:W3CDTF">2013-11-18T19:53:20Z</dcterms:created>
  <dcterms:modified xsi:type="dcterms:W3CDTF">2015-06-10T20:51:02Z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olution ID">
    <vt:lpwstr>{15727DE6-F92D-4E46-ACB4-0E2C58B31A18}</vt:lpwstr>
  </property>
</Properties>
</file>